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070" tabRatio="500" firstSheet="2" activeTab="2"/>
  </bookViews>
  <sheets>
    <sheet name="Import" sheetId="1" state="hidden" r:id="rId1"/>
    <sheet name="FlexDimensioner" sheetId="2" state="hidden" r:id="rId2"/>
    <sheet name="Start" sheetId="3" r:id="rId3"/>
    <sheet name="Försättsblad" sheetId="4" r:id="rId4"/>
    <sheet name="Blankett" sheetId="5" r:id="rId5"/>
    <sheet name="Anvisningar" sheetId="6" r:id="rId6"/>
    <sheet name="Kontroll" sheetId="7" state="hidden" r:id="rId7"/>
    <sheet name="db_kontroller" sheetId="8" state="hidden" r:id="rId8"/>
    <sheet name="db" sheetId="9" state="hidden" r:id="rId9"/>
  </sheets>
  <definedNames>
    <definedName name="FMR" localSheetId="8">'db'!$AA$1:$AA$2</definedName>
    <definedName name="FMR_14" localSheetId="8">'db'!$AA$1:$AA$2</definedName>
    <definedName name="FMR_15" localSheetId="8">'db'!$AA$1:$AA$2</definedName>
    <definedName name="FMR_16" localSheetId="8">'db'!$AA$1:$AA$2</definedName>
    <definedName name="Inm_20074">'Blankett'!$J$68</definedName>
    <definedName name="Inm_20075">'Blankett'!$J$33</definedName>
    <definedName name="Inm_20076">'Blankett'!$J$58</definedName>
    <definedName name="Inm_20077">'Blankett'!$I$68</definedName>
    <definedName name="Inm_20078">'Blankett'!$I$33</definedName>
    <definedName name="Inm_20079">'Blankett'!$I$58</definedName>
    <definedName name="Inm_20080">'Blankett'!$H$68</definedName>
    <definedName name="Inm_20081">'Blankett'!$H$33</definedName>
    <definedName name="Inm_20082">'Blankett'!$H$58</definedName>
    <definedName name="Inm_20083">'Blankett'!$G$68</definedName>
    <definedName name="Inm_20084">'Blankett'!$G$33</definedName>
    <definedName name="Inm_20085">'Blankett'!$G$58</definedName>
    <definedName name="Inm_7420">'Blankett'!$G$7</definedName>
    <definedName name="Inm_7421">'Blankett'!$H$8</definedName>
    <definedName name="Inm_7422">'Blankett'!$H$7</definedName>
    <definedName name="Inm_7423">'Blankett'!$I$8</definedName>
    <definedName name="Inm_7424">'Blankett'!$I$7</definedName>
    <definedName name="Inm_7425">'Blankett'!$J$8</definedName>
    <definedName name="Inm_7426">'Blankett'!$J$7</definedName>
    <definedName name="Inm_7427">'Blankett'!$G$8</definedName>
    <definedName name="Inm_7428">'Blankett'!$H$10</definedName>
    <definedName name="Inm_7429">'Blankett'!$H$9</definedName>
    <definedName name="Inm_7430">'Blankett'!$I$10</definedName>
    <definedName name="Inm_7431">'Blankett'!$I$9</definedName>
    <definedName name="Inm_7432">'Blankett'!$J$10</definedName>
    <definedName name="Inm_7433">'Blankett'!$J$9</definedName>
    <definedName name="Inm_7434">'Blankett'!$G$10</definedName>
    <definedName name="Inm_7435">'Blankett'!$G$9</definedName>
    <definedName name="Inm_7436">'Blankett'!$H$12</definedName>
    <definedName name="Inm_7437">'Blankett'!$H$11</definedName>
    <definedName name="Inm_7438">'Blankett'!$I$12</definedName>
    <definedName name="Inm_7439">'Blankett'!$I$11</definedName>
    <definedName name="Inm_7440">'Blankett'!$J$12</definedName>
    <definedName name="Inm_7441">'Blankett'!$J$11</definedName>
    <definedName name="Inm_7442">'Blankett'!$G$12</definedName>
    <definedName name="Inm_7443">'Blankett'!$G$11</definedName>
    <definedName name="Inm_7444">'Blankett'!$H$20</definedName>
    <definedName name="Inm_7445">'Blankett'!$I$20</definedName>
    <definedName name="Inm_7446">'Blankett'!$J$20</definedName>
    <definedName name="Inm_7447">'Blankett'!$G$20</definedName>
    <definedName name="Inm_7448">'Blankett'!$H$28</definedName>
    <definedName name="Inm_7449">'Blankett'!$I$28</definedName>
    <definedName name="Inm_7450">'Blankett'!$J$28</definedName>
    <definedName name="Inm_7451">'Blankett'!$G$28</definedName>
    <definedName name="Inm_7452">'Blankett'!$H$27</definedName>
    <definedName name="Inm_7453">'Blankett'!$H$22</definedName>
    <definedName name="Inm_7454">'Blankett'!$H$24</definedName>
    <definedName name="Inm_7455">'Blankett'!$H$26</definedName>
    <definedName name="Inm_7456">'Blankett'!$I$27</definedName>
    <definedName name="Inm_7457">'Blankett'!$I$22</definedName>
    <definedName name="Inm_7458">'Blankett'!$I$24</definedName>
    <definedName name="Inm_7459">'Blankett'!$I$26</definedName>
    <definedName name="Inm_7460">'Blankett'!$J$27</definedName>
    <definedName name="Inm_7461">'Blankett'!$J$22</definedName>
    <definedName name="Inm_7462">'Blankett'!$J$24</definedName>
    <definedName name="Inm_7463">'Blankett'!$J$26</definedName>
    <definedName name="Inm_7464">'Blankett'!$G$27</definedName>
    <definedName name="Inm_7465">'Blankett'!$G$22</definedName>
    <definedName name="Inm_7466">'Blankett'!$G$24</definedName>
    <definedName name="Inm_7467">'Blankett'!$G$26</definedName>
    <definedName name="Inm_7468">'Blankett'!$H$19</definedName>
    <definedName name="Inm_7469">'Blankett'!$H$14</definedName>
    <definedName name="Inm_7470">'Blankett'!$H$16</definedName>
    <definedName name="Inm_7471">'Blankett'!$H$18</definedName>
    <definedName name="Inm_7472">'Blankett'!$I$19</definedName>
    <definedName name="Inm_7473">'Blankett'!$I$14</definedName>
    <definedName name="Inm_7474">'Blankett'!$I$16</definedName>
    <definedName name="Inm_7475">'Blankett'!$I$18</definedName>
    <definedName name="Inm_7476">'Blankett'!$J$19</definedName>
    <definedName name="Inm_7477">'Blankett'!$J$14</definedName>
    <definedName name="Inm_7478">'Blankett'!$J$16</definedName>
    <definedName name="Inm_7479">'Blankett'!$J$18</definedName>
    <definedName name="Inm_7480">'Blankett'!$G$19</definedName>
    <definedName name="Inm_7481">'Blankett'!$G$14</definedName>
    <definedName name="Inm_7482">'Blankett'!$G$16</definedName>
    <definedName name="Inm_7483">'Blankett'!$G$18</definedName>
    <definedName name="Inm_7484">'Blankett'!$H$30</definedName>
    <definedName name="Inm_7485">'Blankett'!$H$29</definedName>
    <definedName name="Inm_7486">'Blankett'!$I$30</definedName>
    <definedName name="Inm_7487">'Blankett'!$I$29</definedName>
    <definedName name="Inm_7488">'Blankett'!$J$30</definedName>
    <definedName name="Inm_7489">'Blankett'!$J$29</definedName>
    <definedName name="Inm_7490">'Blankett'!$G$30</definedName>
    <definedName name="Inm_7491">'Blankett'!$G$29</definedName>
    <definedName name="Inm_7492">'Blankett'!$H$32</definedName>
    <definedName name="Inm_7493">'Blankett'!$H$31</definedName>
    <definedName name="Inm_7494">'Blankett'!$I$32</definedName>
    <definedName name="Inm_7495">'Blankett'!$I$31</definedName>
    <definedName name="Inm_7496">'Blankett'!$J$32</definedName>
    <definedName name="Inm_7497">'Blankett'!$J$31</definedName>
    <definedName name="Inm_7498">'Blankett'!$G$32</definedName>
    <definedName name="Inm_7499">'Blankett'!$G$31</definedName>
    <definedName name="Inm_7500">'Blankett'!$H$34</definedName>
    <definedName name="Inm_7501">'Blankett'!$I$34</definedName>
    <definedName name="Inm_7502">'Blankett'!$J$34</definedName>
    <definedName name="Inm_7503">'Blankett'!$G$34</definedName>
    <definedName name="Inm_7504">'Blankett'!$H$40</definedName>
    <definedName name="Inm_7505">'Blankett'!$I$40</definedName>
    <definedName name="Inm_7506">'Blankett'!$J$40</definedName>
    <definedName name="Inm_7507">'Blankett'!$G$40</definedName>
    <definedName name="Inm_7508">'Blankett'!$H$41</definedName>
    <definedName name="Inm_7509">'Blankett'!$I$41</definedName>
    <definedName name="Inm_7510">'Blankett'!$J$41</definedName>
    <definedName name="Inm_7511">'Blankett'!$G$41</definedName>
    <definedName name="Inm_7512">'Blankett'!$H$49</definedName>
    <definedName name="Inm_7513">'Blankett'!$I$49</definedName>
    <definedName name="Inm_7514">'Blankett'!$G$49</definedName>
    <definedName name="Inm_7515">'Blankett'!$H$48</definedName>
    <definedName name="Inm_7516">'Blankett'!$I$48</definedName>
    <definedName name="Inm_7517">'Blankett'!$G$48</definedName>
    <definedName name="Inm_7518">'Blankett'!$H$57</definedName>
    <definedName name="Inm_7519">'Blankett'!$H$56</definedName>
    <definedName name="Inm_7520">'Blankett'!$I$57</definedName>
    <definedName name="Inm_7521">'Blankett'!$I$56</definedName>
    <definedName name="Inm_7522">'Blankett'!$J$57</definedName>
    <definedName name="Inm_7523">'Blankett'!$J$56</definedName>
    <definedName name="Inm_7524">'Blankett'!$G$57</definedName>
    <definedName name="Inm_7525">'Blankett'!$G$56</definedName>
    <definedName name="Inm_7526">'Blankett'!$H$60</definedName>
    <definedName name="Inm_7527">'Blankett'!$H$59</definedName>
    <definedName name="Inm_7528">'Blankett'!$I$60</definedName>
    <definedName name="Inm_7529">'Blankett'!$I$59</definedName>
    <definedName name="Inm_7530">'Blankett'!$J$60</definedName>
    <definedName name="Inm_7531">'Blankett'!$J$59</definedName>
    <definedName name="Inm_7532">'Blankett'!$G$60</definedName>
    <definedName name="Inm_7533">'Blankett'!$G$59</definedName>
    <definedName name="Inm_7534">'Blankett'!$H$62</definedName>
    <definedName name="Inm_7535">'Blankett'!$H$61</definedName>
    <definedName name="Inm_7536">'Blankett'!$I$62</definedName>
    <definedName name="Inm_7537">'Blankett'!$I$61</definedName>
    <definedName name="Inm_7538">'Blankett'!$J$62</definedName>
    <definedName name="Inm_7539">'Blankett'!$J$61</definedName>
    <definedName name="Inm_7540">'Blankett'!$G$62</definedName>
    <definedName name="Inm_7541">'Blankett'!$G$61</definedName>
    <definedName name="Inm_7542">'Blankett'!$H$63</definedName>
    <definedName name="Inm_7543">'Blankett'!$I$63</definedName>
    <definedName name="Inm_7544">'Blankett'!$J$63</definedName>
    <definedName name="Inm_7545">'Blankett'!$G$63</definedName>
    <definedName name="Inm_7546">'Blankett'!$H$65</definedName>
    <definedName name="Inm_7547">'Blankett'!$H$64</definedName>
    <definedName name="Inm_7548">'Blankett'!$I$65</definedName>
    <definedName name="Inm_7549">'Blankett'!$I$64</definedName>
    <definedName name="Inm_7550">'Blankett'!$J$65</definedName>
    <definedName name="Inm_7551">'Blankett'!$J$64</definedName>
    <definedName name="Inm_7552">'Blankett'!$G$65</definedName>
    <definedName name="Inm_7553">'Blankett'!$G$64</definedName>
    <definedName name="Inm_7554">'Blankett'!$H$67</definedName>
    <definedName name="Inm_7555">'Blankett'!$H$66</definedName>
    <definedName name="Inm_7556">'Blankett'!$I$67</definedName>
    <definedName name="Inm_7557">'Blankett'!$I$66</definedName>
    <definedName name="Inm_7558">'Blankett'!$J$67</definedName>
    <definedName name="Inm_7559">'Blankett'!$J$66</definedName>
    <definedName name="Inm_7560">'Blankett'!$G$67</definedName>
    <definedName name="Inm_7561">'Blankett'!$G$66</definedName>
    <definedName name="Inm_7562">'Blankett'!$H$69</definedName>
    <definedName name="Inm_7563">'Blankett'!$I$69</definedName>
    <definedName name="Inm_7564">'Blankett'!$J$69</definedName>
    <definedName name="Inm_7565">'Blankett'!$G$69</definedName>
    <definedName name="Inm_7566">'Blankett'!$H$74</definedName>
    <definedName name="Inm_7567">'Blankett'!$I$74</definedName>
    <definedName name="Inm_7568">'Blankett'!$G$74</definedName>
    <definedName name="Inm_7569">'Blankett'!$H$23</definedName>
    <definedName name="Inm_7570">'Blankett'!$H$15</definedName>
    <definedName name="Inm_7571">'Blankett'!$I$23</definedName>
    <definedName name="Inm_7572">'Blankett'!$I$15</definedName>
    <definedName name="Inm_7573">'Blankett'!$J$23</definedName>
    <definedName name="Inm_7574">'Blankett'!$J$15</definedName>
    <definedName name="Inm_7575">'Blankett'!$G$23</definedName>
    <definedName name="Inm_7576">'Blankett'!$G$15</definedName>
    <definedName name="Inm_7577">'Blankett'!$H$25</definedName>
    <definedName name="Inm_7578">'Blankett'!$H$17</definedName>
    <definedName name="Inm_7579">'Blankett'!$I$25</definedName>
    <definedName name="Inm_7580">'Blankett'!$I$17</definedName>
    <definedName name="Inm_7581">'Blankett'!$J$25</definedName>
    <definedName name="Inm_7582">'Blankett'!$J$17</definedName>
    <definedName name="Inm_7583">'Blankett'!$G$25</definedName>
    <definedName name="Inm_7584">'Blankett'!$G$17</definedName>
    <definedName name="Inm_7585">'Blankett'!$J$72</definedName>
    <definedName name="Inm_7586">'Blankett'!$H$36</definedName>
    <definedName name="Inm_7587">'Blankett'!$I$36</definedName>
    <definedName name="Inm_7588">'Blankett'!$J$36</definedName>
    <definedName name="Inm_7589">'Blankett'!$G$36</definedName>
    <definedName name="Inm_7590">'Blankett'!$H$37</definedName>
    <definedName name="Inm_7591">'Blankett'!$I$37</definedName>
    <definedName name="Inm_7592">'Blankett'!$J$37</definedName>
    <definedName name="Inm_7593">'Blankett'!$G$37</definedName>
    <definedName name="Inm_7594">'Blankett'!$H$38</definedName>
    <definedName name="Inm_7595">'Blankett'!$I$38</definedName>
    <definedName name="Inm_7596">'Blankett'!$J$38</definedName>
    <definedName name="Inm_7597">'Blankett'!$G$38</definedName>
    <definedName name="Inm_7598">'Blankett'!$H$39</definedName>
    <definedName name="Inm_7599">'Blankett'!$I$39</definedName>
    <definedName name="Inm_7600">'Blankett'!$J$39</definedName>
    <definedName name="Inm_7601">'Blankett'!$G$39</definedName>
    <definedName name="Inm_7602">'Blankett'!$G$44</definedName>
    <definedName name="Inm_7603">'Blankett'!$H$44</definedName>
    <definedName name="Inm_7604">'Blankett'!$I$44</definedName>
    <definedName name="Inm_7605">'Blankett'!$H$45</definedName>
    <definedName name="Inm_7606">'Blankett'!$I$45</definedName>
    <definedName name="Inm_7607">'Blankett'!$G$45</definedName>
    <definedName name="Inm_7608">'Blankett'!$H$47</definedName>
    <definedName name="Inm_7609">'Blankett'!$H$46</definedName>
    <definedName name="Inm_7610">'Blankett'!$I$47</definedName>
    <definedName name="Inm_7611">'Blankett'!$I$46</definedName>
    <definedName name="Inm_7612">'Blankett'!$G$47</definedName>
    <definedName name="Inm_7613">'Blankett'!$G$46</definedName>
    <definedName name="Inm_7614">'Blankett'!$E$73</definedName>
    <definedName name="VarID_20074">'db'!$A$208</definedName>
    <definedName name="VarID_20075">'db'!$A$200</definedName>
    <definedName name="VarID_20076">'db'!$A$204</definedName>
    <definedName name="VarID_20077">'db'!$A$207</definedName>
    <definedName name="VarID_20078">'db'!$A$199</definedName>
    <definedName name="VarID_20079">'db'!$A$203</definedName>
    <definedName name="VarID_20080">'db'!$A$206</definedName>
    <definedName name="VarID_20081">'db'!$A$198</definedName>
    <definedName name="VarID_20082">'db'!$A$202</definedName>
    <definedName name="VarID_20083">'db'!$A$205</definedName>
    <definedName name="VarID_20084">'db'!$A$197</definedName>
    <definedName name="VarID_20085">'db'!$A$201</definedName>
    <definedName name="VarID_7420">'db'!$A$2</definedName>
    <definedName name="VarID_7421">'db'!$A$7</definedName>
    <definedName name="VarID_7422">'db'!$A$3</definedName>
    <definedName name="VarID_7423">'db'!$A$8</definedName>
    <definedName name="VarID_7424">'db'!$A$4</definedName>
    <definedName name="VarID_7425">'db'!$A$9</definedName>
    <definedName name="VarID_7426">'db'!$A$5</definedName>
    <definedName name="VarID_7427">'db'!$A$6</definedName>
    <definedName name="VarID_7428">'db'!$A$15</definedName>
    <definedName name="VarID_7429">'db'!$A$11</definedName>
    <definedName name="VarID_7430">'db'!$A$16</definedName>
    <definedName name="VarID_7431">'db'!$A$12</definedName>
    <definedName name="VarID_7432">'db'!$A$17</definedName>
    <definedName name="VarID_7433">'db'!$A$13</definedName>
    <definedName name="VarID_7434">'db'!$A$14</definedName>
    <definedName name="VarID_7435">'db'!$A$10</definedName>
    <definedName name="VarID_7436">'db'!$A$23</definedName>
    <definedName name="VarID_7437">'db'!$A$19</definedName>
    <definedName name="VarID_7438">'db'!$A$24</definedName>
    <definedName name="VarID_7439">'db'!$A$20</definedName>
    <definedName name="VarID_7440">'db'!$A$25</definedName>
    <definedName name="VarID_7441">'db'!$A$21</definedName>
    <definedName name="VarID_7442">'db'!$A$22</definedName>
    <definedName name="VarID_7443">'db'!$A$18</definedName>
    <definedName name="VarID_7444">'db'!$A$51</definedName>
    <definedName name="VarID_7445">'db'!$A$52</definedName>
    <definedName name="VarID_7446">'db'!$A$53</definedName>
    <definedName name="VarID_7447">'db'!$A$50</definedName>
    <definedName name="VarID_7448">'db'!$A$79</definedName>
    <definedName name="VarID_7449">'db'!$A$80</definedName>
    <definedName name="VarID_7450">'db'!$A$81</definedName>
    <definedName name="VarID_7451">'db'!$A$78</definedName>
    <definedName name="VarID_7452">'db'!$A$75</definedName>
    <definedName name="VarID_7453">'db'!$A$55</definedName>
    <definedName name="VarID_7454">'db'!$A$63</definedName>
    <definedName name="VarID_7455">'db'!$A$71</definedName>
    <definedName name="VarID_7456">'db'!$A$76</definedName>
    <definedName name="VarID_7457">'db'!$A$56</definedName>
    <definedName name="VarID_7458">'db'!$A$64</definedName>
    <definedName name="VarID_7459">'db'!$A$72</definedName>
    <definedName name="VarID_7460">'db'!$A$77</definedName>
    <definedName name="VarID_7461">'db'!$A$57</definedName>
    <definedName name="VarID_7462">'db'!$A$65</definedName>
    <definedName name="VarID_7463">'db'!$A$73</definedName>
    <definedName name="VarID_7464">'db'!$A$74</definedName>
    <definedName name="VarID_7465">'db'!$A$54</definedName>
    <definedName name="VarID_7466">'db'!$A$62</definedName>
    <definedName name="VarID_7467">'db'!$A$70</definedName>
    <definedName name="VarID_7468">'db'!$A$47</definedName>
    <definedName name="VarID_7469">'db'!$A$27</definedName>
    <definedName name="VarID_7470">'db'!$A$35</definedName>
    <definedName name="VarID_7471">'db'!$A$43</definedName>
    <definedName name="VarID_7472">'db'!$A$48</definedName>
    <definedName name="VarID_7473">'db'!$A$28</definedName>
    <definedName name="VarID_7474">'db'!$A$36</definedName>
    <definedName name="VarID_7475">'db'!$A$44</definedName>
    <definedName name="VarID_7476">'db'!$A$49</definedName>
    <definedName name="VarID_7477">'db'!$A$29</definedName>
    <definedName name="VarID_7478">'db'!$A$37</definedName>
    <definedName name="VarID_7479">'db'!$A$45</definedName>
    <definedName name="VarID_7480">'db'!$A$46</definedName>
    <definedName name="VarID_7481">'db'!$A$26</definedName>
    <definedName name="VarID_7482">'db'!$A$34</definedName>
    <definedName name="VarID_7483">'db'!$A$42</definedName>
    <definedName name="VarID_7484">'db'!$A$87</definedName>
    <definedName name="VarID_7485">'db'!$A$83</definedName>
    <definedName name="VarID_7486">'db'!$A$88</definedName>
    <definedName name="VarID_7487">'db'!$A$84</definedName>
    <definedName name="VarID_7488">'db'!$A$89</definedName>
    <definedName name="VarID_7489">'db'!$A$85</definedName>
    <definedName name="VarID_7490">'db'!$A$86</definedName>
    <definedName name="VarID_7491">'db'!$A$82</definedName>
    <definedName name="VarID_7492">'db'!$A$95</definedName>
    <definedName name="VarID_7493">'db'!$A$91</definedName>
    <definedName name="VarID_7494">'db'!$A$96</definedName>
    <definedName name="VarID_7495">'db'!$A$92</definedName>
    <definedName name="VarID_7496">'db'!$A$97</definedName>
    <definedName name="VarID_7497">'db'!$A$93</definedName>
    <definedName name="VarID_7498">'db'!$A$94</definedName>
    <definedName name="VarID_7499">'db'!$A$90</definedName>
    <definedName name="VarID_7500">'db'!$A$99</definedName>
    <definedName name="VarID_7501">'db'!$A$100</definedName>
    <definedName name="VarID_7502">'db'!$A$101</definedName>
    <definedName name="VarID_7503">'db'!$A$98</definedName>
    <definedName name="VarID_7504">'db'!$A$171</definedName>
    <definedName name="VarID_7505">'db'!$A$172</definedName>
    <definedName name="VarID_7506">'db'!$A$173</definedName>
    <definedName name="VarID_7507">'db'!$A$170</definedName>
    <definedName name="VarID_7508">'db'!$A$175</definedName>
    <definedName name="VarID_7509">'db'!$A$176</definedName>
    <definedName name="VarID_7510">'db'!$A$177</definedName>
    <definedName name="VarID_7511">'db'!$A$174</definedName>
    <definedName name="VarID_7512">'db'!$A$194</definedName>
    <definedName name="VarID_7513">'db'!$A$195</definedName>
    <definedName name="VarID_7514">'db'!$A$193</definedName>
    <definedName name="VarID_7515">'db'!$A$191</definedName>
    <definedName name="VarID_7516">'db'!$A$192</definedName>
    <definedName name="VarID_7517">'db'!$A$190</definedName>
    <definedName name="VarID_7518">'db'!$A$107</definedName>
    <definedName name="VarID_7519">'db'!$A$103</definedName>
    <definedName name="VarID_7520">'db'!$A$108</definedName>
    <definedName name="VarID_7521">'db'!$A$104</definedName>
    <definedName name="VarID_7522">'db'!$A$109</definedName>
    <definedName name="VarID_7523">'db'!$A$105</definedName>
    <definedName name="VarID_7524">'db'!$A$106</definedName>
    <definedName name="VarID_7525">'db'!$A$102</definedName>
    <definedName name="VarID_7526">'db'!$A$115</definedName>
    <definedName name="VarID_7527">'db'!$A$111</definedName>
    <definedName name="VarID_7528">'db'!$A$116</definedName>
    <definedName name="VarID_7529">'db'!$A$112</definedName>
    <definedName name="VarID_7530">'db'!$A$117</definedName>
    <definedName name="VarID_7531">'db'!$A$113</definedName>
    <definedName name="VarID_7532">'db'!$A$114</definedName>
    <definedName name="VarID_7533">'db'!$A$110</definedName>
    <definedName name="VarID_7534">'db'!$A$123</definedName>
    <definedName name="VarID_7535">'db'!$A$119</definedName>
    <definedName name="VarID_7536">'db'!$A$124</definedName>
    <definedName name="VarID_7537">'db'!$A$120</definedName>
    <definedName name="VarID_7538">'db'!$A$125</definedName>
    <definedName name="VarID_7539">'db'!$A$121</definedName>
    <definedName name="VarID_7540">'db'!$A$122</definedName>
    <definedName name="VarID_7541">'db'!$A$118</definedName>
    <definedName name="VarID_7542">'db'!$A$127</definedName>
    <definedName name="VarID_7543">'db'!$A$128</definedName>
    <definedName name="VarID_7544">'db'!$A$129</definedName>
    <definedName name="VarID_7545">'db'!$A$126</definedName>
    <definedName name="VarID_7546">'db'!$A$135</definedName>
    <definedName name="VarID_7547">'db'!$A$131</definedName>
    <definedName name="VarID_7548">'db'!$A$136</definedName>
    <definedName name="VarID_7549">'db'!$A$132</definedName>
    <definedName name="VarID_7550">'db'!$A$137</definedName>
    <definedName name="VarID_7551">'db'!$A$133</definedName>
    <definedName name="VarID_7552">'db'!$A$134</definedName>
    <definedName name="VarID_7553">'db'!$A$130</definedName>
    <definedName name="VarID_7554">'db'!$A$143</definedName>
    <definedName name="VarID_7555">'db'!$A$139</definedName>
    <definedName name="VarID_7556">'db'!$A$144</definedName>
    <definedName name="VarID_7557">'db'!$A$140</definedName>
    <definedName name="VarID_7558">'db'!$A$145</definedName>
    <definedName name="VarID_7559">'db'!$A$141</definedName>
    <definedName name="VarID_7560">'db'!$A$142</definedName>
    <definedName name="VarID_7561">'db'!$A$138</definedName>
    <definedName name="VarID_7562">'db'!$A$147</definedName>
    <definedName name="VarID_7563">'db'!$A$148</definedName>
    <definedName name="VarID_7564">'db'!$A$149</definedName>
    <definedName name="VarID_7565">'db'!$A$146</definedName>
    <definedName name="VarID_7566">'db'!$A$152</definedName>
    <definedName name="VarID_7567">'db'!$A$153</definedName>
    <definedName name="VarID_7568">'db'!$A$151</definedName>
    <definedName name="VarID_7569">'db'!$A$59</definedName>
    <definedName name="VarID_7570">'db'!$A$31</definedName>
    <definedName name="VarID_7571">'db'!$A$60</definedName>
    <definedName name="VarID_7572">'db'!$A$32</definedName>
    <definedName name="VarID_7573">'db'!$A$61</definedName>
    <definedName name="VarID_7574">'db'!$A$33</definedName>
    <definedName name="VarID_7575">'db'!$A$58</definedName>
    <definedName name="VarID_7576">'db'!$A$30</definedName>
    <definedName name="VarID_7577">'db'!$A$67</definedName>
    <definedName name="VarID_7578">'db'!$A$39</definedName>
    <definedName name="VarID_7579">'db'!$A$68</definedName>
    <definedName name="VarID_7580">'db'!$A$40</definedName>
    <definedName name="VarID_7581">'db'!$A$69</definedName>
    <definedName name="VarID_7582">'db'!$A$41</definedName>
    <definedName name="VarID_7583">'db'!$A$66</definedName>
    <definedName name="VarID_7584">'db'!$A$38</definedName>
    <definedName name="VarID_7585">'db'!$A$150</definedName>
    <definedName name="VarID_7586">'db'!$A$155</definedName>
    <definedName name="VarID_7587">'db'!$A$156</definedName>
    <definedName name="VarID_7588">'db'!$A$157</definedName>
    <definedName name="VarID_7589">'db'!$A$154</definedName>
    <definedName name="VarID_7590">'db'!$A$159</definedName>
    <definedName name="VarID_7591">'db'!$A$160</definedName>
    <definedName name="VarID_7592">'db'!$A$161</definedName>
    <definedName name="VarID_7593">'db'!$A$158</definedName>
    <definedName name="VarID_7594">'db'!$A$163</definedName>
    <definedName name="VarID_7595">'db'!$A$164</definedName>
    <definedName name="VarID_7596">'db'!$A$165</definedName>
    <definedName name="VarID_7597">'db'!$A$162</definedName>
    <definedName name="VarID_7598">'db'!$A$167</definedName>
    <definedName name="VarID_7599">'db'!$A$168</definedName>
    <definedName name="VarID_7600">'db'!$A$169</definedName>
    <definedName name="VarID_7601">'db'!$A$166</definedName>
    <definedName name="VarID_7602">'db'!$A$178</definedName>
    <definedName name="VarID_7603">'db'!$A$179</definedName>
    <definedName name="VarID_7604">'db'!$A$180</definedName>
    <definedName name="VarID_7605">'db'!$A$182</definedName>
    <definedName name="VarID_7606">'db'!$A$183</definedName>
    <definedName name="VarID_7607">'db'!$A$181</definedName>
    <definedName name="VarID_7608">'db'!$A$188</definedName>
    <definedName name="VarID_7609">'db'!$A$185</definedName>
    <definedName name="VarID_7610">'db'!$A$189</definedName>
    <definedName name="VarID_7611">'db'!$A$186</definedName>
    <definedName name="VarID_7612">'db'!$A$187</definedName>
    <definedName name="VarID_7613">'db'!$A$184</definedName>
    <definedName name="VarID_7614">'db'!$A$196</definedName>
  </definedNames>
  <calcPr fullCalcOnLoad="1"/>
</workbook>
</file>

<file path=xl/sharedStrings.xml><?xml version="1.0" encoding="utf-8"?>
<sst xmlns="http://schemas.openxmlformats.org/spreadsheetml/2006/main" count="3509" uniqueCount="1039">
  <si>
    <t>Blankett'!Inm_7438</t>
  </si>
  <si>
    <t>Blankett'!Inm_7439</t>
  </si>
  <si>
    <t>Blankett'!Inm_7440</t>
  </si>
  <si>
    <t>Blankett'!Inm_7441</t>
  </si>
  <si>
    <t>Blankett'!Inm_7442</t>
  </si>
  <si>
    <t>Blankett'!Inm_7443</t>
  </si>
  <si>
    <t>Blankett'!Inm_7444</t>
  </si>
  <si>
    <t>Blankett'!Inm_7445</t>
  </si>
  <si>
    <t>Blankett'!Inm_7446</t>
  </si>
  <si>
    <t>Blankett'!Inm_7447</t>
  </si>
  <si>
    <t>Blankett'!Inm_7448</t>
  </si>
  <si>
    <t>Blankett'!Inm_7449</t>
  </si>
  <si>
    <t>Blankett'!Inm_7450</t>
  </si>
  <si>
    <t>Blankett'!Inm_7451</t>
  </si>
  <si>
    <t>Blankett'!Inm_7452</t>
  </si>
  <si>
    <t>Blankett'!Inm_7453</t>
  </si>
  <si>
    <t>Blankett'!Inm_7454</t>
  </si>
  <si>
    <t>Blankett'!Inm_7455</t>
  </si>
  <si>
    <t>Blankett'!Inm_7456</t>
  </si>
  <si>
    <t>Blankett'!Inm_7457</t>
  </si>
  <si>
    <t>Blankett'!Inm_7458</t>
  </si>
  <si>
    <t>Blankett'!Inm_7459</t>
  </si>
  <si>
    <t>Blankett'!Inm_7460</t>
  </si>
  <si>
    <t>Blankett'!Inm_7461</t>
  </si>
  <si>
    <t>Blankett'!Inm_7462</t>
  </si>
  <si>
    <t>Blankett'!Inm_7463</t>
  </si>
  <si>
    <t>Blankett'!Inm_7464</t>
  </si>
  <si>
    <t>Blankett'!Inm_7465</t>
  </si>
  <si>
    <t>Blankett'!Inm_7466</t>
  </si>
  <si>
    <t>Blankett'!Inm_7467</t>
  </si>
  <si>
    <t>Blankett'!Inm_7468</t>
  </si>
  <si>
    <t>Blankett'!Inm_7469</t>
  </si>
  <si>
    <t>Blankett'!Inm_7470</t>
  </si>
  <si>
    <t>Blankett'!Inm_7471</t>
  </si>
  <si>
    <t>Blankett'!Inm_7472</t>
  </si>
  <si>
    <t>Blankett'!Inm_7473</t>
  </si>
  <si>
    <t>Blankett'!Inm_7474</t>
  </si>
  <si>
    <t>Blankett'!Inm_7475</t>
  </si>
  <si>
    <t>Blankett'!Inm_7476</t>
  </si>
  <si>
    <t>Blankett'!Inm_7477</t>
  </si>
  <si>
    <t>Blankett'!Inm_7478</t>
  </si>
  <si>
    <t>Blankett'!Inm_7479</t>
  </si>
  <si>
    <t>Blankett'!Inm_7480</t>
  </si>
  <si>
    <t>Blankett'!Inm_7481</t>
  </si>
  <si>
    <t>Blankett'!Inm_7482</t>
  </si>
  <si>
    <t>Blankett'!Inm_7483</t>
  </si>
  <si>
    <t>Blankett'!Inm_7484</t>
  </si>
  <si>
    <t>Blankett'!Inm_7485</t>
  </si>
  <si>
    <t>Blankett'!Inm_7486</t>
  </si>
  <si>
    <t>Blankett'!Inm_7487</t>
  </si>
  <si>
    <t>Blankett'!Inm_7488</t>
  </si>
  <si>
    <t>Blankett'!Inm_7489</t>
  </si>
  <si>
    <t>Blankett'!Inm_7490</t>
  </si>
  <si>
    <t>Blankett'!Inm_7491</t>
  </si>
  <si>
    <t>Blankett'!Inm_7492</t>
  </si>
  <si>
    <t>Blankett'!Inm_7493</t>
  </si>
  <si>
    <t>Blankett'!Inm_7494</t>
  </si>
  <si>
    <t>Blankett'!Inm_7495</t>
  </si>
  <si>
    <t>Blankett'!Inm_7496</t>
  </si>
  <si>
    <t>Blankett'!Inm_7497</t>
  </si>
  <si>
    <t>Blankett'!Inm_7498</t>
  </si>
  <si>
    <t>Blankett'!Inm_7499</t>
  </si>
  <si>
    <t>Blankett'!Inm_7500</t>
  </si>
  <si>
    <t>Blankett'!Inm_7501</t>
  </si>
  <si>
    <t>Blankett'!Inm_7502</t>
  </si>
  <si>
    <t>Blankett'!Inm_7503</t>
  </si>
  <si>
    <t>Blankett'!Inm_7504</t>
  </si>
  <si>
    <t>Blankett'!Inm_7505</t>
  </si>
  <si>
    <t>Blankett'!Inm_7506</t>
  </si>
  <si>
    <t>Blankett'!Inm_7507</t>
  </si>
  <si>
    <t>Blankett'!Inm_7508</t>
  </si>
  <si>
    <t>Blankett'!Inm_7509</t>
  </si>
  <si>
    <t>Blankett'!Inm_7510</t>
  </si>
  <si>
    <t>Blankett'!Inm_7511</t>
  </si>
  <si>
    <t>Blankett'!Inm_7512</t>
  </si>
  <si>
    <t>Blankett'!Inm_7513</t>
  </si>
  <si>
    <t>Blankett'!Inm_7514</t>
  </si>
  <si>
    <t>Blankett'!Inm_7515</t>
  </si>
  <si>
    <t>Blankett'!Inm_7516</t>
  </si>
  <si>
    <t>Blankett'!Inm_7517</t>
  </si>
  <si>
    <t>Blankett'!Inm_7518</t>
  </si>
  <si>
    <t>Blankett'!Inm_7519</t>
  </si>
  <si>
    <t>Blankett'!Inm_7520</t>
  </si>
  <si>
    <t>Blankett'!Inm_7521</t>
  </si>
  <si>
    <t>Blankett'!Inm_7522</t>
  </si>
  <si>
    <t>Blankett'!Inm_7523</t>
  </si>
  <si>
    <t>Blankett'!Inm_7524</t>
  </si>
  <si>
    <t>Blankett'!Inm_7525</t>
  </si>
  <si>
    <t>Blankett'!Inm_7526</t>
  </si>
  <si>
    <t>Blankett'!Inm_7527</t>
  </si>
  <si>
    <t>Blankett'!Inm_7528</t>
  </si>
  <si>
    <t>Blankett'!Inm_7529</t>
  </si>
  <si>
    <t>Blankett'!Inm_7530</t>
  </si>
  <si>
    <t>Blankett'!Inm_7531</t>
  </si>
  <si>
    <t>Blankett'!Inm_7532</t>
  </si>
  <si>
    <t>Blankett'!Inm_7533</t>
  </si>
  <si>
    <t>Blankett'!Inm_7534</t>
  </si>
  <si>
    <t>Blankett'!Inm_7535</t>
  </si>
  <si>
    <t>Blankett'!Inm_7536</t>
  </si>
  <si>
    <t>Blankett'!Inm_7537</t>
  </si>
  <si>
    <t>Blankett'!Inm_7538</t>
  </si>
  <si>
    <t>Blankett'!Inm_7539</t>
  </si>
  <si>
    <t>Blankett'!Inm_7540</t>
  </si>
  <si>
    <t>Blankett'!Inm_7541</t>
  </si>
  <si>
    <t>Blankett'!Inm_7542</t>
  </si>
  <si>
    <t>Blankett'!Inm_7543</t>
  </si>
  <si>
    <t>Blankett'!Inm_7544</t>
  </si>
  <si>
    <t>Blankett'!Inm_7545</t>
  </si>
  <si>
    <t>Blankett'!Inm_7546</t>
  </si>
  <si>
    <t>Blankett'!Inm_7547</t>
  </si>
  <si>
    <t>Blankett'!Inm_7548</t>
  </si>
  <si>
    <t>Blankett'!Inm_7549</t>
  </si>
  <si>
    <t>Blankett'!Inm_7550</t>
  </si>
  <si>
    <t>Blankett'!Inm_7551</t>
  </si>
  <si>
    <t>Blankett'!Inm_7552</t>
  </si>
  <si>
    <t>Blankett'!Inm_7553</t>
  </si>
  <si>
    <t>Blankett'!Inm_7554</t>
  </si>
  <si>
    <t>Blankett'!Inm_7555</t>
  </si>
  <si>
    <t>Blankett'!Inm_7556</t>
  </si>
  <si>
    <t>Blankett'!Inm_7557</t>
  </si>
  <si>
    <t>Blankett'!Inm_7558</t>
  </si>
  <si>
    <t>Blankett'!Inm_7559</t>
  </si>
  <si>
    <t>Blankett'!Inm_7560</t>
  </si>
  <si>
    <t>Blankett'!Inm_7561</t>
  </si>
  <si>
    <t>Blankett'!Inm_7562</t>
  </si>
  <si>
    <t>Blankett'!Inm_7563</t>
  </si>
  <si>
    <t>Blankett'!Inm_7564</t>
  </si>
  <si>
    <t>Blankett'!Inm_7565</t>
  </si>
  <si>
    <t>Blankett'!Inm_7566</t>
  </si>
  <si>
    <t>Blankett'!Inm_7567</t>
  </si>
  <si>
    <t>Blankett'!Inm_7568</t>
  </si>
  <si>
    <t>Blankett'!Inm_7569</t>
  </si>
  <si>
    <t>Blankett'!Inm_7570</t>
  </si>
  <si>
    <t>Blankett'!Inm_7571</t>
  </si>
  <si>
    <t>Blankett'!Inm_7572</t>
  </si>
  <si>
    <t>Blankett'!Inm_7573</t>
  </si>
  <si>
    <t>Blankett'!Inm_7574</t>
  </si>
  <si>
    <t>Blankett'!Inm_7575</t>
  </si>
  <si>
    <t>Blankett'!Inm_7576</t>
  </si>
  <si>
    <t>Blankett'!Inm_7577</t>
  </si>
  <si>
    <t>Blankett'!Inm_7578</t>
  </si>
  <si>
    <t>Blankett'!Inm_7579</t>
  </si>
  <si>
    <t>Blankett'!Inm_7580</t>
  </si>
  <si>
    <t>Blankett'!Inm_7581</t>
  </si>
  <si>
    <t>Blankett'!Inm_7582</t>
  </si>
  <si>
    <t>Blankett'!Inm_7583</t>
  </si>
  <si>
    <t>Blankett'!Inm_7584</t>
  </si>
  <si>
    <t>Blankett'!Inm_7585</t>
  </si>
  <si>
    <t>Blankett'!Inm_7586</t>
  </si>
  <si>
    <t>Blankett'!Inm_7587</t>
  </si>
  <si>
    <t>Blankett'!Inm_7588</t>
  </si>
  <si>
    <t>Blankett'!Inm_7589</t>
  </si>
  <si>
    <t>Blankett'!Inm_7590</t>
  </si>
  <si>
    <t>Blankett'!Inm_7591</t>
  </si>
  <si>
    <t>Blankett'!Inm_7592</t>
  </si>
  <si>
    <t>Blankett'!Inm_7593</t>
  </si>
  <si>
    <t>Blankett'!Inm_7594</t>
  </si>
  <si>
    <t>Blankett'!Inm_7595</t>
  </si>
  <si>
    <t>Blankett'!Inm_7596</t>
  </si>
  <si>
    <t>Blankett'!Inm_7597</t>
  </si>
  <si>
    <t>Blankett'!Inm_7598</t>
  </si>
  <si>
    <t>Blankett'!Inm_7599</t>
  </si>
  <si>
    <t>Blankett'!Inm_7600</t>
  </si>
  <si>
    <t>Blankett'!Inm_7601</t>
  </si>
  <si>
    <t>Blankett'!Inm_7602</t>
  </si>
  <si>
    <t>Blankett'!Inm_7603</t>
  </si>
  <si>
    <t>Blankett'!Inm_7604</t>
  </si>
  <si>
    <t>Blankett'!Inm_7605</t>
  </si>
  <si>
    <t>Blankett'!Inm_7606</t>
  </si>
  <si>
    <t>Blankett'!Inm_7607</t>
  </si>
  <si>
    <t>Blankett'!Inm_7608</t>
  </si>
  <si>
    <t>Blankett'!Inm_7609</t>
  </si>
  <si>
    <t>Blankett'!Inm_7610</t>
  </si>
  <si>
    <t>Blankett'!Inm_7611</t>
  </si>
  <si>
    <t>Blankett'!Inm_7612</t>
  </si>
  <si>
    <t>Blankett'!Inm_7613</t>
  </si>
  <si>
    <t>Blankett'!Inm_7614</t>
  </si>
  <si>
    <t xml:space="preserve">Wallis, Futuna                           </t>
  </si>
  <si>
    <t xml:space="preserve">Västsamoa                                </t>
  </si>
  <si>
    <t xml:space="preserve">Ofördelat                                </t>
  </si>
  <si>
    <t xml:space="preserve">Yemen                                    </t>
  </si>
  <si>
    <t xml:space="preserve">Sydafrika                                </t>
  </si>
  <si>
    <t xml:space="preserve">Zambia                                   </t>
  </si>
  <si>
    <t xml:space="preserve">Zimbabwe                                 </t>
  </si>
  <si>
    <t xml:space="preserve">BEF                                      </t>
  </si>
  <si>
    <t xml:space="preserve">CHF                                      </t>
  </si>
  <si>
    <t xml:space="preserve">DEM                                      </t>
  </si>
  <si>
    <t xml:space="preserve">DKK                                      </t>
  </si>
  <si>
    <t xml:space="preserve">Euro och EMU-valutor                     </t>
  </si>
  <si>
    <t xml:space="preserve">FRF                                      </t>
  </si>
  <si>
    <t xml:space="preserve">GBP                                      </t>
  </si>
  <si>
    <t xml:space="preserve">ITL                                      </t>
  </si>
  <si>
    <t xml:space="preserve">JPY                                      </t>
  </si>
  <si>
    <t xml:space="preserve">NLG                                      </t>
  </si>
  <si>
    <t xml:space="preserve">Övriga valutor                           </t>
  </si>
  <si>
    <t xml:space="preserve">SEK                                      </t>
  </si>
  <si>
    <t xml:space="preserve">USD                                      </t>
  </si>
  <si>
    <t xml:space="preserve">Valutor, totalt                          </t>
  </si>
  <si>
    <t xml:space="preserve">Utländsk valuta                          </t>
  </si>
  <si>
    <t xml:space="preserve">EU-valutor andra än SEK                  </t>
  </si>
  <si>
    <t xml:space="preserve">EU-valutor andra än SEK och Euro mm      </t>
  </si>
  <si>
    <t xml:space="preserve">Utländska valutor, ej EU                 </t>
  </si>
  <si>
    <t xml:space="preserve">Utländska valutor utom Euro mm, USD, JPY </t>
  </si>
  <si>
    <t>VALFRI</t>
  </si>
  <si>
    <t xml:space="preserve">BIS-Industriländer                       </t>
  </si>
  <si>
    <t xml:space="preserve">Bosnien - Herzegovina                    </t>
  </si>
  <si>
    <t xml:space="preserve">British Overseas Territories             </t>
  </si>
  <si>
    <t xml:space="preserve">Danmark (exkl. Färöarna och Grönland)    </t>
  </si>
  <si>
    <t xml:space="preserve">Danmark inkl. Färöarna och Grönland      </t>
  </si>
  <si>
    <t xml:space="preserve">ECB                                      </t>
  </si>
  <si>
    <t xml:space="preserve">EURO                                     </t>
  </si>
  <si>
    <t xml:space="preserve">Frankrike (inkl. Monaco)                 </t>
  </si>
  <si>
    <t xml:space="preserve">Frankrike exkl. Monaco                   </t>
  </si>
  <si>
    <t xml:space="preserve">Färöarna                                 </t>
  </si>
  <si>
    <t xml:space="preserve">Före detta Sovjetunionen                 </t>
  </si>
  <si>
    <t xml:space="preserve">Före detta Tjeckoslovakien               </t>
  </si>
  <si>
    <t xml:space="preserve">Före detta Östtyskland                   </t>
  </si>
  <si>
    <t xml:space="preserve">Grönland                                 </t>
  </si>
  <si>
    <t xml:space="preserve">Internationella organisationer (exkl. BI </t>
  </si>
  <si>
    <t xml:space="preserve">Israel (exkl. Palestina)                 </t>
  </si>
  <si>
    <t xml:space="preserve">Israel inkl. Palestina                   </t>
  </si>
  <si>
    <t xml:space="preserve">Italien (exkl. San Marino)               </t>
  </si>
  <si>
    <t xml:space="preserve">Italien inkl. San Marino                 </t>
  </si>
  <si>
    <t xml:space="preserve">Jordan                                   </t>
  </si>
  <si>
    <t xml:space="preserve">Jugoslavien (Serbien och Montenegro)     </t>
  </si>
  <si>
    <t xml:space="preserve">Malaysien                                </t>
  </si>
  <si>
    <t xml:space="preserve">Moldovien                                </t>
  </si>
  <si>
    <t xml:space="preserve">Offshore centers                         </t>
  </si>
  <si>
    <t xml:space="preserve">Ofördelat Totalt                         </t>
  </si>
  <si>
    <t xml:space="preserve">Palestina                                </t>
  </si>
  <si>
    <t xml:space="preserve">Papua New Guinea                         </t>
  </si>
  <si>
    <t xml:space="preserve">Residual Afrika och Mellersta Östern     </t>
  </si>
  <si>
    <t xml:space="preserve">Residual Asien och Stilla havet          </t>
  </si>
  <si>
    <t xml:space="preserve">Residual Europa (inkl. IBEC)             </t>
  </si>
  <si>
    <t xml:space="preserve">Residual före detta Jugoslavien          </t>
  </si>
  <si>
    <t xml:space="preserve">Residual före detta Sovjet Unionen       </t>
  </si>
  <si>
    <t xml:space="preserve">Residual före detta Tjeckoslovakien      </t>
  </si>
  <si>
    <t xml:space="preserve">Residual Latinamerika och Karibien       </t>
  </si>
  <si>
    <t xml:space="preserve">Rumänien                                 </t>
  </si>
  <si>
    <t xml:space="preserve">San Marino                               </t>
  </si>
  <si>
    <t xml:space="preserve">Schweiz (inkl. BIS)                      </t>
  </si>
  <si>
    <t xml:space="preserve">St. Helena                               </t>
  </si>
  <si>
    <t xml:space="preserve">St. Lucia                                </t>
  </si>
  <si>
    <t xml:space="preserve">St. Vincent                              </t>
  </si>
  <si>
    <t xml:space="preserve">Storbritannien (exkl. Guernsey, Isle of  </t>
  </si>
  <si>
    <t xml:space="preserve">Storbritannien (inkl. Guernsey, Isle of  </t>
  </si>
  <si>
    <t xml:space="preserve">Sverige och utlandet utom EU             </t>
  </si>
  <si>
    <t xml:space="preserve">Sverige/Inlänningar                      </t>
  </si>
  <si>
    <t xml:space="preserve">Totalt                                   </t>
  </si>
  <si>
    <t xml:space="preserve">Tyskland (inkl. ECB)                     </t>
  </si>
  <si>
    <t xml:space="preserve">USA-besittningar i Stilla havet          </t>
  </si>
  <si>
    <t xml:space="preserve">Utlandet Totalt/Utlänningar              </t>
  </si>
  <si>
    <t xml:space="preserve">Utvecklingsländer i  Asien och Stilla ha </t>
  </si>
  <si>
    <t xml:space="preserve">Utvecklingsländer i  Latinamerika och Ka </t>
  </si>
  <si>
    <t xml:space="preserve">Utvecklingsländer i Afrika och Mellersta </t>
  </si>
  <si>
    <t xml:space="preserve">Utvecklingsländer i Europa               </t>
  </si>
  <si>
    <t xml:space="preserve">Västindien UK                            </t>
  </si>
  <si>
    <t xml:space="preserve">AF                   </t>
  </si>
  <si>
    <t xml:space="preserve">AL                   </t>
  </si>
  <si>
    <t xml:space="preserve">DZ                   </t>
  </si>
  <si>
    <t xml:space="preserve">AD                   </t>
  </si>
  <si>
    <t xml:space="preserve">AO                   </t>
  </si>
  <si>
    <t xml:space="preserve">AR                   </t>
  </si>
  <si>
    <t xml:space="preserve">AM                   </t>
  </si>
  <si>
    <t xml:space="preserve">AW                   </t>
  </si>
  <si>
    <t xml:space="preserve">AU                   </t>
  </si>
  <si>
    <t xml:space="preserve">AZ                   </t>
  </si>
  <si>
    <t xml:space="preserve">BS                   </t>
  </si>
  <si>
    <t xml:space="preserve">BH                   </t>
  </si>
  <si>
    <t xml:space="preserve">BD                   </t>
  </si>
  <si>
    <t xml:space="preserve">BB                   </t>
  </si>
  <si>
    <t xml:space="preserve">BE                   </t>
  </si>
  <si>
    <t xml:space="preserve">BZ                   </t>
  </si>
  <si>
    <t xml:space="preserve">BJ                   </t>
  </si>
  <si>
    <t xml:space="preserve">BM                   </t>
  </si>
  <si>
    <t xml:space="preserve">BT                   </t>
  </si>
  <si>
    <t xml:space="preserve">7B                   </t>
  </si>
  <si>
    <t xml:space="preserve">7A                   </t>
  </si>
  <si>
    <t xml:space="preserve">BO                   </t>
  </si>
  <si>
    <t xml:space="preserve">BA                   </t>
  </si>
  <si>
    <t xml:space="preserve">BW                   </t>
  </si>
  <si>
    <t xml:space="preserve">BR                   </t>
  </si>
  <si>
    <t xml:space="preserve">1W                   </t>
  </si>
  <si>
    <t xml:space="preserve">BN                   </t>
  </si>
  <si>
    <t xml:space="preserve">BG                   </t>
  </si>
  <si>
    <t xml:space="preserve">BF                   </t>
  </si>
  <si>
    <t xml:space="preserve">BI                   </t>
  </si>
  <si>
    <t xml:space="preserve">KY                   </t>
  </si>
  <si>
    <t xml:space="preserve">CF                   </t>
  </si>
  <si>
    <t xml:space="preserve">CL                   </t>
  </si>
  <si>
    <t xml:space="preserve">CO                   </t>
  </si>
  <si>
    <t xml:space="preserve">KM                   </t>
  </si>
  <si>
    <t xml:space="preserve">CR                   </t>
  </si>
  <si>
    <t xml:space="preserve">CU                   </t>
  </si>
  <si>
    <t xml:space="preserve">CY                   </t>
  </si>
  <si>
    <t xml:space="preserve">DK                   </t>
  </si>
  <si>
    <t xml:space="preserve">2C                   </t>
  </si>
  <si>
    <t xml:space="preserve">CD                   </t>
  </si>
  <si>
    <t xml:space="preserve">DJ                   </t>
  </si>
  <si>
    <t xml:space="preserve">DM                   </t>
  </si>
  <si>
    <t xml:space="preserve">DO                   </t>
  </si>
  <si>
    <t xml:space="preserve">1X                   </t>
  </si>
  <si>
    <t xml:space="preserve">EC                   </t>
  </si>
  <si>
    <t xml:space="preserve">EG                   </t>
  </si>
  <si>
    <t xml:space="preserve">GQ                   </t>
  </si>
  <si>
    <t xml:space="preserve">SV                   </t>
  </si>
  <si>
    <t xml:space="preserve">CI                   </t>
  </si>
  <si>
    <t xml:space="preserve">5C                   </t>
  </si>
  <si>
    <t xml:space="preserve">ER                   </t>
  </si>
  <si>
    <t xml:space="preserve">EE                   </t>
  </si>
  <si>
    <t xml:space="preserve">ET                   </t>
  </si>
  <si>
    <t xml:space="preserve">5D                   </t>
  </si>
  <si>
    <t xml:space="preserve">FK                   </t>
  </si>
  <si>
    <t xml:space="preserve">FJ                   </t>
  </si>
  <si>
    <t xml:space="preserve">PH                   </t>
  </si>
  <si>
    <r>
      <t xml:space="preserve">1.        Denna blankett tillhandahålls i Excelformat som hämtas och skickas in via Internet, på </t>
    </r>
    <r>
      <rPr>
        <b/>
        <sz val="10"/>
        <rFont val="Arial"/>
        <family val="2"/>
      </rPr>
      <t>http://www.fmwebb.scb.se, Övrig finansmarknadsstatistik, Balansstatistik (BAST), Investmentbolag kvartal.</t>
    </r>
    <r>
      <rPr>
        <sz val="10"/>
        <rFont val="Arial"/>
        <family val="2"/>
      </rPr>
      <t xml:space="preserve"> Denna hemsida är öppen för alla och innehåller förutom blanketter information om statistiken och hur den tas fram. </t>
    </r>
  </si>
  <si>
    <r>
      <t>4.</t>
    </r>
    <r>
      <rPr>
        <sz val="7"/>
        <rFont val="Times New Roman"/>
        <family val="1"/>
      </rPr>
      <t xml:space="preserve">               </t>
    </r>
    <r>
      <rPr>
        <sz val="10"/>
        <rFont val="Arial"/>
        <family val="2"/>
      </rPr>
      <t xml:space="preserve">Blanketten innehåller </t>
    </r>
    <r>
      <rPr>
        <b/>
        <sz val="10"/>
        <rFont val="Arial"/>
        <family val="2"/>
      </rPr>
      <t>kontroller</t>
    </r>
    <r>
      <rPr>
        <sz val="10"/>
        <rFont val="Arial"/>
        <family val="2"/>
      </rPr>
      <t xml:space="preserve"> till stöd för rapporteringen. Genom kontrollfunktion i blanketten visas olika konsistensfel på skärmen. Dessa bör rättas innan blanketten sänds till SCB. </t>
    </r>
  </si>
  <si>
    <r>
      <t>3.</t>
    </r>
    <r>
      <rPr>
        <sz val="7"/>
        <rFont val="Times New Roman"/>
        <family val="1"/>
      </rPr>
      <t xml:space="preserve">               </t>
    </r>
    <r>
      <rPr>
        <b/>
        <sz val="10"/>
        <rFont val="Arial"/>
        <family val="2"/>
      </rPr>
      <t>Inmatningen</t>
    </r>
    <r>
      <rPr>
        <sz val="10"/>
        <rFont val="Arial"/>
        <family val="2"/>
      </rPr>
      <t xml:space="preserve"> i blanketten sker manuellt direkt i det på den egna datorn sparade kalkylarket. Utförligare information om hur skall man arbeta med denna blankett finns i </t>
    </r>
    <r>
      <rPr>
        <b/>
        <sz val="10"/>
        <rFont val="Arial"/>
        <family val="2"/>
      </rPr>
      <t>dokumentet 'Elektronisk rapportering'</t>
    </r>
    <r>
      <rPr>
        <sz val="10"/>
        <rFont val="Arial"/>
        <family val="2"/>
      </rPr>
      <t xml:space="preserve"> på hemsidan.</t>
    </r>
  </si>
  <si>
    <r>
      <t>8.</t>
    </r>
    <r>
      <rPr>
        <sz val="7"/>
        <rFont val="Times New Roman"/>
        <family val="1"/>
      </rPr>
      <t xml:space="preserve">               </t>
    </r>
    <r>
      <rPr>
        <sz val="10"/>
        <rFont val="Arial"/>
        <family val="2"/>
      </rPr>
      <t xml:space="preserve">I det gråa fältet i ‘Felaktiga kontroller’ visas </t>
    </r>
    <r>
      <rPr>
        <b/>
        <sz val="10"/>
        <rFont val="Arial"/>
        <family val="2"/>
      </rPr>
      <t>formeln</t>
    </r>
    <r>
      <rPr>
        <sz val="10"/>
        <rFont val="Arial"/>
        <family val="2"/>
      </rPr>
      <t xml:space="preserve"> för den kontroll som lösts ut. Man ser också ‘Delresultat’, dvs. de numeriska värdena på respektive sida om likhets-/större än- / mindre än -tecken i kontrollen.</t>
    </r>
  </si>
  <si>
    <r>
      <t>9.</t>
    </r>
    <r>
      <rPr>
        <sz val="7"/>
        <rFont val="Times New Roman"/>
        <family val="1"/>
      </rPr>
      <t xml:space="preserve">               </t>
    </r>
    <r>
      <rPr>
        <sz val="10"/>
        <rFont val="Arial"/>
        <family val="2"/>
      </rPr>
      <t xml:space="preserve">För att </t>
    </r>
    <r>
      <rPr>
        <b/>
        <sz val="10"/>
        <rFont val="Arial"/>
        <family val="2"/>
      </rPr>
      <t>korrigera ett felaktigt värde</t>
    </r>
    <r>
      <rPr>
        <sz val="10"/>
        <rFont val="Arial"/>
        <family val="2"/>
      </rPr>
      <t xml:space="preserve"> i en kontroll, dubbelklicka på den cell som har felaktigt värde i den högra rutan i fönstret ‘Felaktig kontroll’. Rutan ‘Ändra värde’ kommer upp, fyll i rätt värde och klicka OK. För att se om kontrollen nu är riktig, klicka på ‘Kontrollera igen’. Kontrollen bör då försvinna ur listan över felaktiga kontroller. </t>
    </r>
  </si>
  <si>
    <r>
      <t>10.</t>
    </r>
    <r>
      <rPr>
        <sz val="7"/>
        <rFont val="Times New Roman"/>
        <family val="1"/>
      </rPr>
      <t xml:space="preserve">           </t>
    </r>
    <r>
      <rPr>
        <sz val="10"/>
        <rFont val="Arial"/>
        <family val="2"/>
      </rPr>
      <t xml:space="preserve">För att se vilken </t>
    </r>
    <r>
      <rPr>
        <b/>
        <sz val="10"/>
        <rFont val="Arial"/>
        <family val="2"/>
      </rPr>
      <t>variabelkod</t>
    </r>
    <r>
      <rPr>
        <sz val="10"/>
        <rFont val="Arial"/>
        <family val="2"/>
      </rPr>
      <t xml:space="preserve"> en viss cell har, ställ markören i cellen i blanketten och högerklicka. Välj ‘Visa/dölj cellens variabelkod’, så visas en kommentarsruta med variabelkoden. Gör om proceduren för att dölja den igen. Variabelkoden är SCB:s ID-begrepp för varje uppgift och har främst betydelse för de rapportörer som läser in värden maskinellt i blanketterna.</t>
    </r>
  </si>
  <si>
    <r>
      <t>11.</t>
    </r>
    <r>
      <rPr>
        <sz val="7"/>
        <rFont val="Times New Roman"/>
        <family val="1"/>
      </rPr>
      <t xml:space="preserve">           </t>
    </r>
    <r>
      <rPr>
        <sz val="10"/>
        <rFont val="Arial"/>
        <family val="2"/>
      </rPr>
      <t xml:space="preserve">Eventuella </t>
    </r>
    <r>
      <rPr>
        <b/>
        <sz val="10"/>
        <rFont val="Arial"/>
        <family val="2"/>
      </rPr>
      <t>värden på delraderna</t>
    </r>
    <r>
      <rPr>
        <sz val="10"/>
        <rFont val="Arial"/>
        <family val="2"/>
      </rPr>
      <t xml:space="preserve"> för certifikat (rad 14) och obligationer (rad 15) summeras automatiskt upp i Balansstatistiken.</t>
    </r>
  </si>
  <si>
    <r>
      <t>b.</t>
    </r>
    <r>
      <rPr>
        <sz val="7"/>
        <rFont val="Times New Roman"/>
        <family val="1"/>
      </rPr>
      <t xml:space="preserve">  </t>
    </r>
    <r>
      <rPr>
        <b/>
        <sz val="10"/>
        <rFont val="Arial"/>
        <family val="2"/>
      </rPr>
      <t>Kontrollera blankett</t>
    </r>
    <r>
      <rPr>
        <sz val="10"/>
        <rFont val="Arial"/>
        <family val="2"/>
      </rPr>
      <t>: Klicka så utförs kontroll av blanketten (se förklaringar nedan punkter 6-9).</t>
    </r>
  </si>
  <si>
    <r>
      <t>5.       På fliken '</t>
    </r>
    <r>
      <rPr>
        <b/>
        <sz val="10"/>
        <rFont val="Arial"/>
        <family val="2"/>
      </rPr>
      <t>Blankett'</t>
    </r>
    <r>
      <rPr>
        <sz val="10"/>
        <rFont val="Arial"/>
        <family val="2"/>
      </rPr>
      <t xml:space="preserve"> sker inmatningen av balansvärden.</t>
    </r>
  </si>
  <si>
    <r>
      <t>6.</t>
    </r>
    <r>
      <rPr>
        <sz val="7"/>
        <rFont val="Times New Roman"/>
        <family val="1"/>
      </rPr>
      <t>             </t>
    </r>
    <r>
      <rPr>
        <b/>
        <sz val="10"/>
        <rFont val="Arial"/>
        <family val="2"/>
      </rPr>
      <t>Blankettens kontroller</t>
    </r>
    <r>
      <rPr>
        <sz val="10"/>
        <rFont val="Arial"/>
        <family val="2"/>
      </rPr>
      <t xml:space="preserve"> kan utföras antingen genom att man klickar på knappen ‘Kontrollera blankett’ på fliken Start, eller genom att man högerklickar och väljer ‘Utför kontroll’. Högerklick fungerar var man än befinner sig i blanketten.</t>
    </r>
  </si>
  <si>
    <r>
      <t>7.</t>
    </r>
    <r>
      <rPr>
        <sz val="7"/>
        <rFont val="Times New Roman"/>
        <family val="1"/>
      </rPr>
      <t>            </t>
    </r>
    <r>
      <rPr>
        <sz val="10"/>
        <rFont val="Arial"/>
        <family val="2"/>
      </rPr>
      <t>Om ifyllda data inte klarar inlagda kontroller visas fönstret ‘</t>
    </r>
    <r>
      <rPr>
        <b/>
        <sz val="10"/>
        <rFont val="Arial"/>
        <family val="2"/>
      </rPr>
      <t>Felaktiga kontroller</t>
    </r>
    <r>
      <rPr>
        <sz val="10"/>
        <rFont val="Arial"/>
        <family val="2"/>
      </rPr>
      <t xml:space="preserve">’. I fönstrets vänstra del visas samtliga kontroller som lösts ut. Då en av kontrollerna markeras, visas cellkoordinaterna för de i kontrollen ingående cellerna tillsammans med ifyllda värden i fönstrets högra del. Om en cell markeras i högra delen av fönstret, ställer sig markören i denna cell i blanketten. </t>
    </r>
  </si>
  <si>
    <r>
      <t xml:space="preserve">4.       Fliken </t>
    </r>
    <r>
      <rPr>
        <b/>
        <sz val="10"/>
        <rFont val="Arial"/>
        <family val="2"/>
      </rPr>
      <t>'Försättsblad'</t>
    </r>
    <r>
      <rPr>
        <sz val="10"/>
        <rFont val="Arial"/>
        <family val="2"/>
      </rPr>
      <t>: försättsblad ligger med i blankettfilerna för utskrift av kopia för eget bruk. Detta blad skickas ej med till SCB.</t>
    </r>
  </si>
  <si>
    <r>
      <t xml:space="preserve">2.        En dialogruta med en säkerhetsvarning kommer upp då filen öpnas, välj därför 'Aktivera makron'. Får man inget sådant måste man </t>
    </r>
    <r>
      <rPr>
        <b/>
        <sz val="10"/>
        <rFont val="Arial"/>
        <family val="2"/>
      </rPr>
      <t>sänka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säkerhetsnivån</t>
    </r>
    <r>
      <rPr>
        <sz val="10"/>
        <rFont val="Arial"/>
        <family val="2"/>
      </rPr>
      <t xml:space="preserve"> från hög till medel under Verktyg – Makro – Säkerhet. Stäng Excel och öppna blanketten på nytt.</t>
    </r>
  </si>
  <si>
    <r>
      <t>1.</t>
    </r>
    <r>
      <rPr>
        <sz val="7"/>
        <rFont val="Times New Roman"/>
        <family val="1"/>
      </rPr>
      <t xml:space="preserve">               </t>
    </r>
    <r>
      <rPr>
        <sz val="10"/>
        <rFont val="Arial"/>
        <family val="2"/>
      </rPr>
      <t xml:space="preserve">Blanketten kan </t>
    </r>
    <r>
      <rPr>
        <b/>
        <sz val="10"/>
        <rFont val="Arial"/>
        <family val="2"/>
      </rPr>
      <t>inte</t>
    </r>
    <r>
      <rPr>
        <sz val="10"/>
        <rFont val="Arial"/>
        <family val="2"/>
      </rPr>
      <t xml:space="preserve"> fyllas i direkt på hemsidan. </t>
    </r>
    <r>
      <rPr>
        <b/>
        <sz val="10"/>
        <rFont val="Arial"/>
        <family val="2"/>
      </rPr>
      <t>Spara filen lokalt på datorn</t>
    </r>
    <r>
      <rPr>
        <sz val="10"/>
        <rFont val="Arial"/>
        <family val="2"/>
      </rPr>
      <t>, stäng internetversionen och öppna den sparade blanketten via Excel.</t>
    </r>
  </si>
  <si>
    <r>
      <t>c.</t>
    </r>
    <r>
      <rPr>
        <sz val="7"/>
        <rFont val="Times New Roman"/>
        <family val="1"/>
      </rPr>
      <t xml:space="preserve">  </t>
    </r>
    <r>
      <rPr>
        <b/>
        <sz val="10"/>
        <rFont val="Arial"/>
        <family val="2"/>
      </rPr>
      <t>Skicka blankett till SCB</t>
    </r>
    <r>
      <rPr>
        <sz val="10"/>
        <rFont val="Arial"/>
        <family val="2"/>
      </rPr>
      <t>: användarnamn (institutnummer), lösenord och rapportperiod (kvartal, år) är obligatoriska uppgifter då data skall skickas in. Fylla även i kontaktperson samt kontaktuppgifter.</t>
    </r>
  </si>
  <si>
    <r>
      <t>2.</t>
    </r>
    <r>
      <rPr>
        <sz val="7"/>
        <rFont val="Times New Roman"/>
        <family val="1"/>
      </rPr>
      <t xml:space="preserve">               </t>
    </r>
    <r>
      <rPr>
        <sz val="10"/>
        <rFont val="Arial"/>
        <family val="2"/>
      </rPr>
      <t xml:space="preserve">En </t>
    </r>
    <r>
      <rPr>
        <b/>
        <sz val="10"/>
        <rFont val="Arial"/>
        <family val="2"/>
      </rPr>
      <t>nerladdad</t>
    </r>
    <r>
      <rPr>
        <sz val="10"/>
        <rFont val="Arial"/>
        <family val="2"/>
      </rPr>
      <t xml:space="preserve"> blankett fungerar som en </t>
    </r>
    <r>
      <rPr>
        <b/>
        <sz val="10"/>
        <rFont val="Arial"/>
        <family val="2"/>
      </rPr>
      <t>vanlig Excel arbetsbok</t>
    </r>
    <r>
      <rPr>
        <sz val="10"/>
        <rFont val="Arial"/>
        <family val="2"/>
      </rPr>
      <t xml:space="preserve"> och fylls i lokalt, dvs. man behöver inte vara uppkopplad mot SCB:s hemsida under inmatningen av uppgifter. </t>
    </r>
  </si>
  <si>
    <t xml:space="preserve">FI                   </t>
  </si>
  <si>
    <t xml:space="preserve">FR                   </t>
  </si>
  <si>
    <t xml:space="preserve">2D                   </t>
  </si>
  <si>
    <t xml:space="preserve">PF                   </t>
  </si>
  <si>
    <t xml:space="preserve">FO                   </t>
  </si>
  <si>
    <t xml:space="preserve">SU                   </t>
  </si>
  <si>
    <t xml:space="preserve">CS                   </t>
  </si>
  <si>
    <t xml:space="preserve">Box 24 300, </t>
  </si>
  <si>
    <t>104 51</t>
  </si>
  <si>
    <t xml:space="preserve">DD                   </t>
  </si>
  <si>
    <t xml:space="preserve">AE                   </t>
  </si>
  <si>
    <t xml:space="preserve">GA                   </t>
  </si>
  <si>
    <t xml:space="preserve">GM                   </t>
  </si>
  <si>
    <t xml:space="preserve">GE                   </t>
  </si>
  <si>
    <t xml:space="preserve">GH                   </t>
  </si>
  <si>
    <t xml:space="preserve">GI                   </t>
  </si>
  <si>
    <t xml:space="preserve">GR                   </t>
  </si>
  <si>
    <t xml:space="preserve">GD                   </t>
  </si>
  <si>
    <t xml:space="preserve">GL                   </t>
  </si>
  <si>
    <t xml:space="preserve">GT                   </t>
  </si>
  <si>
    <t xml:space="preserve">GG                   </t>
  </si>
  <si>
    <t xml:space="preserve">GN                   </t>
  </si>
  <si>
    <t xml:space="preserve">GW                   </t>
  </si>
  <si>
    <t xml:space="preserve">GY                   </t>
  </si>
  <si>
    <t xml:space="preserve">HT                   </t>
  </si>
  <si>
    <t xml:space="preserve">NL                   </t>
  </si>
  <si>
    <t xml:space="preserve">HN                   </t>
  </si>
  <si>
    <t xml:space="preserve">HK                   </t>
  </si>
  <si>
    <t xml:space="preserve">IN                   </t>
  </si>
  <si>
    <t xml:space="preserve">ID                   </t>
  </si>
  <si>
    <t xml:space="preserve">5R                   </t>
  </si>
  <si>
    <t xml:space="preserve">1F                   </t>
  </si>
  <si>
    <t xml:space="preserve">1C                   </t>
  </si>
  <si>
    <t xml:space="preserve">IQ                   </t>
  </si>
  <si>
    <t xml:space="preserve">IR                   </t>
  </si>
  <si>
    <t xml:space="preserve">IE                   </t>
  </si>
  <si>
    <t xml:space="preserve">IS                   </t>
  </si>
  <si>
    <t xml:space="preserve">IM                   </t>
  </si>
  <si>
    <t xml:space="preserve">IL                   </t>
  </si>
  <si>
    <t xml:space="preserve">2G                   </t>
  </si>
  <si>
    <t xml:space="preserve">IT                   </t>
  </si>
  <si>
    <t xml:space="preserve">2F                   </t>
  </si>
  <si>
    <t xml:space="preserve">JM                   </t>
  </si>
  <si>
    <t xml:space="preserve">JP                   </t>
  </si>
  <si>
    <t xml:space="preserve">JE                   </t>
  </si>
  <si>
    <t xml:space="preserve">JO                   </t>
  </si>
  <si>
    <t xml:space="preserve">YU                   </t>
  </si>
  <si>
    <t xml:space="preserve">KH                   </t>
  </si>
  <si>
    <t xml:space="preserve">CM                   </t>
  </si>
  <si>
    <t xml:space="preserve">CA                   </t>
  </si>
  <si>
    <t xml:space="preserve">CV                   </t>
  </si>
  <si>
    <t xml:space="preserve">KZ                   </t>
  </si>
  <si>
    <t xml:space="preserve">KE                   </t>
  </si>
  <si>
    <t xml:space="preserve">CN                   </t>
  </si>
  <si>
    <t xml:space="preserve">KG                   </t>
  </si>
  <si>
    <t xml:space="preserve">KI                   </t>
  </si>
  <si>
    <t xml:space="preserve">CG                   </t>
  </si>
  <si>
    <t xml:space="preserve">HR                   </t>
  </si>
  <si>
    <t xml:space="preserve">KW                   </t>
  </si>
  <si>
    <t xml:space="preserve">LA                   </t>
  </si>
  <si>
    <t xml:space="preserve">7K                   </t>
  </si>
  <si>
    <t xml:space="preserve">LS                   </t>
  </si>
  <si>
    <t xml:space="preserve">LV                   </t>
  </si>
  <si>
    <t xml:space="preserve">LB                   </t>
  </si>
  <si>
    <t xml:space="preserve">LR                   </t>
  </si>
  <si>
    <t xml:space="preserve">LY                   </t>
  </si>
  <si>
    <t xml:space="preserve">LI                   </t>
  </si>
  <si>
    <t xml:space="preserve">LT                   </t>
  </si>
  <si>
    <t xml:space="preserve">LU                   </t>
  </si>
  <si>
    <t xml:space="preserve">MO                   </t>
  </si>
  <si>
    <t xml:space="preserve">MG                   </t>
  </si>
  <si>
    <t xml:space="preserve">MK                   </t>
  </si>
  <si>
    <t xml:space="preserve">MW                   </t>
  </si>
  <si>
    <t xml:space="preserve">MY                   </t>
  </si>
  <si>
    <t xml:space="preserve">MV                   </t>
  </si>
  <si>
    <t xml:space="preserve">ML                   </t>
  </si>
  <si>
    <t xml:space="preserve">MT                   </t>
  </si>
  <si>
    <t xml:space="preserve">MA                   </t>
  </si>
  <si>
    <t xml:space="preserve">MR                   </t>
  </si>
  <si>
    <t xml:space="preserve">MU                   </t>
  </si>
  <si>
    <t xml:space="preserve">MX                   </t>
  </si>
  <si>
    <t xml:space="preserve">MD                   </t>
  </si>
  <si>
    <t xml:space="preserve">2E                   </t>
  </si>
  <si>
    <t xml:space="preserve">MN                   </t>
  </si>
  <si>
    <t xml:space="preserve">MZ                   </t>
  </si>
  <si>
    <t xml:space="preserve">MM                   </t>
  </si>
  <si>
    <t xml:space="preserve">NA                   </t>
  </si>
  <si>
    <t xml:space="preserve">NR                   </t>
  </si>
  <si>
    <t xml:space="preserve">AN                   </t>
  </si>
  <si>
    <t xml:space="preserve">NP                   </t>
  </si>
  <si>
    <t xml:space="preserve">NI                   </t>
  </si>
  <si>
    <t xml:space="preserve">NE                   </t>
  </si>
  <si>
    <t xml:space="preserve">NG                   </t>
  </si>
  <si>
    <t xml:space="preserve">KP                   </t>
  </si>
  <si>
    <t xml:space="preserve">NO                   </t>
  </si>
  <si>
    <t xml:space="preserve">NC                   </t>
  </si>
  <si>
    <t xml:space="preserve">NZ                   </t>
  </si>
  <si>
    <t xml:space="preserve">1N                   </t>
  </si>
  <si>
    <t xml:space="preserve">5M                   </t>
  </si>
  <si>
    <t xml:space="preserve">5T                   </t>
  </si>
  <si>
    <t xml:space="preserve">OM                   </t>
  </si>
  <si>
    <t xml:space="preserve">PK                   </t>
  </si>
  <si>
    <t xml:space="preserve">PS                   </t>
  </si>
  <si>
    <t xml:space="preserve">PA                   </t>
  </si>
  <si>
    <t xml:space="preserve">PG                   </t>
  </si>
  <si>
    <t xml:space="preserve">PY                   </t>
  </si>
  <si>
    <t xml:space="preserve">PE                   </t>
  </si>
  <si>
    <t xml:space="preserve">PL                   </t>
  </si>
  <si>
    <t xml:space="preserve">PT                   </t>
  </si>
  <si>
    <t xml:space="preserve">QA                   </t>
  </si>
  <si>
    <r>
      <t>OBS!</t>
    </r>
    <r>
      <rPr>
        <b/>
        <sz val="9"/>
        <color indexed="10"/>
        <rFont val="Arial"/>
        <family val="2"/>
      </rPr>
      <t xml:space="preserve">  Detta blad skickas inte med till SCB. Används av företaget om man vill printa ut en kopia.</t>
    </r>
  </si>
  <si>
    <t xml:space="preserve">2W                   </t>
  </si>
  <si>
    <t xml:space="preserve">2O                   </t>
  </si>
  <si>
    <t xml:space="preserve">2B                   </t>
  </si>
  <si>
    <t xml:space="preserve">2S                   </t>
  </si>
  <si>
    <t xml:space="preserve">2T                   </t>
  </si>
  <si>
    <t xml:space="preserve">2U                   </t>
  </si>
  <si>
    <t xml:space="preserve">2H                   </t>
  </si>
  <si>
    <t xml:space="preserve">RW                   </t>
  </si>
  <si>
    <t xml:space="preserve">RO                   </t>
  </si>
  <si>
    <t xml:space="preserve">RU                   </t>
  </si>
  <si>
    <t xml:space="preserve">SB                   </t>
  </si>
  <si>
    <t xml:space="preserve">SM                   </t>
  </si>
  <si>
    <t xml:space="preserve">ST                   </t>
  </si>
  <si>
    <t xml:space="preserve">SA                   </t>
  </si>
  <si>
    <t xml:space="preserve">CH                   </t>
  </si>
  <si>
    <t xml:space="preserve">SN                   </t>
  </si>
  <si>
    <t xml:space="preserve">SC                   </t>
  </si>
  <si>
    <t xml:space="preserve">SL                   </t>
  </si>
  <si>
    <t xml:space="preserve">SG                   </t>
  </si>
  <si>
    <t xml:space="preserve">SK                   </t>
  </si>
  <si>
    <t xml:space="preserve">SI                   </t>
  </si>
  <si>
    <t xml:space="preserve">SO                   </t>
  </si>
  <si>
    <t xml:space="preserve">ES                   </t>
  </si>
  <si>
    <t xml:space="preserve">LK                   </t>
  </si>
  <si>
    <t xml:space="preserve">SH                   </t>
  </si>
  <si>
    <t xml:space="preserve">LC                   </t>
  </si>
  <si>
    <t xml:space="preserve">VC                   </t>
  </si>
  <si>
    <t xml:space="preserve">U1                   </t>
  </si>
  <si>
    <t xml:space="preserve">GB                   </t>
  </si>
  <si>
    <t xml:space="preserve">SD                   </t>
  </si>
  <si>
    <t xml:space="preserve">SR                   </t>
  </si>
  <si>
    <t xml:space="preserve">3A                   </t>
  </si>
  <si>
    <t xml:space="preserve">1E                   </t>
  </si>
  <si>
    <t xml:space="preserve">SZ                   </t>
  </si>
  <si>
    <t xml:space="preserve">ZA                   </t>
  </si>
  <si>
    <t xml:space="preserve">KR                   </t>
  </si>
  <si>
    <t xml:space="preserve">SY                   </t>
  </si>
  <si>
    <t xml:space="preserve">TJ                   </t>
  </si>
  <si>
    <t xml:space="preserve">TW                   </t>
  </si>
  <si>
    <t xml:space="preserve">TZ                   </t>
  </si>
  <si>
    <t xml:space="preserve">TD                   </t>
  </si>
  <si>
    <t xml:space="preserve">TH                   </t>
  </si>
  <si>
    <t xml:space="preserve">CZ                   </t>
  </si>
  <si>
    <t xml:space="preserve">TG                   </t>
  </si>
  <si>
    <t xml:space="preserve">TO                   </t>
  </si>
  <si>
    <t xml:space="preserve">5J                   </t>
  </si>
  <si>
    <t xml:space="preserve">TT                   </t>
  </si>
  <si>
    <t xml:space="preserve">TN                   </t>
  </si>
  <si>
    <t xml:space="preserve">TR                   </t>
  </si>
  <si>
    <t xml:space="preserve">TM                   </t>
  </si>
  <si>
    <t xml:space="preserve">TC                   </t>
  </si>
  <si>
    <t xml:space="preserve">TV                   </t>
  </si>
  <si>
    <t xml:space="preserve">DE                   </t>
  </si>
  <si>
    <t xml:space="preserve">UG                   </t>
  </si>
  <si>
    <t xml:space="preserve">UA                   </t>
  </si>
  <si>
    <t xml:space="preserve">HU                   </t>
  </si>
  <si>
    <t xml:space="preserve">UY                   </t>
  </si>
  <si>
    <t xml:space="preserve">US                   </t>
  </si>
  <si>
    <t xml:space="preserve">PU                   </t>
  </si>
  <si>
    <t>Rapporteringen av "Balansstatistik för investmentbolag" elektroniskt till Statistiska centralbyrån (SCB).</t>
  </si>
  <si>
    <r>
      <t>8.</t>
    </r>
    <r>
      <rPr>
        <sz val="7"/>
        <rFont val="Times New Roman"/>
        <family val="1"/>
      </rPr>
      <t xml:space="preserve">               </t>
    </r>
    <r>
      <rPr>
        <b/>
        <sz val="10"/>
        <rFont val="Arial"/>
        <family val="2"/>
      </rPr>
      <t>Blanketterna kan behöva uppdateras</t>
    </r>
    <r>
      <rPr>
        <sz val="10"/>
        <rFont val="Arial"/>
        <family val="2"/>
      </rPr>
      <t xml:space="preserve"> och bytas ut. Det är därför lämpligt att ta för vana att då rapporteringen skall göras </t>
    </r>
    <r>
      <rPr>
        <b/>
        <sz val="10"/>
        <rFont val="Arial"/>
        <family val="2"/>
      </rPr>
      <t>gå in på hemsidan</t>
    </r>
    <r>
      <rPr>
        <sz val="10"/>
        <rFont val="Arial"/>
        <family val="2"/>
      </rPr>
      <t xml:space="preserve"> och se om det har kommit upp </t>
    </r>
    <r>
      <rPr>
        <b/>
        <sz val="10"/>
        <rFont val="Arial"/>
        <family val="2"/>
      </rPr>
      <t>nya versioner</t>
    </r>
    <r>
      <rPr>
        <sz val="10"/>
        <rFont val="Arial"/>
        <family val="2"/>
      </rPr>
      <t xml:space="preserve"> av blanketterna.</t>
    </r>
  </si>
  <si>
    <r>
      <t>6.</t>
    </r>
    <r>
      <rPr>
        <sz val="7"/>
        <rFont val="Times New Roman"/>
        <family val="1"/>
      </rPr>
      <t xml:space="preserve">               </t>
    </r>
    <r>
      <rPr>
        <b/>
        <sz val="10"/>
        <rFont val="Arial"/>
        <family val="2"/>
      </rPr>
      <t>Färdig blankett sänds krypterad</t>
    </r>
    <r>
      <rPr>
        <sz val="10"/>
        <rFont val="Arial"/>
        <family val="2"/>
      </rPr>
      <t xml:space="preserve"> till SCB när rapportören trycker på knappen ’Skicka blankett till SCB’ på fliken Start. Då anropas SCB:s hemsida automatiskt av Excel och en inloggningsruta kommer upp där användarnamn och lösenord skall anges. När blanketten kommit fram till SCB, visas en kvittens på rapportörens skärm.</t>
    </r>
  </si>
  <si>
    <t xml:space="preserve">6C                   </t>
  </si>
  <si>
    <t xml:space="preserve">6B                   </t>
  </si>
  <si>
    <t xml:space="preserve">3P                   </t>
  </si>
  <si>
    <t xml:space="preserve">4Y                   </t>
  </si>
  <si>
    <t xml:space="preserve">4U                   </t>
  </si>
  <si>
    <t xml:space="preserve">4W                   </t>
  </si>
  <si>
    <t xml:space="preserve">3C                   </t>
  </si>
  <si>
    <t xml:space="preserve">UZ                   </t>
  </si>
  <si>
    <t xml:space="preserve">VU                   </t>
  </si>
  <si>
    <t xml:space="preserve">VA                   </t>
  </si>
  <si>
    <t xml:space="preserve">VE                   </t>
  </si>
  <si>
    <t xml:space="preserve">VN                   </t>
  </si>
  <si>
    <t xml:space="preserve">BY                   </t>
  </si>
  <si>
    <t xml:space="preserve">1Z                   </t>
  </si>
  <si>
    <t xml:space="preserve">WS                   </t>
  </si>
  <si>
    <t xml:space="preserve">WF                   </t>
  </si>
  <si>
    <t xml:space="preserve">YE                   </t>
  </si>
  <si>
    <t xml:space="preserve">ZM                   </t>
  </si>
  <si>
    <t xml:space="preserve">ZW                   </t>
  </si>
  <si>
    <t xml:space="preserve">AT                   </t>
  </si>
  <si>
    <t xml:space="preserve">7I                   </t>
  </si>
  <si>
    <t xml:space="preserve">7M                   </t>
  </si>
  <si>
    <t xml:space="preserve">7N                   </t>
  </si>
  <si>
    <t>Balansstatistik för investmentbolag</t>
  </si>
  <si>
    <t>MP/FM 734 Balansstatistik för investmentbolag</t>
  </si>
  <si>
    <t xml:space="preserve">5B                   </t>
  </si>
  <si>
    <t xml:space="preserve">6D                   </t>
  </si>
  <si>
    <t xml:space="preserve">7H                   </t>
  </si>
  <si>
    <t xml:space="preserve">7J                   </t>
  </si>
  <si>
    <t xml:space="preserve">7L                   </t>
  </si>
  <si>
    <t xml:space="preserve">7C                   </t>
  </si>
  <si>
    <t xml:space="preserve">7G                   </t>
  </si>
  <si>
    <t xml:space="preserve">ATS Österrikiska schilling               </t>
  </si>
  <si>
    <t xml:space="preserve">AUD Australiensisk dollar                </t>
  </si>
  <si>
    <t xml:space="preserve">EEK Estländska kronor                    </t>
  </si>
  <si>
    <t xml:space="preserve">Ej specificerad                          </t>
  </si>
  <si>
    <t xml:space="preserve">ESP Spansk peseta                        </t>
  </si>
  <si>
    <t xml:space="preserve">Euro                                     </t>
  </si>
  <si>
    <t xml:space="preserve">FIM Finska mark                          </t>
  </si>
  <si>
    <t xml:space="preserve">GRD Grekiska drachmer                    </t>
  </si>
  <si>
    <t xml:space="preserve">HKD Hong Kong-dollar                     </t>
  </si>
  <si>
    <t xml:space="preserve">IEP Irländska pund                       </t>
  </si>
  <si>
    <t xml:space="preserve">KYD Kajmanö-dollar                       </t>
  </si>
  <si>
    <t xml:space="preserve">LTL Litauiska lit                        </t>
  </si>
  <si>
    <t xml:space="preserve">LUF Luxemburgska franc                   </t>
  </si>
  <si>
    <t xml:space="preserve">LVL Lettiska lat                         </t>
  </si>
  <si>
    <t xml:space="preserve">NOK Norska kronor                        </t>
  </si>
  <si>
    <t xml:space="preserve">PLN Polska zloty                         </t>
  </si>
  <si>
    <t xml:space="preserve">PTE Portugisiska escudos                 </t>
  </si>
  <si>
    <t xml:space="preserve">SGD Singapore-dollar                     </t>
  </si>
  <si>
    <t xml:space="preserve">Utländska valutor utom Euro och EMU-valu </t>
  </si>
  <si>
    <t xml:space="preserve">ATS                  </t>
  </si>
  <si>
    <t xml:space="preserve">AUD                  </t>
  </si>
  <si>
    <t xml:space="preserve">BEF                  </t>
  </si>
  <si>
    <t xml:space="preserve">CHF                  </t>
  </si>
  <si>
    <t xml:space="preserve">DEM                  </t>
  </si>
  <si>
    <t xml:space="preserve">DKK                  </t>
  </si>
  <si>
    <t xml:space="preserve">EEK                  </t>
  </si>
  <si>
    <t xml:space="preserve">X                    </t>
  </si>
  <si>
    <t xml:space="preserve">ESP                  </t>
  </si>
  <si>
    <t xml:space="preserve">VU1                  </t>
  </si>
  <si>
    <t xml:space="preserve">VU2                  </t>
  </si>
  <si>
    <t xml:space="preserve">EUR                  </t>
  </si>
  <si>
    <t xml:space="preserve">VU4                  </t>
  </si>
  <si>
    <t xml:space="preserve">FIM                  </t>
  </si>
  <si>
    <t xml:space="preserve">FRF                  </t>
  </si>
  <si>
    <t xml:space="preserve">GBP                  </t>
  </si>
  <si>
    <t xml:space="preserve">GRD                  </t>
  </si>
  <si>
    <t xml:space="preserve">HKD                  </t>
  </si>
  <si>
    <t xml:space="preserve">IEP                  </t>
  </si>
  <si>
    <t xml:space="preserve">ITL                  </t>
  </si>
  <si>
    <t xml:space="preserve">JPY                  </t>
  </si>
  <si>
    <t xml:space="preserve">KYD                  </t>
  </si>
  <si>
    <t xml:space="preserve">LTL                  </t>
  </si>
  <si>
    <t xml:space="preserve">LUF                  </t>
  </si>
  <si>
    <t xml:space="preserve">LVL                  </t>
  </si>
  <si>
    <t xml:space="preserve">NLG                  </t>
  </si>
  <si>
    <t xml:space="preserve">NOK                  </t>
  </si>
  <si>
    <t xml:space="preserve">PLN                  </t>
  </si>
  <si>
    <t xml:space="preserve">PTE                  </t>
  </si>
  <si>
    <t xml:space="preserve">SEK                  </t>
  </si>
  <si>
    <t xml:space="preserve">SGD                  </t>
  </si>
  <si>
    <t xml:space="preserve">USD                  </t>
  </si>
  <si>
    <t xml:space="preserve">VU6                  </t>
  </si>
  <si>
    <t xml:space="preserve">VU5                  </t>
  </si>
  <si>
    <t xml:space="preserve">VU3                  </t>
  </si>
  <si>
    <t xml:space="preserve">V                    </t>
  </si>
  <si>
    <t xml:space="preserve">OVR                  </t>
  </si>
  <si>
    <t>Omr.faktor</t>
  </si>
  <si>
    <t>Enhet</t>
  </si>
  <si>
    <t>Omvärderingar</t>
  </si>
  <si>
    <t>Transaktioner</t>
  </si>
  <si>
    <t>Tillgångar:</t>
  </si>
  <si>
    <t>Beloppen anges i 1000-tal kr</t>
  </si>
  <si>
    <t xml:space="preserve">Ställningsvärde (marknadsvärde) </t>
  </si>
  <si>
    <t xml:space="preserve"> +/- skall anges</t>
  </si>
  <si>
    <t>därav utlandet</t>
  </si>
  <si>
    <t>Andelar i värdepappersfonder</t>
  </si>
  <si>
    <t xml:space="preserve">därav registrerade i utlandet </t>
  </si>
  <si>
    <t>Finansiella derivat</t>
  </si>
  <si>
    <t xml:space="preserve">därav utlandet  </t>
  </si>
  <si>
    <t>Certifikat</t>
  </si>
  <si>
    <t>Staten (statsskuldväxlar)</t>
  </si>
  <si>
    <t>Svenska banker</t>
  </si>
  <si>
    <t>Svenska bostadinstitut</t>
  </si>
  <si>
    <t>Övriga svenska finansiella företag</t>
  </si>
  <si>
    <t>Svenska icke-finansiella företag</t>
  </si>
  <si>
    <t>Kommuner</t>
  </si>
  <si>
    <t>Utlandet</t>
  </si>
  <si>
    <t>Staten</t>
  </si>
  <si>
    <t>Svenska bostadsinstitut</t>
  </si>
  <si>
    <t>Transaktioner nettoköp/försäljn. +/- skall anges</t>
  </si>
  <si>
    <t>därav finansiella företag</t>
  </si>
  <si>
    <t>Nyteckning</t>
  </si>
  <si>
    <t>Inlösen</t>
  </si>
  <si>
    <t>Nyteckning, inlösen och aktieägartillskott</t>
  </si>
  <si>
    <t/>
  </si>
  <si>
    <t>Svenska noterade aktier</t>
  </si>
  <si>
    <t xml:space="preserve">Övriga svenska aktier och andelar </t>
  </si>
  <si>
    <t>Utländska noterade aktier</t>
  </si>
  <si>
    <t xml:space="preserve">Övriga utländska aktier och andelar </t>
  </si>
  <si>
    <t>Postadress:</t>
  </si>
  <si>
    <t>Besöksadress:</t>
  </si>
  <si>
    <t>Webbplats:</t>
  </si>
  <si>
    <t>Kontaktpersoner:</t>
  </si>
  <si>
    <t>Telefon:</t>
  </si>
  <si>
    <t>Telefax:</t>
  </si>
  <si>
    <t>Box 24 300, 104 51</t>
  </si>
  <si>
    <t>Karlavägen</t>
  </si>
  <si>
    <t>www.scb.se</t>
  </si>
  <si>
    <t>Aiki Parts</t>
  </si>
  <si>
    <t>08-506 945 19</t>
  </si>
  <si>
    <t>08-506 949 43</t>
  </si>
  <si>
    <t>STOCKHOLM</t>
  </si>
  <si>
    <t>Omvärdering</t>
  </si>
  <si>
    <t>Transaktion</t>
  </si>
  <si>
    <t>Skulder:</t>
  </si>
  <si>
    <t>Ställningsvärde (marknadssvärde)</t>
  </si>
  <si>
    <t>+/- skall anges</t>
  </si>
  <si>
    <t>därav emitterade i utlandet</t>
  </si>
  <si>
    <t>Obligations-, förlags- och konverteringslån utom personalkonvertibler</t>
  </si>
  <si>
    <t>Personalkonvertibler</t>
  </si>
  <si>
    <t>Nyemission</t>
  </si>
  <si>
    <t>Erhållna aktieägartillskott</t>
  </si>
  <si>
    <t>Återköp, nyemission, inlösen och aktieägartillskott</t>
  </si>
  <si>
    <t>-------------------</t>
  </si>
  <si>
    <t>Antal återköpta aktier under kvartalet:</t>
  </si>
  <si>
    <t>Nyemission inkl. överkurs</t>
  </si>
  <si>
    <t xml:space="preserve">OBS! Utförlig information som hjälp för ifyllandet av blanketten finns i HANDLEDNING TILL  </t>
  </si>
  <si>
    <t>Här lämnade uppgifter är sekretesskyddade enligt 9 kap 4 § sekretesslagen (SFS 1980:100)</t>
  </si>
  <si>
    <r>
      <t xml:space="preserve">Banktillgodohavanden </t>
    </r>
    <r>
      <rPr>
        <sz val="10"/>
        <rFont val="Arial"/>
        <family val="2"/>
      </rPr>
      <t>(inkl korta lån i svensk bank)</t>
    </r>
  </si>
  <si>
    <r>
      <t xml:space="preserve">Obligationer </t>
    </r>
    <r>
      <rPr>
        <sz val="8"/>
        <rFont val="Arial"/>
        <family val="2"/>
      </rPr>
      <t>(inkl.förlagsbevis och konvertibler)</t>
    </r>
  </si>
  <si>
    <r>
      <t xml:space="preserve">Utlåning, korta lån och depositioner exkl banktillgodohavande </t>
    </r>
    <r>
      <rPr>
        <sz val="8"/>
        <rFont val="Arial"/>
        <family val="2"/>
      </rPr>
      <t>(ej koncernlån)</t>
    </r>
  </si>
  <si>
    <r>
      <t xml:space="preserve">Utlåning, långa lån </t>
    </r>
    <r>
      <rPr>
        <sz val="8"/>
        <rFont val="Arial"/>
        <family val="2"/>
      </rPr>
      <t>(ej koncernlån)</t>
    </r>
  </si>
  <si>
    <r>
      <t>Innehav av aktier och andelar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>(inkl. aktier i koncern och intresseföretag)</t>
    </r>
  </si>
  <si>
    <r>
      <t xml:space="preserve">Svenska noterade aktier </t>
    </r>
    <r>
      <rPr>
        <sz val="8"/>
        <rFont val="Arial"/>
        <family val="2"/>
      </rPr>
      <t>(marknadsvärden)</t>
    </r>
  </si>
  <si>
    <r>
      <t xml:space="preserve">Övriga svenska aktier och andelar </t>
    </r>
    <r>
      <rPr>
        <sz val="8"/>
        <rFont val="Arial"/>
        <family val="2"/>
      </rPr>
      <t>(bokförda värden)</t>
    </r>
  </si>
  <si>
    <r>
      <t xml:space="preserve">Utländska noterade aktier </t>
    </r>
    <r>
      <rPr>
        <sz val="8"/>
        <rFont val="Arial"/>
        <family val="2"/>
      </rPr>
      <t>(marknadsvärden)</t>
    </r>
  </si>
  <si>
    <r>
      <t xml:space="preserve">Övriga utländska aktier och andelar </t>
    </r>
    <r>
      <rPr>
        <sz val="8"/>
        <rFont val="Arial"/>
        <family val="2"/>
      </rPr>
      <t>(bokförda värden)</t>
    </r>
  </si>
  <si>
    <r>
      <t>Uppgiftsplikt</t>
    </r>
    <r>
      <rPr>
        <sz val="8"/>
        <rFont val="Arial"/>
        <family val="2"/>
      </rPr>
      <t xml:space="preserve"> föreligger enligt SCB-FS 2002:25</t>
    </r>
  </si>
  <si>
    <r>
      <t xml:space="preserve">Upplåning, korta lån </t>
    </r>
    <r>
      <rPr>
        <sz val="8"/>
        <rFont val="Arial"/>
        <family val="2"/>
      </rPr>
      <t>(ej koncernlån)</t>
    </r>
  </si>
  <si>
    <r>
      <t xml:space="preserve">Upplåning, långa lån </t>
    </r>
    <r>
      <rPr>
        <sz val="8"/>
        <rFont val="Arial"/>
        <family val="2"/>
      </rPr>
      <t>(ej koncernlån)</t>
    </r>
  </si>
  <si>
    <r>
      <t xml:space="preserve">Återköp av egna aktier </t>
    </r>
    <r>
      <rPr>
        <sz val="8"/>
        <rFont val="Arial"/>
        <family val="2"/>
      </rPr>
      <t>(transaktion under kvartalet)</t>
    </r>
  </si>
  <si>
    <t>Banktillgodohavande, (S1) Nationell ekon</t>
  </si>
  <si>
    <t>A</t>
  </si>
  <si>
    <t>B11</t>
  </si>
  <si>
    <t>X</t>
  </si>
  <si>
    <t>3P</t>
  </si>
  <si>
    <t>N</t>
  </si>
  <si>
    <t>V</t>
  </si>
  <si>
    <t>B</t>
  </si>
  <si>
    <t>GRANSKN</t>
  </si>
  <si>
    <t>Banktillgodohavanden, nationell ekonomi</t>
  </si>
  <si>
    <t>5J</t>
  </si>
  <si>
    <t>Andelar i värdepapp, (S1) Nationell ekon</t>
  </si>
  <si>
    <t>B12</t>
  </si>
  <si>
    <t>M</t>
  </si>
  <si>
    <t xml:space="preserve">BLANKETT: Balansstatistik för investmentbolag </t>
  </si>
  <si>
    <t>Anna Hanser</t>
  </si>
  <si>
    <t>08-506 941 56</t>
  </si>
  <si>
    <t>Finansiella derivat, (S1) Nationell ekon</t>
  </si>
  <si>
    <t>B13</t>
  </si>
  <si>
    <t>Certifikat, (S1) Nationell ekon</t>
  </si>
  <si>
    <t>B14</t>
  </si>
  <si>
    <t>Certifikat, 3 (S1311) Staten</t>
  </si>
  <si>
    <t>1E</t>
  </si>
  <si>
    <t>N21</t>
  </si>
  <si>
    <t>Certifikat, Banker inklusive ce</t>
  </si>
  <si>
    <t>N12111</t>
  </si>
  <si>
    <t>Certifikat, 214 Bostadsinstitut</t>
  </si>
  <si>
    <t>N121121</t>
  </si>
  <si>
    <t>Certifikat, Fin ftg ex 212 Bank</t>
  </si>
  <si>
    <t>N12K</t>
  </si>
  <si>
    <t>Certifikat, 1 (S11)  Icke-finan</t>
  </si>
  <si>
    <t>N11</t>
  </si>
  <si>
    <t>Certifikat, 4 (S1313) Kommuner</t>
  </si>
  <si>
    <t>N23</t>
  </si>
  <si>
    <t>Oblig inkl förl.bev, (S1) Nationell ekon</t>
  </si>
  <si>
    <t>B15</t>
  </si>
  <si>
    <t>Oblig inkl förl.bev, 3 (S1311) Staten</t>
  </si>
  <si>
    <t>Oblig inkl förl.bev, Banker inklusive ce</t>
  </si>
  <si>
    <t>Oblig inkl förl.bev, 214 Bostadsinstitut</t>
  </si>
  <si>
    <t>Oblig inkl förl.bev, Fin ftg ex 212 Bank</t>
  </si>
  <si>
    <t>Oblig inkl förl.bev, 1 (S11)  Icke-finan</t>
  </si>
  <si>
    <t>Oblig inkl förl.bev, 4 (S1313) Kommuner</t>
  </si>
  <si>
    <t>Utlåning, korta lån, (S1) Nationell ekon</t>
  </si>
  <si>
    <t>B161</t>
  </si>
  <si>
    <t>Utlåning, långa lån, (S1) Nationell ekon</t>
  </si>
  <si>
    <t>B162</t>
  </si>
  <si>
    <t>Utlåning exkl Bankt, Koncernföretag, int</t>
  </si>
  <si>
    <t>B16</t>
  </si>
  <si>
    <t>N1A</t>
  </si>
  <si>
    <t>L</t>
  </si>
  <si>
    <t>B21</t>
  </si>
  <si>
    <t>B22</t>
  </si>
  <si>
    <t>Obl-, förl- &amp; konv., (S1) Nationell ekon</t>
  </si>
  <si>
    <t>B23</t>
  </si>
  <si>
    <t>Personalkonvertible, (S1) Nationell ekon</t>
  </si>
  <si>
    <t>B24</t>
  </si>
  <si>
    <t>Upplåning, korta lå, (S1) Nationell ekon</t>
  </si>
  <si>
    <t>B251</t>
  </si>
  <si>
    <t>Upplåning, långa lå, (S1) Nationell ekon</t>
  </si>
  <si>
    <t>B252</t>
  </si>
  <si>
    <t>Upplåning, Koncernföretag, int</t>
  </si>
  <si>
    <t>B25</t>
  </si>
  <si>
    <t>Emitterade aktier, (S1) Nationell ekon</t>
  </si>
  <si>
    <t>B26</t>
  </si>
  <si>
    <t>31A</t>
  </si>
  <si>
    <t>31B</t>
  </si>
  <si>
    <t>Noterade aktier, (S1) Nationell ekon</t>
  </si>
  <si>
    <t>Ingående balans</t>
  </si>
  <si>
    <t>Utgående balans</t>
  </si>
  <si>
    <t>Aktuellt kvartal</t>
  </si>
  <si>
    <t>Ingående kvartal</t>
  </si>
  <si>
    <t>Utgående kvartal</t>
  </si>
  <si>
    <t xml:space="preserve">KVARTALSUPPGIFT </t>
  </si>
  <si>
    <t>B171</t>
  </si>
  <si>
    <t>Noterade aktier, 2 (S12) Finansiella</t>
  </si>
  <si>
    <t>N12</t>
  </si>
  <si>
    <t>Övriga aktier och a, (S1) Nationell ekon</t>
  </si>
  <si>
    <t>B172</t>
  </si>
  <si>
    <t>Övriga aktier och a, 2 (S12) Finansiella</t>
  </si>
  <si>
    <t>Blanketten skall vara Statistiska centralbyrån tillhanda senast</t>
  </si>
  <si>
    <t>klickar på "Skicka blankett till SCB!"</t>
  </si>
  <si>
    <t>Kvittens från SCB på mottagen blankett</t>
  </si>
  <si>
    <t>Uppgiftslämnare:</t>
  </si>
  <si>
    <t>Inskickat av:</t>
  </si>
  <si>
    <t>Mottaget:</t>
  </si>
  <si>
    <t xml:space="preserve"> Lämnade aktieägartill-                                                                                                                    skott</t>
  </si>
  <si>
    <t>OK</t>
  </si>
  <si>
    <t>Emitterade aktier, nationell ekonomi</t>
  </si>
  <si>
    <t>Finansmarknad</t>
  </si>
  <si>
    <t xml:space="preserve">Uppgifter om organisationsnr, datum etc lämnas i dialogrutan som kommer upp då ni </t>
  </si>
  <si>
    <t>25 dagar efter aktuellt kvartals slut.</t>
  </si>
  <si>
    <t>KVARTALSSTATISTIK</t>
  </si>
  <si>
    <t>Kvartal</t>
  </si>
  <si>
    <t>År</t>
  </si>
  <si>
    <t>Företagets namn</t>
  </si>
  <si>
    <t>Löpnummer/organisationsnummer</t>
  </si>
  <si>
    <r>
      <t xml:space="preserve">Blanketten skall skickas in till Statistiska centralbyrån </t>
    </r>
    <r>
      <rPr>
        <b/>
        <sz val="9"/>
        <rFont val="Arial"/>
        <family val="2"/>
      </rPr>
      <t>senast 25 dagar efter varje kvartalsskifte</t>
    </r>
  </si>
  <si>
    <t>Handläggare</t>
  </si>
  <si>
    <t>Namn (TEXTA)</t>
  </si>
  <si>
    <t>Datum</t>
  </si>
  <si>
    <t>Telefon (riktnr och abonnentnr)</t>
  </si>
  <si>
    <t>e-mail</t>
  </si>
  <si>
    <t>UNDERSÖKNINGEN  MP/FM 734 Balansstatistik.</t>
  </si>
  <si>
    <r>
      <t>5.</t>
    </r>
    <r>
      <rPr>
        <sz val="7"/>
        <rFont val="Times New Roman"/>
        <family val="1"/>
      </rPr>
      <t xml:space="preserve">               </t>
    </r>
    <r>
      <rPr>
        <b/>
        <sz val="10"/>
        <rFont val="Arial"/>
        <family val="2"/>
      </rPr>
      <t>Ifylld blankett sparas</t>
    </r>
    <r>
      <rPr>
        <sz val="10"/>
        <rFont val="Arial"/>
        <family val="2"/>
      </rPr>
      <t xml:space="preserve"> som Excelfil </t>
    </r>
    <r>
      <rPr>
        <b/>
        <sz val="10"/>
        <rFont val="Arial"/>
        <family val="2"/>
      </rPr>
      <t>hos rapportören</t>
    </r>
    <r>
      <rPr>
        <sz val="10"/>
        <rFont val="Arial"/>
        <family val="2"/>
      </rPr>
      <t xml:space="preserve"> innan den sänds till SCB. </t>
    </r>
  </si>
  <si>
    <r>
      <t>7.</t>
    </r>
    <r>
      <rPr>
        <sz val="7"/>
        <rFont val="Times New Roman"/>
        <family val="1"/>
      </rPr>
      <t xml:space="preserve">               </t>
    </r>
    <r>
      <rPr>
        <b/>
        <sz val="10"/>
        <rFont val="Arial"/>
        <family val="2"/>
      </rPr>
      <t>Tekniska krav</t>
    </r>
    <r>
      <rPr>
        <sz val="10"/>
        <rFont val="Arial"/>
        <family val="2"/>
      </rPr>
      <t xml:space="preserve"> hos rapportören är att arbetsstationen har normalt fungerande Internetuppkoppling och Microsoft Excel i lägst version Excel 97. </t>
    </r>
  </si>
  <si>
    <t>Att arbeta i SCB:s blanketter för finansmarknadsstatistik:</t>
  </si>
  <si>
    <t>Karlavägen 100</t>
  </si>
  <si>
    <t>Finansiella tillgångar:</t>
  </si>
  <si>
    <t>Beloppen anges i 1000-tal kronor</t>
  </si>
  <si>
    <t>Kommentarer kan lämnas i rutan som kommer upp då man fyller i rutan Skicka blankett till SCB</t>
  </si>
  <si>
    <t>(Start-fliken).</t>
  </si>
  <si>
    <r>
      <t>Uppgiftsplikt</t>
    </r>
    <r>
      <rPr>
        <sz val="9"/>
        <rFont val="Arial"/>
        <family val="2"/>
      </rPr>
      <t xml:space="preserve"> föreligger enligt SCB-FS 2002:25</t>
    </r>
  </si>
  <si>
    <r>
      <t>OBS!</t>
    </r>
    <r>
      <rPr>
        <sz val="9"/>
        <rFont val="Arial"/>
        <family val="2"/>
      </rPr>
      <t xml:space="preserve"> För hjälp med ifyllandet av blanketten, se HANDLEDNING TILL UNDERSÖKNINGEN </t>
    </r>
  </si>
  <si>
    <t>Rapportdatum:</t>
  </si>
  <si>
    <t>Variabelkod</t>
  </si>
  <si>
    <t>Värde</t>
  </si>
  <si>
    <t>Var.Värde</t>
  </si>
  <si>
    <t>IdVariabel</t>
  </si>
  <si>
    <t>Extkod1</t>
  </si>
  <si>
    <t>Extkod2</t>
  </si>
  <si>
    <t>Extkod3</t>
  </si>
  <si>
    <t>Extkod4</t>
  </si>
  <si>
    <t>Extkod5</t>
  </si>
  <si>
    <t>Extkod6</t>
  </si>
  <si>
    <t>Extkod7</t>
  </si>
  <si>
    <t>Extkod8</t>
  </si>
  <si>
    <t>Extkod9</t>
  </si>
  <si>
    <t>Extkod10</t>
  </si>
  <si>
    <t>Extkod11</t>
  </si>
  <si>
    <t>Kortnamn</t>
  </si>
  <si>
    <t>Kopplad till cell</t>
  </si>
  <si>
    <t>Imoprt_1</t>
  </si>
  <si>
    <t>Import_2</t>
  </si>
  <si>
    <t>Gr.Var?</t>
  </si>
  <si>
    <t>Medelvärde</t>
  </si>
  <si>
    <t>Land</t>
  </si>
  <si>
    <t>Valuta</t>
  </si>
  <si>
    <t xml:space="preserve">Andorra                                  </t>
  </si>
  <si>
    <t xml:space="preserve">Förenade Arabemiraten                    </t>
  </si>
  <si>
    <t xml:space="preserve">Afghanistan                              </t>
  </si>
  <si>
    <t xml:space="preserve">Albanien                                 </t>
  </si>
  <si>
    <t xml:space="preserve">Armenien                                 </t>
  </si>
  <si>
    <t xml:space="preserve">Nederländska Antillerna                  </t>
  </si>
  <si>
    <t xml:space="preserve">Angola                                   </t>
  </si>
  <si>
    <t xml:space="preserve">Argentina                                </t>
  </si>
  <si>
    <t xml:space="preserve">Österrike                                </t>
  </si>
  <si>
    <t xml:space="preserve">Australien                               </t>
  </si>
  <si>
    <t xml:space="preserve">Aruba                                    </t>
  </si>
  <si>
    <t xml:space="preserve">Azerbadjan                               </t>
  </si>
  <si>
    <t xml:space="preserve">Barbados                                 </t>
  </si>
  <si>
    <t xml:space="preserve">Bangladesh                               </t>
  </si>
  <si>
    <t xml:space="preserve">Belgien                                  </t>
  </si>
  <si>
    <t xml:space="preserve">Burkina Faso                             </t>
  </si>
  <si>
    <t xml:space="preserve">Bulgarien                                </t>
  </si>
  <si>
    <t xml:space="preserve">Bahrain                                  </t>
  </si>
  <si>
    <t xml:space="preserve">Burundi                                  </t>
  </si>
  <si>
    <t xml:space="preserve">Benin                                    </t>
  </si>
  <si>
    <t xml:space="preserve">Bermuda                                  </t>
  </si>
  <si>
    <t xml:space="preserve">Brunei Darussalam                        </t>
  </si>
  <si>
    <t xml:space="preserve">Bolivia                                  </t>
  </si>
  <si>
    <t xml:space="preserve">Brasilien                                </t>
  </si>
  <si>
    <t xml:space="preserve">Bahamas                                  </t>
  </si>
  <si>
    <t xml:space="preserve">Bhutan                                   </t>
  </si>
  <si>
    <t xml:space="preserve">Botswana                                 </t>
  </si>
  <si>
    <t xml:space="preserve">Vitryssland                              </t>
  </si>
  <si>
    <t xml:space="preserve">Belize                                   </t>
  </si>
  <si>
    <t xml:space="preserve">Kanada                                   </t>
  </si>
  <si>
    <t xml:space="preserve">Demokratiska republiken Kongo            </t>
  </si>
  <si>
    <t xml:space="preserve">Centralafrikanska republiken             </t>
  </si>
  <si>
    <t xml:space="preserve">Kongo, folkrepubliken                    </t>
  </si>
  <si>
    <t xml:space="preserve">Elfenbenskusten                          </t>
  </si>
  <si>
    <t xml:space="preserve">Chile                                    </t>
  </si>
  <si>
    <t xml:space="preserve">Kamerun                                  </t>
  </si>
  <si>
    <t xml:space="preserve">Kina                                     </t>
  </si>
  <si>
    <t xml:space="preserve">Colombia                                 </t>
  </si>
  <si>
    <t xml:space="preserve">Costa Rica                               </t>
  </si>
  <si>
    <t xml:space="preserve">Cuba                                     </t>
  </si>
  <si>
    <t xml:space="preserve">Kap Verde                                </t>
  </si>
  <si>
    <t xml:space="preserve">Cypern                                   </t>
  </si>
  <si>
    <t xml:space="preserve">Tjeckien                                 </t>
  </si>
  <si>
    <t xml:space="preserve">Djibouti                                 </t>
  </si>
  <si>
    <t xml:space="preserve">Dominica                                 </t>
  </si>
  <si>
    <t xml:space="preserve">Dominikanska Republiken                  </t>
  </si>
  <si>
    <t xml:space="preserve">Algeriet                                 </t>
  </si>
  <si>
    <t xml:space="preserve">Ecuador                                  </t>
  </si>
  <si>
    <t xml:space="preserve">Estland                                  </t>
  </si>
  <si>
    <t xml:space="preserve">Egypten                                  </t>
  </si>
  <si>
    <t xml:space="preserve">Eritrea                                  </t>
  </si>
  <si>
    <t xml:space="preserve">Spanien                                  </t>
  </si>
  <si>
    <t xml:space="preserve">Etiopien                                 </t>
  </si>
  <si>
    <t xml:space="preserve">Finland                                  </t>
  </si>
  <si>
    <t xml:space="preserve">Fiji                                     </t>
  </si>
  <si>
    <t xml:space="preserve">Falklandsöarna                           </t>
  </si>
  <si>
    <t xml:space="preserve">Gabon                                    </t>
  </si>
  <si>
    <t xml:space="preserve">Grenada                                  </t>
  </si>
  <si>
    <t xml:space="preserve">Georgien                                 </t>
  </si>
  <si>
    <t xml:space="preserve">Guernsey                                 </t>
  </si>
  <si>
    <t xml:space="preserve">Ghana                                    </t>
  </si>
  <si>
    <t xml:space="preserve">Gibraltar                                </t>
  </si>
  <si>
    <t xml:space="preserve">Gambia                                   </t>
  </si>
  <si>
    <t xml:space="preserve">Guinea                                   </t>
  </si>
  <si>
    <t xml:space="preserve">Ekvatorialguinea                         </t>
  </si>
  <si>
    <t xml:space="preserve">Grekland                                 </t>
  </si>
  <si>
    <t xml:space="preserve">Guatemala                                </t>
  </si>
  <si>
    <t xml:space="preserve">Guinea-Bissau                            </t>
  </si>
  <si>
    <t xml:space="preserve">Guyana                                   </t>
  </si>
  <si>
    <t xml:space="preserve">Hong Kong                                </t>
  </si>
  <si>
    <t xml:space="preserve">Honduras                                 </t>
  </si>
  <si>
    <t xml:space="preserve">Kroatien                                 </t>
  </si>
  <si>
    <t xml:space="preserve">Haiti                                    </t>
  </si>
  <si>
    <t xml:space="preserve">Ungern                                   </t>
  </si>
  <si>
    <t xml:space="preserve">Indonesien                               </t>
  </si>
  <si>
    <t xml:space="preserve">Irland                                   </t>
  </si>
  <si>
    <t xml:space="preserve">Isle of Man                              </t>
  </si>
  <si>
    <t xml:space="preserve">Indien                                   </t>
  </si>
  <si>
    <t xml:space="preserve">Irak                                     </t>
  </si>
  <si>
    <t xml:space="preserve">Iran                                     </t>
  </si>
  <si>
    <t xml:space="preserve">Island                                   </t>
  </si>
  <si>
    <t xml:space="preserve">Jersey                                   </t>
  </si>
  <si>
    <t xml:space="preserve">Jamaica                                  </t>
  </si>
  <si>
    <t xml:space="preserve">Japan                                    </t>
  </si>
  <si>
    <t xml:space="preserve">Kenya                                    </t>
  </si>
  <si>
    <t xml:space="preserve">Kirgizistan                              </t>
  </si>
  <si>
    <t xml:space="preserve">Kambodja                                 </t>
  </si>
  <si>
    <t xml:space="preserve">Kiribati                                 </t>
  </si>
  <si>
    <t xml:space="preserve">Comorerna                                </t>
  </si>
  <si>
    <t xml:space="preserve">Nordkorea                                </t>
  </si>
  <si>
    <t xml:space="preserve">Sydkorea                                 </t>
  </si>
  <si>
    <t xml:space="preserve">Kuwait                                   </t>
  </si>
  <si>
    <t xml:space="preserve">Caymanöarna                              </t>
  </si>
  <si>
    <t xml:space="preserve">Kazakstan                                </t>
  </si>
  <si>
    <t xml:space="preserve">Laos                                     </t>
  </si>
  <si>
    <t xml:space="preserve">Libanon                                  </t>
  </si>
  <si>
    <t xml:space="preserve">Liechtenstein                            </t>
  </si>
  <si>
    <t xml:space="preserve">Sri Lanka                                </t>
  </si>
  <si>
    <t xml:space="preserve">Liberia                                  </t>
  </si>
  <si>
    <t xml:space="preserve">Lesotho                                  </t>
  </si>
  <si>
    <t xml:space="preserve">Litauen                                  </t>
  </si>
  <si>
    <t xml:space="preserve">Luxemburg                                </t>
  </si>
  <si>
    <t xml:space="preserve">Lettland                                 </t>
  </si>
  <si>
    <t xml:space="preserve">Libyen                                   </t>
  </si>
  <si>
    <t xml:space="preserve">Marocko                                  </t>
  </si>
  <si>
    <t xml:space="preserve">Monaco                                   </t>
  </si>
  <si>
    <t xml:space="preserve">Madagaskar                               </t>
  </si>
  <si>
    <t xml:space="preserve">Makedonien                               </t>
  </si>
  <si>
    <t xml:space="preserve">Mali                                     </t>
  </si>
  <si>
    <t xml:space="preserve">Myanmar                                  </t>
  </si>
  <si>
    <t xml:space="preserve">Mongoliet                                </t>
  </si>
  <si>
    <t xml:space="preserve">Macao                                    </t>
  </si>
  <si>
    <t xml:space="preserve">Mauritanien                              </t>
  </si>
  <si>
    <t xml:space="preserve">Malta                                    </t>
  </si>
  <si>
    <t xml:space="preserve">Mauritius                                </t>
  </si>
  <si>
    <t xml:space="preserve">Maldiverna                               </t>
  </si>
  <si>
    <t xml:space="preserve">Malawi                                   </t>
  </si>
  <si>
    <t xml:space="preserve">Mexico                                   </t>
  </si>
  <si>
    <t xml:space="preserve">Mozambique                               </t>
  </si>
  <si>
    <t xml:space="preserve">Namibia                                  </t>
  </si>
  <si>
    <t xml:space="preserve">Nya Kaledonien                           </t>
  </si>
  <si>
    <t xml:space="preserve">Niger                                    </t>
  </si>
  <si>
    <t xml:space="preserve">Nigeria                                  </t>
  </si>
  <si>
    <t xml:space="preserve">Nicaragua                                </t>
  </si>
  <si>
    <t xml:space="preserve">Holland                                  </t>
  </si>
  <si>
    <t xml:space="preserve">Norge                                    </t>
  </si>
  <si>
    <t xml:space="preserve">Nepal                                    </t>
  </si>
  <si>
    <t xml:space="preserve">Nauru                                    </t>
  </si>
  <si>
    <t xml:space="preserve">Nya Zeeland                              </t>
  </si>
  <si>
    <t xml:space="preserve">Oman                                     </t>
  </si>
  <si>
    <t xml:space="preserve">Panama                                   </t>
  </si>
  <si>
    <t xml:space="preserve">Peru                                     </t>
  </si>
  <si>
    <t xml:space="preserve">Franska Polynesien                       </t>
  </si>
  <si>
    <t xml:space="preserve">Filippinerna                             </t>
  </si>
  <si>
    <t xml:space="preserve">Pakistan                                 </t>
  </si>
  <si>
    <t xml:space="preserve">Polen                                    </t>
  </si>
  <si>
    <t xml:space="preserve">Portugal                                 </t>
  </si>
  <si>
    <t xml:space="preserve">Paraguay                                 </t>
  </si>
  <si>
    <t xml:space="preserve">Qatar                                    </t>
  </si>
  <si>
    <t xml:space="preserve">Ryssland                                 </t>
  </si>
  <si>
    <t xml:space="preserve">Ruanda                                   </t>
  </si>
  <si>
    <t xml:space="preserve">Saudiarabien                             </t>
  </si>
  <si>
    <t xml:space="preserve">Salomonöarna                             </t>
  </si>
  <si>
    <t xml:space="preserve">Seychellerna                             </t>
  </si>
  <si>
    <t xml:space="preserve">Sudan                                    </t>
  </si>
  <si>
    <t xml:space="preserve">Singapore                                </t>
  </si>
  <si>
    <t xml:space="preserve">Slovenien                                </t>
  </si>
  <si>
    <t xml:space="preserve">Slovakien                                </t>
  </si>
  <si>
    <t xml:space="preserve">Sierra Leone                             </t>
  </si>
  <si>
    <t xml:space="preserve">Senegal                                  </t>
  </si>
  <si>
    <t xml:space="preserve">Somalia                                  </t>
  </si>
  <si>
    <t xml:space="preserve">Surinam                                  </t>
  </si>
  <si>
    <t xml:space="preserve">São Tomé och Príncipe                    </t>
  </si>
  <si>
    <t xml:space="preserve">El Salvador                              </t>
  </si>
  <si>
    <t xml:space="preserve">Syrien                                   </t>
  </si>
  <si>
    <t xml:space="preserve">Swaziland                                </t>
  </si>
  <si>
    <t xml:space="preserve">Turks och Caicosöarna                    </t>
  </si>
  <si>
    <t xml:space="preserve">Tchad                                    </t>
  </si>
  <si>
    <t xml:space="preserve">Togo                                     </t>
  </si>
  <si>
    <t xml:space="preserve">Thailand                                 </t>
  </si>
  <si>
    <t xml:space="preserve">Tadzjikistan                             </t>
  </si>
  <si>
    <t xml:space="preserve">Turkmenistan                             </t>
  </si>
  <si>
    <t xml:space="preserve">Tunisien                                 </t>
  </si>
  <si>
    <t xml:space="preserve">Tonga                                    </t>
  </si>
  <si>
    <t xml:space="preserve">Turkiet                                  </t>
  </si>
  <si>
    <t xml:space="preserve">Trinidad och Tobago                      </t>
  </si>
  <si>
    <t xml:space="preserve">Tuvalu                                   </t>
  </si>
  <si>
    <t xml:space="preserve">Taiwan                                   </t>
  </si>
  <si>
    <t xml:space="preserve">Tanzania                                 </t>
  </si>
  <si>
    <t xml:space="preserve">Övriga EU                                </t>
  </si>
  <si>
    <t xml:space="preserve">Utlandet exkl. EU                        </t>
  </si>
  <si>
    <t xml:space="preserve">EMU                                      </t>
  </si>
  <si>
    <t xml:space="preserve">Utlandet exkl. EMU                       </t>
  </si>
  <si>
    <t xml:space="preserve">Övriga EU utom EMU                       </t>
  </si>
  <si>
    <t xml:space="preserve">BIS-rapportörer                          </t>
  </si>
  <si>
    <t xml:space="preserve">Industriländer                           </t>
  </si>
  <si>
    <t xml:space="preserve">Övriga rapporterande länder              </t>
  </si>
  <si>
    <t xml:space="preserve">Övriga Västeuropa                        </t>
  </si>
  <si>
    <t xml:space="preserve">Övriga industriländer                    </t>
  </si>
  <si>
    <t xml:space="preserve">Östeuropa                                </t>
  </si>
  <si>
    <t xml:space="preserve">Övriga Karibiska området                 </t>
  </si>
  <si>
    <t xml:space="preserve">Latinamerika                             </t>
  </si>
  <si>
    <t xml:space="preserve">Övriga Mellersta Östern                  </t>
  </si>
  <si>
    <t xml:space="preserve">Övriga Afrika                            </t>
  </si>
  <si>
    <t xml:space="preserve">Övriga Asien                             </t>
  </si>
  <si>
    <t xml:space="preserve">Internationella institutioner            </t>
  </si>
  <si>
    <t xml:space="preserve">Ukraina                                  </t>
  </si>
  <si>
    <t xml:space="preserve">Uganda                                   </t>
  </si>
  <si>
    <t xml:space="preserve">USA                                      </t>
  </si>
  <si>
    <t xml:space="preserve">Uruguay                                  </t>
  </si>
  <si>
    <t xml:space="preserve">Uzbekistan                               </t>
  </si>
  <si>
    <t xml:space="preserve">Vatikanstaten                            </t>
  </si>
  <si>
    <t xml:space="preserve">Venezuela                                </t>
  </si>
  <si>
    <t xml:space="preserve">Vietnam                                  </t>
  </si>
  <si>
    <t xml:space="preserve">Vanuatu                                  </t>
  </si>
  <si>
    <t>Blankett'!Inm_7420</t>
  </si>
  <si>
    <t>Blankett'!Inm_7421</t>
  </si>
  <si>
    <t>Blankett'!Inm_7422</t>
  </si>
  <si>
    <t>Blankett'!Inm_7423</t>
  </si>
  <si>
    <t>Blankett'!Inm_7424</t>
  </si>
  <si>
    <t>Blankett'!Inm_7425</t>
  </si>
  <si>
    <t>Blankett'!Inm_7426</t>
  </si>
  <si>
    <t>Blankett'!Inm_7427</t>
  </si>
  <si>
    <t>Blankett'!Inm_7428</t>
  </si>
  <si>
    <t>Blankett'!Inm_7429</t>
  </si>
  <si>
    <t>Blankett'!Inm_7430</t>
  </si>
  <si>
    <t>Blankett'!Inm_7431</t>
  </si>
  <si>
    <t>Blankett'!Inm_7432</t>
  </si>
  <si>
    <t>Blankett'!Inm_7433</t>
  </si>
  <si>
    <t>Blankett'!Inm_7434</t>
  </si>
  <si>
    <t>Blankett'!Inm_7435</t>
  </si>
  <si>
    <t>Blankett'!Inm_7436</t>
  </si>
  <si>
    <t>Blankett'!Inm_7437</t>
  </si>
  <si>
    <t>därav koncernföretag i utlandet</t>
  </si>
  <si>
    <t>därav personaloptioner OBS! Både mot Sverige och utlandet</t>
  </si>
  <si>
    <t>Upplåning från koncernföretag</t>
  </si>
  <si>
    <t>Utlåning till koncernföretag</t>
  </si>
  <si>
    <t>Utlåning, Koncernföretag, int</t>
  </si>
  <si>
    <t>Blankett'!Inm_20084</t>
  </si>
  <si>
    <t>EJ_GRANSKN</t>
  </si>
  <si>
    <t>Blankett'!Inm_20081</t>
  </si>
  <si>
    <t>Blankett'!Inm_20078</t>
  </si>
  <si>
    <t>Blankett'!Inm_20075</t>
  </si>
  <si>
    <t>Personaloptioner, (S1) Nationell ekon</t>
  </si>
  <si>
    <t>Blankett'!Inm_20085</t>
  </si>
  <si>
    <t>B28</t>
  </si>
  <si>
    <t>Blankett'!Inm_20082</t>
  </si>
  <si>
    <t>Blankett'!Inm_20079</t>
  </si>
  <si>
    <t>Blankett'!Inm_20076</t>
  </si>
  <si>
    <t>Blankett'!Inm_20083</t>
  </si>
  <si>
    <t>Blankett'!Inm_20080</t>
  </si>
  <si>
    <t>Blankett'!Inm_20077</t>
  </si>
  <si>
    <t>Blankett'!Inm_20074</t>
  </si>
  <si>
    <r>
      <t>3.        Fliken</t>
    </r>
    <r>
      <rPr>
        <b/>
        <sz val="10"/>
        <rFont val="Arial"/>
        <family val="2"/>
      </rPr>
      <t xml:space="preserve"> 'Start' </t>
    </r>
    <r>
      <rPr>
        <sz val="10"/>
        <rFont val="Arial"/>
        <family val="2"/>
      </rPr>
      <t>innehåller två knappar</t>
    </r>
  </si>
  <si>
    <t>ES/FM 734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</si>
</sst>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000000"/>
    <numFmt numFmtId="177" formatCode="00000"/>
    <numFmt numFmtId="178" formatCode="#\ ###\ ###\ ##0"/>
    <numFmt numFmtId="179" formatCode="\ ###0"/>
    <numFmt numFmtId="180" formatCode="######\-####"/>
    <numFmt numFmtId="181" formatCode="&quot;Ja&quot;;&quot;Ja&quot;;&quot;Nej&quot;"/>
    <numFmt numFmtId="182" formatCode="&quot;Sant&quot;;&quot;Sant&quot;;&quot;Falskt&quot;"/>
    <numFmt numFmtId="183" formatCode="&quot;På&quot;;&quot;På&quot;;&quot;Av&quot;"/>
  </numFmts>
  <fonts count="70">
    <font>
      <sz val="10"/>
      <name val="Arial"/>
      <family val="0"/>
    </font>
    <font>
      <sz val="9"/>
      <name val="Arial"/>
      <family val="0"/>
    </font>
    <font>
      <u val="single"/>
      <sz val="6.75"/>
      <color indexed="12"/>
      <name val="Arial"/>
      <family val="0"/>
    </font>
    <font>
      <sz val="9"/>
      <color indexed="10"/>
      <name val="Arial"/>
      <family val="2"/>
    </font>
    <font>
      <b/>
      <sz val="10"/>
      <name val="Arial"/>
      <family val="2"/>
    </font>
    <font>
      <b/>
      <sz val="8"/>
      <color indexed="12"/>
      <name val="Helvetica"/>
      <family val="0"/>
    </font>
    <font>
      <sz val="8"/>
      <color indexed="12"/>
      <name val="Helvetica"/>
      <family val="0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7.5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sz val="8"/>
      <color indexed="8"/>
      <name val="Arial"/>
      <family val="2"/>
    </font>
    <font>
      <b/>
      <i/>
      <sz val="10"/>
      <name val="Arial"/>
      <family val="2"/>
    </font>
    <font>
      <u val="single"/>
      <sz val="8"/>
      <color indexed="12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16"/>
      <color indexed="51"/>
      <name val="Arial"/>
      <family val="2"/>
    </font>
    <font>
      <sz val="9"/>
      <name val="Helvetica"/>
      <family val="0"/>
    </font>
    <font>
      <b/>
      <i/>
      <sz val="9"/>
      <name val="Helvetica"/>
      <family val="0"/>
    </font>
    <font>
      <sz val="8"/>
      <name val="Helvetica"/>
      <family val="0"/>
    </font>
    <font>
      <b/>
      <sz val="14"/>
      <name val="Helvetica"/>
      <family val="2"/>
    </font>
    <font>
      <sz val="10"/>
      <color indexed="9"/>
      <name val="Arial"/>
      <family val="2"/>
    </font>
    <font>
      <sz val="7.4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7"/>
      <name val="Times New Roman"/>
      <family val="1"/>
    </font>
    <font>
      <u val="single"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51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 style="thick">
        <color indexed="51"/>
      </right>
      <top style="thick">
        <color indexed="51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1"/>
      </right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 style="thick">
        <color indexed="51"/>
      </right>
      <top>
        <color indexed="63"/>
      </top>
      <bottom style="thick">
        <color indexed="51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0" fillId="20" borderId="1" applyNumberFormat="0" applyFont="0" applyAlignment="0" applyProtection="0"/>
    <xf numFmtId="0" fontId="55" fillId="21" borderId="2" applyNumberFormat="0" applyAlignment="0" applyProtection="0"/>
    <xf numFmtId="0" fontId="56" fillId="22" borderId="0" applyNumberFormat="0" applyBorder="0" applyAlignment="0" applyProtection="0"/>
    <xf numFmtId="0" fontId="57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31" borderId="3" applyNumberFormat="0" applyAlignment="0" applyProtection="0"/>
    <xf numFmtId="0" fontId="61" fillId="0" borderId="4" applyNumberFormat="0" applyFill="0" applyAlignment="0" applyProtection="0"/>
    <xf numFmtId="0" fontId="62" fillId="32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21" borderId="9" applyNumberFormat="0" applyAlignment="0" applyProtection="0"/>
    <xf numFmtId="44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>
      <alignment/>
      <protection/>
    </xf>
    <xf numFmtId="0" fontId="1" fillId="0" borderId="0" xfId="54">
      <alignment/>
      <protection/>
    </xf>
    <xf numFmtId="0" fontId="2" fillId="0" borderId="0" xfId="45" applyAlignment="1" applyProtection="1">
      <alignment/>
      <protection/>
    </xf>
    <xf numFmtId="0" fontId="3" fillId="0" borderId="0" xfId="54" applyFont="1">
      <alignment/>
      <protection/>
    </xf>
    <xf numFmtId="0" fontId="1" fillId="33" borderId="0" xfId="54" applyFill="1">
      <alignment/>
      <protection/>
    </xf>
    <xf numFmtId="0" fontId="1" fillId="34" borderId="0" xfId="54" applyFill="1">
      <alignment/>
      <protection/>
    </xf>
    <xf numFmtId="0" fontId="1" fillId="35" borderId="0" xfId="54" applyFill="1">
      <alignment/>
      <protection/>
    </xf>
    <xf numFmtId="0" fontId="1" fillId="36" borderId="0" xfId="54" applyFill="1">
      <alignment/>
      <protection/>
    </xf>
    <xf numFmtId="0" fontId="1" fillId="37" borderId="0" xfId="54" applyFill="1">
      <alignment/>
      <protection/>
    </xf>
    <xf numFmtId="0" fontId="1" fillId="38" borderId="0" xfId="54" applyFill="1">
      <alignment/>
      <protection/>
    </xf>
    <xf numFmtId="0" fontId="1" fillId="39" borderId="0" xfId="54" applyFill="1">
      <alignment/>
      <protection/>
    </xf>
    <xf numFmtId="0" fontId="0" fillId="0" borderId="0" xfId="52" applyFont="1">
      <alignment/>
      <protection/>
    </xf>
    <xf numFmtId="0" fontId="4" fillId="0" borderId="0" xfId="0" applyFont="1" applyAlignment="1">
      <alignment/>
    </xf>
    <xf numFmtId="0" fontId="7" fillId="36" borderId="0" xfId="54" applyFont="1" applyFill="1">
      <alignment/>
      <protection/>
    </xf>
    <xf numFmtId="0" fontId="7" fillId="37" borderId="0" xfId="54" applyFont="1" applyFill="1">
      <alignment/>
      <protection/>
    </xf>
    <xf numFmtId="0" fontId="7" fillId="33" borderId="0" xfId="54" applyFont="1" applyFill="1">
      <alignment/>
      <protection/>
    </xf>
    <xf numFmtId="0" fontId="7" fillId="34" borderId="0" xfId="54" applyFont="1" applyFill="1">
      <alignment/>
      <protection/>
    </xf>
    <xf numFmtId="0" fontId="7" fillId="35" borderId="0" xfId="54" applyFont="1" applyFill="1">
      <alignment/>
      <protection/>
    </xf>
    <xf numFmtId="0" fontId="7" fillId="38" borderId="0" xfId="54" applyFont="1" applyFill="1">
      <alignment/>
      <protection/>
    </xf>
    <xf numFmtId="0" fontId="7" fillId="39" borderId="0" xfId="54" applyFont="1" applyFill="1">
      <alignment/>
      <protection/>
    </xf>
    <xf numFmtId="0" fontId="7" fillId="0" borderId="0" xfId="54" applyFont="1">
      <alignment/>
      <protection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3" applyProtection="1">
      <alignment/>
      <protection/>
    </xf>
    <xf numFmtId="0" fontId="0" fillId="39" borderId="0" xfId="53" applyFill="1" applyProtection="1">
      <alignment/>
      <protection/>
    </xf>
    <xf numFmtId="0" fontId="0" fillId="0" borderId="0" xfId="53" applyBorder="1" applyProtection="1">
      <alignment/>
      <protection/>
    </xf>
    <xf numFmtId="0" fontId="16" fillId="0" borderId="0" xfId="53" applyFont="1" applyBorder="1" applyProtection="1">
      <alignment/>
      <protection/>
    </xf>
    <xf numFmtId="179" fontId="15" fillId="0" borderId="0" xfId="53" applyNumberFormat="1" applyFont="1" applyBorder="1" applyAlignment="1" applyProtection="1">
      <alignment horizontal="left"/>
      <protection/>
    </xf>
    <xf numFmtId="0" fontId="16" fillId="0" borderId="13" xfId="53" applyFont="1" applyBorder="1" applyAlignment="1" applyProtection="1">
      <alignment horizontal="center" vertical="center"/>
      <protection/>
    </xf>
    <xf numFmtId="49" fontId="7" fillId="40" borderId="14" xfId="53" applyNumberFormat="1" applyFont="1" applyFill="1" applyBorder="1" applyAlignment="1" applyProtection="1">
      <alignment wrapText="1"/>
      <protection/>
    </xf>
    <xf numFmtId="0" fontId="0" fillId="40" borderId="15" xfId="53" applyFont="1" applyFill="1" applyBorder="1" applyProtection="1">
      <alignment/>
      <protection/>
    </xf>
    <xf numFmtId="0" fontId="0" fillId="40" borderId="15" xfId="53" applyFill="1" applyBorder="1" applyProtection="1">
      <alignment/>
      <protection/>
    </xf>
    <xf numFmtId="0" fontId="16" fillId="40" borderId="15" xfId="53" applyFont="1" applyFill="1" applyBorder="1" applyAlignment="1" applyProtection="1">
      <alignment horizontal="centerContinuous"/>
      <protection/>
    </xf>
    <xf numFmtId="0" fontId="15" fillId="0" borderId="13" xfId="53" applyNumberFormat="1" applyFont="1" applyBorder="1" applyAlignment="1" applyProtection="1">
      <alignment horizontal="center" vertical="center"/>
      <protection/>
    </xf>
    <xf numFmtId="49" fontId="7" fillId="0" borderId="16" xfId="53" applyNumberFormat="1" applyFont="1" applyBorder="1" applyAlignment="1" applyProtection="1">
      <alignment wrapText="1"/>
      <protection/>
    </xf>
    <xf numFmtId="0" fontId="16" fillId="0" borderId="0" xfId="53" applyFont="1" applyBorder="1" applyAlignment="1" applyProtection="1">
      <alignment horizontal="centerContinuous"/>
      <protection/>
    </xf>
    <xf numFmtId="0" fontId="15" fillId="0" borderId="12" xfId="53" applyNumberFormat="1" applyFont="1" applyBorder="1" applyAlignment="1" applyProtection="1">
      <alignment horizontal="center" vertical="center"/>
      <protection/>
    </xf>
    <xf numFmtId="14" fontId="16" fillId="0" borderId="17" xfId="53" applyNumberFormat="1" applyFont="1" applyBorder="1" applyAlignment="1" applyProtection="1">
      <alignment horizontal="center" vertical="center"/>
      <protection/>
    </xf>
    <xf numFmtId="14" fontId="16" fillId="0" borderId="18" xfId="53" applyNumberFormat="1" applyFont="1" applyBorder="1" applyAlignment="1" applyProtection="1">
      <alignment horizontal="center" vertical="center"/>
      <protection/>
    </xf>
    <xf numFmtId="0" fontId="4" fillId="0" borderId="16" xfId="53" applyFont="1" applyBorder="1" applyAlignment="1" applyProtection="1">
      <alignment/>
      <protection/>
    </xf>
    <xf numFmtId="0" fontId="0" fillId="0" borderId="0" xfId="53" applyBorder="1" applyAlignment="1" applyProtection="1">
      <alignment wrapText="1"/>
      <protection/>
    </xf>
    <xf numFmtId="0" fontId="16" fillId="0" borderId="0" xfId="53" applyFont="1" applyBorder="1" applyAlignment="1" applyProtection="1">
      <alignment horizontal="center" wrapText="1"/>
      <protection/>
    </xf>
    <xf numFmtId="0" fontId="4" fillId="0" borderId="19" xfId="53" applyNumberFormat="1" applyFont="1" applyBorder="1" applyAlignment="1" applyProtection="1">
      <alignment horizontal="center" vertical="center" wrapText="1"/>
      <protection/>
    </xf>
    <xf numFmtId="3" fontId="1" fillId="33" borderId="15" xfId="53" applyNumberFormat="1" applyFont="1" applyFill="1" applyBorder="1" applyAlignment="1" applyProtection="1">
      <alignment horizontal="right" wrapText="1"/>
      <protection locked="0"/>
    </xf>
    <xf numFmtId="3" fontId="1" fillId="33" borderId="13" xfId="53" applyNumberFormat="1" applyFont="1" applyFill="1" applyBorder="1" applyAlignment="1" applyProtection="1">
      <alignment horizontal="right" wrapText="1"/>
      <protection locked="0"/>
    </xf>
    <xf numFmtId="3" fontId="1" fillId="33" borderId="12" xfId="53" applyNumberFormat="1" applyFont="1" applyFill="1" applyBorder="1" applyAlignment="1" applyProtection="1">
      <alignment horizontal="right" wrapText="1"/>
      <protection locked="0"/>
    </xf>
    <xf numFmtId="0" fontId="16" fillId="0" borderId="20" xfId="53" applyFont="1" applyBorder="1" applyAlignment="1" applyProtection="1">
      <alignment/>
      <protection/>
    </xf>
    <xf numFmtId="0" fontId="0" fillId="0" borderId="21" xfId="53" applyBorder="1" applyAlignment="1" applyProtection="1">
      <alignment wrapText="1"/>
      <protection/>
    </xf>
    <xf numFmtId="0" fontId="16" fillId="0" borderId="21" xfId="53" applyFont="1" applyBorder="1" applyAlignment="1" applyProtection="1">
      <alignment horizontal="center" wrapText="1"/>
      <protection/>
    </xf>
    <xf numFmtId="0" fontId="16" fillId="0" borderId="22" xfId="53" applyNumberFormat="1" applyFont="1" applyBorder="1" applyAlignment="1" applyProtection="1">
      <alignment horizontal="center" vertical="center" wrapText="1"/>
      <protection/>
    </xf>
    <xf numFmtId="3" fontId="1" fillId="33" borderId="22" xfId="53" applyNumberFormat="1" applyFont="1" applyFill="1" applyBorder="1" applyAlignment="1" applyProtection="1">
      <alignment horizontal="right" wrapText="1"/>
      <protection locked="0"/>
    </xf>
    <xf numFmtId="3" fontId="1" fillId="33" borderId="21" xfId="53" applyNumberFormat="1" applyFont="1" applyFill="1" applyBorder="1" applyAlignment="1" applyProtection="1">
      <alignment horizontal="right" wrapText="1"/>
      <protection locked="0"/>
    </xf>
    <xf numFmtId="0" fontId="4" fillId="0" borderId="12" xfId="53" applyNumberFormat="1" applyFont="1" applyBorder="1" applyAlignment="1" applyProtection="1">
      <alignment horizontal="center" vertical="center"/>
      <protection/>
    </xf>
    <xf numFmtId="3" fontId="1" fillId="33" borderId="23" xfId="53" applyNumberFormat="1" applyFont="1" applyFill="1" applyBorder="1" applyAlignment="1" applyProtection="1">
      <alignment horizontal="right"/>
      <protection locked="0"/>
    </xf>
    <xf numFmtId="3" fontId="1" fillId="33" borderId="19" xfId="53" applyNumberFormat="1" applyFont="1" applyFill="1" applyBorder="1" applyAlignment="1" applyProtection="1">
      <alignment horizontal="right"/>
      <protection locked="0"/>
    </xf>
    <xf numFmtId="0" fontId="0" fillId="0" borderId="21" xfId="53" applyBorder="1" applyProtection="1">
      <alignment/>
      <protection/>
    </xf>
    <xf numFmtId="3" fontId="16" fillId="0" borderId="21" xfId="53" applyNumberFormat="1" applyFont="1" applyBorder="1" applyProtection="1">
      <alignment/>
      <protection/>
    </xf>
    <xf numFmtId="0" fontId="16" fillId="0" borderId="22" xfId="53" applyNumberFormat="1" applyFont="1" applyBorder="1" applyAlignment="1" applyProtection="1">
      <alignment horizontal="center" vertical="center"/>
      <protection/>
    </xf>
    <xf numFmtId="3" fontId="1" fillId="33" borderId="21" xfId="53" applyNumberFormat="1" applyFont="1" applyFill="1" applyBorder="1" applyAlignment="1" applyProtection="1">
      <alignment horizontal="right"/>
      <protection locked="0"/>
    </xf>
    <xf numFmtId="3" fontId="1" fillId="33" borderId="22" xfId="53" applyNumberFormat="1" applyFont="1" applyFill="1" applyBorder="1" applyAlignment="1" applyProtection="1">
      <alignment horizontal="right"/>
      <protection locked="0"/>
    </xf>
    <xf numFmtId="3" fontId="16" fillId="0" borderId="0" xfId="53" applyNumberFormat="1" applyFont="1" applyBorder="1" applyProtection="1">
      <alignment/>
      <protection/>
    </xf>
    <xf numFmtId="3" fontId="17" fillId="0" borderId="0" xfId="53" applyNumberFormat="1" applyFont="1" applyBorder="1" applyProtection="1">
      <alignment/>
      <protection/>
    </xf>
    <xf numFmtId="0" fontId="0" fillId="41" borderId="0" xfId="53" applyFill="1" applyProtection="1">
      <alignment/>
      <protection/>
    </xf>
    <xf numFmtId="0" fontId="16" fillId="0" borderId="16" xfId="53" applyFont="1" applyBorder="1" applyAlignment="1" applyProtection="1">
      <alignment/>
      <protection/>
    </xf>
    <xf numFmtId="0" fontId="16" fillId="0" borderId="12" xfId="53" applyNumberFormat="1" applyFont="1" applyBorder="1" applyAlignment="1" applyProtection="1">
      <alignment horizontal="center" vertical="center"/>
      <protection/>
    </xf>
    <xf numFmtId="0" fontId="4" fillId="0" borderId="20" xfId="53" applyFont="1" applyBorder="1" applyAlignment="1" applyProtection="1">
      <alignment/>
      <protection/>
    </xf>
    <xf numFmtId="0" fontId="16" fillId="0" borderId="24" xfId="53" applyFont="1" applyBorder="1" applyAlignment="1" applyProtection="1">
      <alignment/>
      <protection/>
    </xf>
    <xf numFmtId="0" fontId="0" fillId="0" borderId="25" xfId="53" applyBorder="1" applyProtection="1">
      <alignment/>
      <protection/>
    </xf>
    <xf numFmtId="3" fontId="16" fillId="0" borderId="25" xfId="53" applyNumberFormat="1" applyFont="1" applyBorder="1" applyProtection="1">
      <alignment/>
      <protection/>
    </xf>
    <xf numFmtId="0" fontId="16" fillId="0" borderId="26" xfId="53" applyNumberFormat="1" applyFont="1" applyBorder="1" applyAlignment="1" applyProtection="1">
      <alignment horizontal="center" vertical="center"/>
      <protection/>
    </xf>
    <xf numFmtId="0" fontId="18" fillId="0" borderId="22" xfId="53" applyNumberFormat="1" applyFont="1" applyBorder="1" applyAlignment="1" applyProtection="1">
      <alignment horizontal="center" vertical="center"/>
      <protection/>
    </xf>
    <xf numFmtId="0" fontId="4" fillId="0" borderId="22" xfId="53" applyNumberFormat="1" applyFont="1" applyBorder="1" applyAlignment="1" applyProtection="1">
      <alignment horizontal="center" vertical="center"/>
      <protection/>
    </xf>
    <xf numFmtId="0" fontId="4" fillId="0" borderId="27" xfId="53" applyFont="1" applyBorder="1" applyAlignment="1" applyProtection="1">
      <alignment/>
      <protection/>
    </xf>
    <xf numFmtId="0" fontId="0" fillId="0" borderId="28" xfId="53" applyBorder="1" applyProtection="1">
      <alignment/>
      <protection/>
    </xf>
    <xf numFmtId="3" fontId="16" fillId="0" borderId="28" xfId="53" applyNumberFormat="1" applyFont="1" applyBorder="1" applyProtection="1">
      <alignment/>
      <protection/>
    </xf>
    <xf numFmtId="0" fontId="4" fillId="0" borderId="29" xfId="53" applyNumberFormat="1" applyFont="1" applyBorder="1" applyAlignment="1" applyProtection="1">
      <alignment horizontal="center" vertical="center"/>
      <protection/>
    </xf>
    <xf numFmtId="0" fontId="13" fillId="0" borderId="30" xfId="53" applyNumberFormat="1" applyFont="1" applyBorder="1" applyAlignment="1" applyProtection="1">
      <alignment horizontal="center" vertical="center"/>
      <protection/>
    </xf>
    <xf numFmtId="3" fontId="16" fillId="41" borderId="31" xfId="53" applyNumberFormat="1" applyFont="1" applyFill="1" applyBorder="1" applyAlignment="1" applyProtection="1">
      <alignment horizontal="center" vertical="center"/>
      <protection/>
    </xf>
    <xf numFmtId="3" fontId="16" fillId="41" borderId="17" xfId="53" applyNumberFormat="1" applyFont="1" applyFill="1" applyBorder="1" applyAlignment="1" applyProtection="1">
      <alignment horizontal="center" vertical="center"/>
      <protection/>
    </xf>
    <xf numFmtId="3" fontId="16" fillId="41" borderId="18" xfId="53" applyNumberFormat="1" applyFont="1" applyFill="1" applyBorder="1" applyAlignment="1" applyProtection="1">
      <alignment horizontal="center" vertical="center"/>
      <protection/>
    </xf>
    <xf numFmtId="3" fontId="16" fillId="41" borderId="30" xfId="53" applyNumberFormat="1" applyFont="1" applyFill="1" applyBorder="1" applyAlignment="1" applyProtection="1">
      <alignment horizontal="center" wrapText="1"/>
      <protection/>
    </xf>
    <xf numFmtId="3" fontId="7" fillId="0" borderId="0" xfId="53" applyNumberFormat="1" applyFont="1" applyFill="1" applyBorder="1" applyProtection="1">
      <alignment/>
      <protection/>
    </xf>
    <xf numFmtId="0" fontId="13" fillId="0" borderId="30" xfId="53" applyNumberFormat="1" applyFont="1" applyBorder="1" applyAlignment="1" applyProtection="1" quotePrefix="1">
      <alignment horizontal="center" vertical="center"/>
      <protection/>
    </xf>
    <xf numFmtId="0" fontId="0" fillId="0" borderId="0" xfId="53" applyFill="1" applyBorder="1" applyProtection="1">
      <alignment/>
      <protection/>
    </xf>
    <xf numFmtId="0" fontId="4" fillId="0" borderId="16" xfId="53" applyFont="1" applyFill="1" applyBorder="1" applyAlignment="1" applyProtection="1">
      <alignment/>
      <protection/>
    </xf>
    <xf numFmtId="0" fontId="16" fillId="0" borderId="0" xfId="53" applyFont="1" applyFill="1" applyBorder="1" applyProtection="1">
      <alignment/>
      <protection/>
    </xf>
    <xf numFmtId="0" fontId="0" fillId="0" borderId="0" xfId="53" applyBorder="1" applyAlignment="1" applyProtection="1">
      <alignment/>
      <protection/>
    </xf>
    <xf numFmtId="0" fontId="4" fillId="0" borderId="13" xfId="53" applyNumberFormat="1" applyFont="1" applyFill="1" applyBorder="1" applyAlignment="1" applyProtection="1">
      <alignment horizontal="center" vertical="center"/>
      <protection/>
    </xf>
    <xf numFmtId="0" fontId="0" fillId="0" borderId="0" xfId="53" applyFill="1" applyProtection="1">
      <alignment/>
      <protection/>
    </xf>
    <xf numFmtId="0" fontId="16" fillId="0" borderId="20" xfId="53" applyFont="1" applyFill="1" applyBorder="1" applyAlignment="1" applyProtection="1">
      <alignment/>
      <protection/>
    </xf>
    <xf numFmtId="0" fontId="0" fillId="0" borderId="16" xfId="53" applyFill="1" applyBorder="1" applyProtection="1">
      <alignment/>
      <protection/>
    </xf>
    <xf numFmtId="0" fontId="4" fillId="0" borderId="27" xfId="53" applyFont="1" applyFill="1" applyBorder="1" applyAlignment="1" applyProtection="1">
      <alignment/>
      <protection/>
    </xf>
    <xf numFmtId="0" fontId="4" fillId="0" borderId="0" xfId="53" applyFont="1" applyFill="1" applyBorder="1" applyAlignment="1" applyProtection="1">
      <alignment/>
      <protection/>
    </xf>
    <xf numFmtId="0" fontId="4" fillId="0" borderId="0" xfId="53" applyNumberFormat="1" applyFont="1" applyBorder="1" applyAlignment="1" applyProtection="1">
      <alignment horizontal="center" vertical="center"/>
      <protection/>
    </xf>
    <xf numFmtId="0" fontId="1" fillId="0" borderId="0" xfId="53" applyFont="1" applyFill="1" applyBorder="1" applyProtection="1">
      <alignment/>
      <protection locked="0"/>
    </xf>
    <xf numFmtId="0" fontId="14" fillId="0" borderId="15" xfId="53" applyFont="1" applyBorder="1" applyAlignment="1" applyProtection="1">
      <alignment vertical="top" wrapText="1"/>
      <protection/>
    </xf>
    <xf numFmtId="0" fontId="14" fillId="0" borderId="15" xfId="53" applyFont="1" applyBorder="1" applyAlignment="1" applyProtection="1">
      <alignment vertical="top"/>
      <protection/>
    </xf>
    <xf numFmtId="0" fontId="0" fillId="0" borderId="15" xfId="53" applyNumberFormat="1" applyBorder="1" applyAlignment="1" applyProtection="1">
      <alignment horizontal="center" vertical="center"/>
      <protection/>
    </xf>
    <xf numFmtId="0" fontId="0" fillId="0" borderId="15" xfId="53" applyBorder="1" applyProtection="1">
      <alignment/>
      <protection/>
    </xf>
    <xf numFmtId="0" fontId="17" fillId="0" borderId="0" xfId="53" applyFont="1" applyAlignment="1" applyProtection="1">
      <alignment vertical="top" wrapText="1"/>
      <protection/>
    </xf>
    <xf numFmtId="0" fontId="0" fillId="0" borderId="0" xfId="53" applyNumberFormat="1" applyBorder="1" applyAlignment="1" applyProtection="1">
      <alignment horizontal="center" vertical="center"/>
      <protection/>
    </xf>
    <xf numFmtId="0" fontId="17" fillId="0" borderId="0" xfId="53" applyFont="1" applyAlignment="1" applyProtection="1">
      <alignment vertical="top"/>
      <protection/>
    </xf>
    <xf numFmtId="0" fontId="20" fillId="0" borderId="0" xfId="46" applyFont="1" applyBorder="1" applyAlignment="1" applyProtection="1">
      <alignment vertical="top"/>
      <protection/>
    </xf>
    <xf numFmtId="0" fontId="16" fillId="0" borderId="0" xfId="53" applyFont="1" applyBorder="1" applyAlignment="1" applyProtection="1">
      <alignment vertical="top"/>
      <protection/>
    </xf>
    <xf numFmtId="0" fontId="17" fillId="0" borderId="0" xfId="53" applyFont="1" applyAlignment="1" applyProtection="1">
      <alignment horizontal="left" vertical="top" wrapText="1"/>
      <protection/>
    </xf>
    <xf numFmtId="0" fontId="14" fillId="0" borderId="0" xfId="53" applyFont="1" applyAlignment="1" applyProtection="1">
      <alignment vertical="top" wrapText="1"/>
      <protection/>
    </xf>
    <xf numFmtId="0" fontId="21" fillId="0" borderId="0" xfId="53" applyFont="1" applyAlignment="1" applyProtection="1">
      <alignment vertical="top" wrapText="1"/>
      <protection/>
    </xf>
    <xf numFmtId="0" fontId="4" fillId="0" borderId="0" xfId="53" applyFont="1" applyFill="1" applyAlignment="1" applyProtection="1">
      <alignment vertical="top"/>
      <protection/>
    </xf>
    <xf numFmtId="0" fontId="4" fillId="40" borderId="14" xfId="53" applyFont="1" applyFill="1" applyBorder="1" applyProtection="1">
      <alignment/>
      <protection/>
    </xf>
    <xf numFmtId="0" fontId="0" fillId="40" borderId="32" xfId="53" applyFill="1" applyBorder="1" applyProtection="1">
      <alignment/>
      <protection/>
    </xf>
    <xf numFmtId="0" fontId="0" fillId="0" borderId="13" xfId="53" applyNumberFormat="1" applyBorder="1" applyAlignment="1" applyProtection="1">
      <alignment horizontal="center" vertical="center"/>
      <protection/>
    </xf>
    <xf numFmtId="0" fontId="0" fillId="0" borderId="16" xfId="53" applyBorder="1" applyProtection="1">
      <alignment/>
      <protection/>
    </xf>
    <xf numFmtId="0" fontId="21" fillId="0" borderId="33" xfId="53" applyFont="1" applyBorder="1" applyAlignment="1" applyProtection="1">
      <alignment vertical="top" wrapText="1"/>
      <protection/>
    </xf>
    <xf numFmtId="0" fontId="0" fillId="0" borderId="12" xfId="53" applyNumberFormat="1" applyBorder="1" applyAlignment="1" applyProtection="1">
      <alignment horizontal="center" vertical="center"/>
      <protection/>
    </xf>
    <xf numFmtId="0" fontId="4" fillId="0" borderId="34" xfId="53" applyFont="1" applyBorder="1" applyProtection="1">
      <alignment/>
      <protection/>
    </xf>
    <xf numFmtId="0" fontId="0" fillId="0" borderId="23" xfId="53" applyBorder="1" applyProtection="1">
      <alignment/>
      <protection/>
    </xf>
    <xf numFmtId="0" fontId="4" fillId="0" borderId="19" xfId="53" applyNumberFormat="1" applyFont="1" applyBorder="1" applyAlignment="1" applyProtection="1">
      <alignment horizontal="center" vertical="center"/>
      <protection/>
    </xf>
    <xf numFmtId="0" fontId="16" fillId="0" borderId="20" xfId="53" applyFont="1" applyBorder="1" applyProtection="1">
      <alignment/>
      <protection/>
    </xf>
    <xf numFmtId="0" fontId="4" fillId="0" borderId="16" xfId="53" applyFont="1" applyBorder="1" applyProtection="1">
      <alignment/>
      <protection/>
    </xf>
    <xf numFmtId="0" fontId="0" fillId="0" borderId="35" xfId="53" applyBorder="1" applyProtection="1">
      <alignment/>
      <protection/>
    </xf>
    <xf numFmtId="0" fontId="16" fillId="0" borderId="16" xfId="53" applyFont="1" applyBorder="1" applyProtection="1">
      <alignment/>
      <protection/>
    </xf>
    <xf numFmtId="0" fontId="4" fillId="0" borderId="26" xfId="53" applyNumberFormat="1" applyFont="1" applyBorder="1" applyAlignment="1" applyProtection="1">
      <alignment horizontal="center" vertical="center"/>
      <protection/>
    </xf>
    <xf numFmtId="0" fontId="0" fillId="0" borderId="13" xfId="53" applyNumberFormat="1" applyFill="1" applyBorder="1" applyAlignment="1" applyProtection="1">
      <alignment horizontal="center" vertical="center"/>
      <protection/>
    </xf>
    <xf numFmtId="0" fontId="16" fillId="0" borderId="32" xfId="53" applyFont="1" applyFill="1" applyBorder="1" applyAlignment="1" applyProtection="1">
      <alignment horizontal="center" vertical="center"/>
      <protection/>
    </xf>
    <xf numFmtId="0" fontId="16" fillId="0" borderId="15" xfId="53" applyFont="1" applyFill="1" applyBorder="1" applyAlignment="1" applyProtection="1">
      <alignment horizontal="center" vertical="center"/>
      <protection/>
    </xf>
    <xf numFmtId="0" fontId="16" fillId="0" borderId="13" xfId="53" applyFont="1" applyFill="1" applyBorder="1" applyAlignment="1" applyProtection="1">
      <alignment horizontal="center" vertical="center" wrapText="1"/>
      <protection/>
    </xf>
    <xf numFmtId="0" fontId="0" fillId="0" borderId="30" xfId="53" applyNumberFormat="1" applyFill="1" applyBorder="1" applyAlignment="1" applyProtection="1">
      <alignment horizontal="center" vertical="center"/>
      <protection/>
    </xf>
    <xf numFmtId="0" fontId="0" fillId="33" borderId="33" xfId="53" applyFill="1" applyBorder="1" applyProtection="1" quotePrefix="1">
      <alignment/>
      <protection/>
    </xf>
    <xf numFmtId="0" fontId="0" fillId="33" borderId="0" xfId="53" applyFill="1" applyBorder="1" applyProtection="1" quotePrefix="1">
      <alignment/>
      <protection/>
    </xf>
    <xf numFmtId="0" fontId="0" fillId="33" borderId="12" xfId="53" applyFill="1" applyBorder="1" applyProtection="1" quotePrefix="1">
      <alignment/>
      <protection/>
    </xf>
    <xf numFmtId="0" fontId="0" fillId="33" borderId="35" xfId="53" applyFill="1" applyBorder="1" applyProtection="1" quotePrefix="1">
      <alignment/>
      <protection/>
    </xf>
    <xf numFmtId="0" fontId="0" fillId="33" borderId="21" xfId="53" applyFill="1" applyBorder="1" applyProtection="1" quotePrefix="1">
      <alignment/>
      <protection/>
    </xf>
    <xf numFmtId="0" fontId="0" fillId="33" borderId="22" xfId="53" applyFill="1" applyBorder="1" applyProtection="1" quotePrefix="1">
      <alignment/>
      <protection/>
    </xf>
    <xf numFmtId="0" fontId="4" fillId="0" borderId="31" xfId="53" applyFont="1" applyBorder="1" applyProtection="1">
      <alignment/>
      <protection/>
    </xf>
    <xf numFmtId="0" fontId="0" fillId="0" borderId="36" xfId="53" applyBorder="1" applyProtection="1">
      <alignment/>
      <protection/>
    </xf>
    <xf numFmtId="0" fontId="4" fillId="0" borderId="30" xfId="53" applyNumberFormat="1" applyFont="1" applyBorder="1" applyAlignment="1" applyProtection="1">
      <alignment horizontal="center" vertical="center"/>
      <protection/>
    </xf>
    <xf numFmtId="0" fontId="0" fillId="33" borderId="37" xfId="53" applyFill="1" applyBorder="1" applyProtection="1" quotePrefix="1">
      <alignment/>
      <protection/>
    </xf>
    <xf numFmtId="0" fontId="17" fillId="0" borderId="0" xfId="53" applyFont="1" applyBorder="1" applyAlignment="1" applyProtection="1">
      <alignment vertical="top" wrapText="1"/>
      <protection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1" borderId="38" xfId="0" applyFill="1" applyBorder="1" applyAlignment="1">
      <alignment/>
    </xf>
    <xf numFmtId="0" fontId="0" fillId="41" borderId="39" xfId="0" applyFill="1" applyBorder="1" applyAlignment="1">
      <alignment/>
    </xf>
    <xf numFmtId="0" fontId="0" fillId="41" borderId="40" xfId="0" applyFill="1" applyBorder="1" applyAlignment="1">
      <alignment/>
    </xf>
    <xf numFmtId="0" fontId="0" fillId="42" borderId="0" xfId="0" applyFill="1" applyAlignment="1">
      <alignment/>
    </xf>
    <xf numFmtId="0" fontId="0" fillId="41" borderId="41" xfId="0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42" xfId="0" applyFill="1" applyBorder="1" applyAlignment="1">
      <alignment/>
    </xf>
    <xf numFmtId="0" fontId="0" fillId="42" borderId="0" xfId="0" applyFill="1" applyBorder="1" applyAlignment="1">
      <alignment/>
    </xf>
    <xf numFmtId="0" fontId="0" fillId="42" borderId="0" xfId="0" applyFont="1" applyFill="1" applyBorder="1" applyAlignment="1">
      <alignment/>
    </xf>
    <xf numFmtId="0" fontId="23" fillId="41" borderId="0" xfId="0" applyFont="1" applyFill="1" applyBorder="1" applyAlignment="1">
      <alignment/>
    </xf>
    <xf numFmtId="14" fontId="6" fillId="41" borderId="42" xfId="0" applyNumberFormat="1" applyFont="1" applyFill="1" applyBorder="1" applyAlignment="1" applyProtection="1">
      <alignment horizontal="left"/>
      <protection/>
    </xf>
    <xf numFmtId="0" fontId="6" fillId="41" borderId="42" xfId="0" applyFont="1" applyFill="1" applyBorder="1" applyAlignment="1" applyProtection="1">
      <alignment/>
      <protection/>
    </xf>
    <xf numFmtId="0" fontId="5" fillId="41" borderId="0" xfId="0" applyFont="1" applyFill="1" applyBorder="1" applyAlignment="1" applyProtection="1">
      <alignment/>
      <protection/>
    </xf>
    <xf numFmtId="0" fontId="24" fillId="41" borderId="42" xfId="0" applyFont="1" applyFill="1" applyBorder="1" applyAlignment="1" applyProtection="1">
      <alignment horizontal="left"/>
      <protection/>
    </xf>
    <xf numFmtId="0" fontId="1" fillId="39" borderId="0" xfId="0" applyFont="1" applyFill="1" applyBorder="1" applyAlignment="1">
      <alignment/>
    </xf>
    <xf numFmtId="0" fontId="0" fillId="41" borderId="0" xfId="0" applyFill="1" applyBorder="1" applyAlignment="1">
      <alignment wrapText="1"/>
    </xf>
    <xf numFmtId="0" fontId="25" fillId="41" borderId="0" xfId="0" applyFont="1" applyFill="1" applyBorder="1" applyAlignment="1" applyProtection="1">
      <alignment/>
      <protection/>
    </xf>
    <xf numFmtId="0" fontId="26" fillId="41" borderId="42" xfId="0" applyFont="1" applyFill="1" applyBorder="1" applyAlignment="1" applyProtection="1">
      <alignment horizontal="left"/>
      <protection/>
    </xf>
    <xf numFmtId="0" fontId="0" fillId="39" borderId="0" xfId="0" applyFont="1" applyFill="1" applyBorder="1" applyAlignment="1">
      <alignment/>
    </xf>
    <xf numFmtId="0" fontId="6" fillId="41" borderId="42" xfId="0" applyFont="1" applyFill="1" applyBorder="1" applyAlignment="1" applyProtection="1">
      <alignment horizontal="left"/>
      <protection/>
    </xf>
    <xf numFmtId="0" fontId="27" fillId="41" borderId="0" xfId="0" applyFont="1" applyFill="1" applyBorder="1" applyAlignment="1" applyProtection="1">
      <alignment horizontal="left"/>
      <protection/>
    </xf>
    <xf numFmtId="0" fontId="6" fillId="39" borderId="0" xfId="0" applyFont="1" applyFill="1" applyBorder="1" applyAlignment="1" applyProtection="1">
      <alignment horizontal="left"/>
      <protection/>
    </xf>
    <xf numFmtId="0" fontId="10" fillId="41" borderId="41" xfId="0" applyFont="1" applyFill="1" applyBorder="1" applyAlignment="1">
      <alignment horizontal="right"/>
    </xf>
    <xf numFmtId="0" fontId="11" fillId="41" borderId="0" xfId="0" applyFont="1" applyFill="1" applyBorder="1" applyAlignment="1">
      <alignment horizontal="left"/>
    </xf>
    <xf numFmtId="14" fontId="11" fillId="41" borderId="0" xfId="0" applyNumberFormat="1" applyFont="1" applyFill="1" applyBorder="1" applyAlignment="1">
      <alignment horizontal="left"/>
    </xf>
    <xf numFmtId="22" fontId="11" fillId="41" borderId="0" xfId="0" applyNumberFormat="1" applyFont="1" applyFill="1" applyBorder="1" applyAlignment="1">
      <alignment horizontal="left"/>
    </xf>
    <xf numFmtId="0" fontId="0" fillId="41" borderId="43" xfId="0" applyFill="1" applyBorder="1" applyAlignment="1">
      <alignment/>
    </xf>
    <xf numFmtId="0" fontId="28" fillId="41" borderId="44" xfId="0" applyFont="1" applyFill="1" applyBorder="1" applyAlignment="1">
      <alignment/>
    </xf>
    <xf numFmtId="0" fontId="0" fillId="41" borderId="45" xfId="0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0" xfId="0" applyFont="1" applyFill="1" applyAlignment="1">
      <alignment/>
    </xf>
    <xf numFmtId="0" fontId="0" fillId="43" borderId="0" xfId="0" applyFill="1" applyAlignment="1">
      <alignment/>
    </xf>
    <xf numFmtId="0" fontId="4" fillId="0" borderId="0" xfId="0" applyFont="1" applyFill="1" applyBorder="1" applyAlignment="1">
      <alignment wrapText="1"/>
    </xf>
    <xf numFmtId="0" fontId="29" fillId="41" borderId="18" xfId="53" applyFont="1" applyFill="1" applyBorder="1" applyAlignment="1" applyProtection="1">
      <alignment horizontal="center" vertical="center" wrapText="1"/>
      <protection/>
    </xf>
    <xf numFmtId="0" fontId="0" fillId="39" borderId="0" xfId="0" applyFill="1" applyAlignment="1" applyProtection="1">
      <alignment/>
      <protection locked="0"/>
    </xf>
    <xf numFmtId="3" fontId="7" fillId="39" borderId="22" xfId="53" applyNumberFormat="1" applyFont="1" applyFill="1" applyBorder="1" applyProtection="1">
      <alignment/>
      <protection/>
    </xf>
    <xf numFmtId="3" fontId="7" fillId="39" borderId="20" xfId="53" applyNumberFormat="1" applyFont="1" applyFill="1" applyBorder="1" applyProtection="1">
      <alignment/>
      <protection/>
    </xf>
    <xf numFmtId="0" fontId="17" fillId="0" borderId="20" xfId="53" applyFont="1" applyBorder="1" applyProtection="1">
      <alignment/>
      <protection/>
    </xf>
    <xf numFmtId="0" fontId="16" fillId="0" borderId="0" xfId="53" applyFont="1" applyAlignment="1" applyProtection="1">
      <alignment/>
      <protection/>
    </xf>
    <xf numFmtId="0" fontId="17" fillId="0" borderId="0" xfId="53" applyFont="1" applyBorder="1" applyAlignment="1" applyProtection="1">
      <alignment/>
      <protection/>
    </xf>
    <xf numFmtId="3" fontId="1" fillId="33" borderId="26" xfId="53" applyNumberFormat="1" applyFont="1" applyFill="1" applyBorder="1" applyAlignment="1" applyProtection="1">
      <alignment horizontal="right"/>
      <protection locked="0"/>
    </xf>
    <xf numFmtId="3" fontId="1" fillId="33" borderId="25" xfId="53" applyNumberFormat="1" applyFont="1" applyFill="1" applyBorder="1" applyAlignment="1" applyProtection="1">
      <alignment horizontal="right"/>
      <protection locked="0"/>
    </xf>
    <xf numFmtId="3" fontId="1" fillId="33" borderId="29" xfId="53" applyNumberFormat="1" applyFont="1" applyFill="1" applyBorder="1" applyAlignment="1" applyProtection="1">
      <alignment horizontal="right"/>
      <protection locked="0"/>
    </xf>
    <xf numFmtId="3" fontId="1" fillId="33" borderId="28" xfId="53" applyNumberFormat="1" applyFont="1" applyFill="1" applyBorder="1" applyAlignment="1" applyProtection="1">
      <alignment horizontal="right"/>
      <protection locked="0"/>
    </xf>
    <xf numFmtId="3" fontId="1" fillId="33" borderId="46" xfId="53" applyNumberFormat="1" applyFont="1" applyFill="1" applyBorder="1" applyAlignment="1" applyProtection="1">
      <alignment horizontal="right"/>
      <protection locked="0"/>
    </xf>
    <xf numFmtId="3" fontId="1" fillId="33" borderId="12" xfId="53" applyNumberFormat="1" applyFont="1" applyFill="1" applyBorder="1" applyAlignment="1" applyProtection="1">
      <alignment horizontal="right"/>
      <protection locked="0"/>
    </xf>
    <xf numFmtId="3" fontId="1" fillId="33" borderId="33" xfId="53" applyNumberFormat="1" applyFont="1" applyFill="1" applyBorder="1" applyAlignment="1" applyProtection="1">
      <alignment horizontal="right"/>
      <protection locked="0"/>
    </xf>
    <xf numFmtId="3" fontId="1" fillId="33" borderId="0" xfId="53" applyNumberFormat="1" applyFont="1" applyFill="1" applyBorder="1" applyAlignment="1" applyProtection="1">
      <alignment horizontal="right"/>
      <protection locked="0"/>
    </xf>
    <xf numFmtId="3" fontId="1" fillId="33" borderId="47" xfId="53" applyNumberFormat="1" applyFont="1" applyFill="1" applyBorder="1" applyAlignment="1" applyProtection="1">
      <alignment horizontal="right"/>
      <protection locked="0"/>
    </xf>
    <xf numFmtId="3" fontId="1" fillId="33" borderId="36" xfId="53" applyNumberFormat="1" applyFont="1" applyFill="1" applyBorder="1" applyAlignment="1" applyProtection="1">
      <alignment horizontal="right"/>
      <protection locked="0"/>
    </xf>
    <xf numFmtId="3" fontId="1" fillId="33" borderId="30" xfId="53" applyNumberFormat="1" applyFont="1" applyFill="1" applyBorder="1" applyAlignment="1" applyProtection="1">
      <alignment horizontal="right"/>
      <protection locked="0"/>
    </xf>
    <xf numFmtId="3" fontId="1" fillId="33" borderId="37" xfId="53" applyNumberFormat="1" applyFont="1" applyFill="1" applyBorder="1" applyAlignment="1" applyProtection="1">
      <alignment horizontal="right"/>
      <protection locked="0"/>
    </xf>
    <xf numFmtId="3" fontId="1" fillId="33" borderId="48" xfId="53" applyNumberFormat="1" applyFont="1" applyFill="1" applyBorder="1" applyAlignment="1" applyProtection="1">
      <alignment horizontal="right"/>
      <protection locked="0"/>
    </xf>
    <xf numFmtId="3" fontId="1" fillId="33" borderId="15" xfId="53" applyNumberFormat="1" applyFont="1" applyFill="1" applyBorder="1" applyAlignment="1" applyProtection="1">
      <alignment horizontal="right"/>
      <protection locked="0"/>
    </xf>
    <xf numFmtId="3" fontId="1" fillId="33" borderId="13" xfId="53" applyNumberFormat="1" applyFont="1" applyFill="1" applyBorder="1" applyAlignment="1" applyProtection="1">
      <alignment horizontal="right"/>
      <protection locked="0"/>
    </xf>
    <xf numFmtId="3" fontId="1" fillId="33" borderId="32" xfId="53" applyNumberFormat="1" applyFont="1" applyFill="1" applyBorder="1" applyAlignment="1" applyProtection="1">
      <alignment horizontal="right"/>
      <protection locked="0"/>
    </xf>
    <xf numFmtId="3" fontId="1" fillId="33" borderId="35" xfId="53" applyNumberFormat="1" applyFont="1" applyFill="1" applyBorder="1" applyAlignment="1" applyProtection="1">
      <alignment horizontal="right"/>
      <protection locked="0"/>
    </xf>
    <xf numFmtId="3" fontId="0" fillId="33" borderId="49" xfId="53" applyNumberFormat="1" applyFill="1" applyBorder="1" applyAlignment="1" applyProtection="1">
      <alignment horizontal="right"/>
      <protection locked="0"/>
    </xf>
    <xf numFmtId="0" fontId="22" fillId="0" borderId="0" xfId="53" applyFont="1" applyProtection="1">
      <alignment/>
      <protection/>
    </xf>
    <xf numFmtId="0" fontId="0" fillId="41" borderId="0" xfId="0" applyFill="1" applyAlignment="1">
      <alignment/>
    </xf>
    <xf numFmtId="0" fontId="16" fillId="41" borderId="0" xfId="0" applyFont="1" applyFill="1" applyBorder="1" applyAlignment="1">
      <alignment/>
    </xf>
    <xf numFmtId="0" fontId="16" fillId="41" borderId="0" xfId="0" applyFont="1" applyFill="1" applyAlignment="1">
      <alignment/>
    </xf>
    <xf numFmtId="0" fontId="30" fillId="41" borderId="0" xfId="0" applyFont="1" applyFill="1" applyAlignment="1">
      <alignment/>
    </xf>
    <xf numFmtId="0" fontId="7" fillId="41" borderId="0" xfId="0" applyFont="1" applyFill="1" applyAlignment="1">
      <alignment/>
    </xf>
    <xf numFmtId="0" fontId="16" fillId="41" borderId="14" xfId="0" applyFont="1" applyFill="1" applyBorder="1" applyAlignment="1">
      <alignment/>
    </xf>
    <xf numFmtId="0" fontId="16" fillId="41" borderId="15" xfId="0" applyFont="1" applyFill="1" applyBorder="1" applyAlignment="1">
      <alignment/>
    </xf>
    <xf numFmtId="0" fontId="16" fillId="41" borderId="32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16" fillId="41" borderId="31" xfId="0" applyFont="1" applyFill="1" applyBorder="1" applyAlignment="1">
      <alignment/>
    </xf>
    <xf numFmtId="0" fontId="16" fillId="41" borderId="36" xfId="0" applyFont="1" applyFill="1" applyBorder="1" applyAlignment="1">
      <alignment/>
    </xf>
    <xf numFmtId="0" fontId="0" fillId="0" borderId="37" xfId="0" applyBorder="1" applyAlignment="1">
      <alignment/>
    </xf>
    <xf numFmtId="0" fontId="15" fillId="41" borderId="0" xfId="0" applyFont="1" applyFill="1" applyAlignment="1">
      <alignment/>
    </xf>
    <xf numFmtId="0" fontId="1" fillId="41" borderId="0" xfId="0" applyFont="1" applyFill="1" applyAlignment="1">
      <alignment/>
    </xf>
    <xf numFmtId="0" fontId="15" fillId="41" borderId="0" xfId="0" applyFont="1" applyFill="1" applyAlignment="1">
      <alignment/>
    </xf>
    <xf numFmtId="0" fontId="7" fillId="41" borderId="0" xfId="0" applyFont="1" applyFill="1" applyAlignment="1">
      <alignment horizontal="left"/>
    </xf>
    <xf numFmtId="0" fontId="16" fillId="0" borderId="0" xfId="0" applyFont="1" applyAlignment="1">
      <alignment/>
    </xf>
    <xf numFmtId="0" fontId="0" fillId="41" borderId="0" xfId="0" applyFont="1" applyFill="1" applyBorder="1" applyAlignment="1">
      <alignment/>
    </xf>
    <xf numFmtId="0" fontId="1" fillId="41" borderId="0" xfId="0" applyFont="1" applyFill="1" applyBorder="1" applyAlignment="1">
      <alignment/>
    </xf>
    <xf numFmtId="0" fontId="4" fillId="41" borderId="0" xfId="0" applyFont="1" applyFill="1" applyAlignment="1">
      <alignment/>
    </xf>
    <xf numFmtId="0" fontId="0" fillId="41" borderId="32" xfId="0" applyFill="1" applyBorder="1" applyAlignment="1">
      <alignment/>
    </xf>
    <xf numFmtId="0" fontId="16" fillId="41" borderId="16" xfId="0" applyFont="1" applyFill="1" applyBorder="1" applyAlignment="1">
      <alignment/>
    </xf>
    <xf numFmtId="0" fontId="0" fillId="41" borderId="33" xfId="0" applyFill="1" applyBorder="1" applyAlignment="1">
      <alignment/>
    </xf>
    <xf numFmtId="0" fontId="0" fillId="0" borderId="36" xfId="0" applyBorder="1" applyAlignment="1">
      <alignment/>
    </xf>
    <xf numFmtId="0" fontId="0" fillId="41" borderId="0" xfId="0" applyFont="1" applyFill="1" applyAlignment="1">
      <alignment/>
    </xf>
    <xf numFmtId="0" fontId="14" fillId="41" borderId="0" xfId="0" applyFont="1" applyFill="1" applyAlignment="1">
      <alignment textRotation="90"/>
    </xf>
    <xf numFmtId="0" fontId="0" fillId="0" borderId="36" xfId="0" applyBorder="1" applyAlignment="1">
      <alignment/>
    </xf>
    <xf numFmtId="0" fontId="0" fillId="0" borderId="0" xfId="53" applyAlignment="1" applyProtection="1">
      <alignment vertical="top"/>
      <protection/>
    </xf>
    <xf numFmtId="0" fontId="7" fillId="0" borderId="0" xfId="0" applyFont="1" applyAlignment="1">
      <alignment/>
    </xf>
    <xf numFmtId="0" fontId="10" fillId="0" borderId="0" xfId="53" applyFont="1" applyProtection="1">
      <alignment/>
      <protection/>
    </xf>
    <xf numFmtId="0" fontId="12" fillId="0" borderId="0" xfId="53" applyFont="1" applyProtection="1">
      <alignment/>
      <protection/>
    </xf>
    <xf numFmtId="0" fontId="12" fillId="0" borderId="0" xfId="53" applyFont="1" applyFill="1" applyAlignment="1" applyProtection="1">
      <alignment vertical="top"/>
      <protection/>
    </xf>
    <xf numFmtId="0" fontId="10" fillId="0" borderId="0" xfId="53" applyFont="1" applyFill="1" applyAlignment="1" applyProtection="1">
      <alignment vertical="top"/>
      <protection/>
    </xf>
    <xf numFmtId="0" fontId="1" fillId="0" borderId="0" xfId="0" applyFont="1" applyAlignment="1">
      <alignment/>
    </xf>
    <xf numFmtId="0" fontId="7" fillId="41" borderId="0" xfId="0" applyFont="1" applyFill="1" applyBorder="1" applyAlignment="1">
      <alignment/>
    </xf>
    <xf numFmtId="0" fontId="0" fillId="0" borderId="15" xfId="0" applyBorder="1" applyAlignment="1">
      <alignment/>
    </xf>
    <xf numFmtId="0" fontId="16" fillId="41" borderId="0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31" xfId="0" applyBorder="1" applyAlignment="1">
      <alignment/>
    </xf>
    <xf numFmtId="0" fontId="0" fillId="0" borderId="0" xfId="0" applyAlignment="1">
      <alignment wrapText="1"/>
    </xf>
    <xf numFmtId="14" fontId="4" fillId="0" borderId="0" xfId="0" applyNumberFormat="1" applyFont="1" applyAlignment="1">
      <alignment horizontal="left" wrapText="1"/>
    </xf>
    <xf numFmtId="0" fontId="1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 indent="8"/>
    </xf>
    <xf numFmtId="0" fontId="33" fillId="0" borderId="0" xfId="45" applyFont="1" applyBorder="1" applyAlignment="1" applyProtection="1">
      <alignment vertical="top"/>
      <protection/>
    </xf>
    <xf numFmtId="0" fontId="17" fillId="0" borderId="0" xfId="53" applyFont="1" applyProtection="1">
      <alignment/>
      <protection/>
    </xf>
    <xf numFmtId="0" fontId="35" fillId="0" borderId="0" xfId="0" applyFont="1" applyAlignment="1">
      <alignment/>
    </xf>
    <xf numFmtId="0" fontId="0" fillId="0" borderId="0" xfId="53" applyFont="1" applyBorder="1" applyProtection="1">
      <alignment/>
      <protection/>
    </xf>
    <xf numFmtId="0" fontId="1" fillId="37" borderId="0" xfId="54" applyFill="1" quotePrefix="1">
      <alignment/>
      <protection/>
    </xf>
    <xf numFmtId="0" fontId="31" fillId="41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0" fillId="0" borderId="0" xfId="53" applyFont="1" applyAlignment="1" applyProtection="1">
      <alignment vertical="top"/>
      <protection/>
    </xf>
    <xf numFmtId="0" fontId="0" fillId="0" borderId="0" xfId="53" applyAlignment="1" applyProtection="1">
      <alignment vertical="top"/>
      <protection/>
    </xf>
    <xf numFmtId="0" fontId="20" fillId="0" borderId="0" xfId="46" applyFont="1" applyBorder="1" applyAlignment="1" applyProtection="1">
      <alignment vertical="top"/>
      <protection/>
    </xf>
    <xf numFmtId="0" fontId="16" fillId="0" borderId="0" xfId="53" applyFont="1" applyBorder="1" applyAlignment="1" applyProtection="1">
      <alignment vertical="top"/>
      <protection/>
    </xf>
    <xf numFmtId="0" fontId="16" fillId="41" borderId="16" xfId="0" applyFont="1" applyFill="1" applyBorder="1" applyAlignment="1">
      <alignment/>
    </xf>
    <xf numFmtId="0" fontId="0" fillId="0" borderId="0" xfId="0" applyBorder="1" applyAlignment="1">
      <alignment/>
    </xf>
    <xf numFmtId="0" fontId="16" fillId="41" borderId="36" xfId="0" applyFont="1" applyFill="1" applyBorder="1" applyAlignment="1">
      <alignment/>
    </xf>
    <xf numFmtId="0" fontId="0" fillId="0" borderId="37" xfId="0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6" fillId="41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6" fillId="41" borderId="31" xfId="0" applyFont="1" applyFill="1" applyBorder="1" applyAlignment="1">
      <alignment/>
    </xf>
    <xf numFmtId="0" fontId="0" fillId="0" borderId="36" xfId="0" applyBorder="1" applyAlignment="1">
      <alignment/>
    </xf>
    <xf numFmtId="0" fontId="16" fillId="41" borderId="50" xfId="0" applyFont="1" applyFill="1" applyBorder="1" applyAlignment="1">
      <alignment/>
    </xf>
    <xf numFmtId="0" fontId="0" fillId="0" borderId="50" xfId="0" applyFont="1" applyBorder="1" applyAlignment="1">
      <alignment/>
    </xf>
    <xf numFmtId="0" fontId="16" fillId="41" borderId="16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33" xfId="0" applyFont="1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4" fillId="0" borderId="20" xfId="53" applyFont="1" applyBorder="1" applyAlignment="1" applyProtection="1">
      <alignment wrapText="1"/>
      <protection/>
    </xf>
    <xf numFmtId="0" fontId="0" fillId="0" borderId="21" xfId="53" applyBorder="1" applyAlignment="1" applyProtection="1">
      <alignment wrapText="1"/>
      <protection/>
    </xf>
    <xf numFmtId="0" fontId="0" fillId="0" borderId="35" xfId="53" applyBorder="1" applyAlignment="1" applyProtection="1">
      <alignment wrapText="1"/>
      <protection/>
    </xf>
    <xf numFmtId="0" fontId="4" fillId="0" borderId="20" xfId="53" applyFont="1" applyBorder="1" applyAlignment="1" applyProtection="1">
      <alignment/>
      <protection/>
    </xf>
    <xf numFmtId="0" fontId="0" fillId="0" borderId="21" xfId="53" applyBorder="1" applyAlignment="1" applyProtection="1">
      <alignment/>
      <protection/>
    </xf>
    <xf numFmtId="0" fontId="10" fillId="0" borderId="14" xfId="53" applyFont="1" applyFill="1" applyBorder="1" applyAlignment="1" applyProtection="1">
      <alignment horizontal="center" vertical="center"/>
      <protection/>
    </xf>
    <xf numFmtId="0" fontId="11" fillId="0" borderId="15" xfId="53" applyFont="1" applyBorder="1" applyAlignment="1" applyProtection="1">
      <alignment horizontal="center" vertical="center"/>
      <protection/>
    </xf>
    <xf numFmtId="0" fontId="11" fillId="0" borderId="32" xfId="53" applyFont="1" applyBorder="1" applyAlignment="1" applyProtection="1">
      <alignment horizontal="center" vertical="center"/>
      <protection/>
    </xf>
    <xf numFmtId="0" fontId="11" fillId="0" borderId="31" xfId="53" applyFont="1" applyBorder="1" applyAlignment="1" applyProtection="1">
      <alignment/>
      <protection/>
    </xf>
    <xf numFmtId="0" fontId="11" fillId="0" borderId="36" xfId="53" applyFont="1" applyBorder="1" applyAlignment="1" applyProtection="1">
      <alignment/>
      <protection/>
    </xf>
    <xf numFmtId="0" fontId="11" fillId="0" borderId="37" xfId="53" applyFont="1" applyBorder="1" applyAlignment="1" applyProtection="1">
      <alignment/>
      <protection/>
    </xf>
    <xf numFmtId="0" fontId="16" fillId="0" borderId="31" xfId="53" applyFont="1" applyBorder="1" applyAlignment="1" applyProtection="1">
      <alignment horizontal="center" vertical="center" wrapText="1"/>
      <protection/>
    </xf>
    <xf numFmtId="0" fontId="16" fillId="0" borderId="37" xfId="53" applyFont="1" applyBorder="1" applyAlignment="1" applyProtection="1">
      <alignment horizontal="center" vertical="center" wrapText="1"/>
      <protection/>
    </xf>
    <xf numFmtId="0" fontId="19" fillId="0" borderId="49" xfId="53" applyFont="1" applyBorder="1" applyAlignment="1" applyProtection="1">
      <alignment wrapText="1"/>
      <protection/>
    </xf>
    <xf numFmtId="0" fontId="0" fillId="0" borderId="17" xfId="53" applyBorder="1" applyAlignment="1" applyProtection="1">
      <alignment wrapText="1"/>
      <protection/>
    </xf>
    <xf numFmtId="0" fontId="0" fillId="0" borderId="51" xfId="53" applyBorder="1" applyAlignment="1" applyProtection="1">
      <alignment wrapText="1"/>
      <protection/>
    </xf>
    <xf numFmtId="0" fontId="19" fillId="0" borderId="31" xfId="53" applyFont="1" applyBorder="1" applyAlignment="1" applyProtection="1">
      <alignment/>
      <protection/>
    </xf>
    <xf numFmtId="0" fontId="0" fillId="0" borderId="36" xfId="53" applyBorder="1" applyAlignment="1" applyProtection="1">
      <alignment/>
      <protection/>
    </xf>
    <xf numFmtId="0" fontId="16" fillId="0" borderId="17" xfId="53" applyFont="1" applyBorder="1" applyAlignment="1" applyProtection="1">
      <alignment horizontal="center" vertical="center"/>
      <protection/>
    </xf>
    <xf numFmtId="0" fontId="16" fillId="0" borderId="51" xfId="53" applyFont="1" applyBorder="1" applyAlignment="1" applyProtection="1">
      <alignment horizontal="center" vertical="center"/>
      <protection/>
    </xf>
    <xf numFmtId="0" fontId="16" fillId="0" borderId="20" xfId="53" applyFont="1" applyBorder="1" applyAlignment="1" applyProtection="1">
      <alignment/>
      <protection/>
    </xf>
    <xf numFmtId="0" fontId="0" fillId="0" borderId="35" xfId="53" applyBorder="1" applyAlignment="1" applyProtection="1">
      <alignment/>
      <protection/>
    </xf>
    <xf numFmtId="0" fontId="19" fillId="0" borderId="16" xfId="53" applyFont="1" applyBorder="1" applyAlignment="1" applyProtection="1">
      <alignment/>
      <protection/>
    </xf>
    <xf numFmtId="0" fontId="0" fillId="0" borderId="0" xfId="53" applyBorder="1" applyAlignment="1" applyProtection="1">
      <alignment/>
      <protection/>
    </xf>
    <xf numFmtId="0" fontId="0" fillId="0" borderId="33" xfId="53" applyBorder="1" applyAlignment="1" applyProtection="1">
      <alignment/>
      <protection/>
    </xf>
    <xf numFmtId="3" fontId="16" fillId="41" borderId="49" xfId="53" applyNumberFormat="1" applyFont="1" applyFill="1" applyBorder="1" applyAlignment="1" applyProtection="1">
      <alignment horizontal="center" vertical="center" wrapText="1"/>
      <protection/>
    </xf>
    <xf numFmtId="0" fontId="0" fillId="41" borderId="51" xfId="53" applyFill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/>
      <protection/>
    </xf>
    <xf numFmtId="0" fontId="0" fillId="0" borderId="0" xfId="53" applyAlignment="1" applyProtection="1">
      <alignment/>
      <protection/>
    </xf>
    <xf numFmtId="0" fontId="16" fillId="0" borderId="31" xfId="53" applyFont="1" applyBorder="1" applyAlignment="1" applyProtection="1" quotePrefix="1">
      <alignment horizontal="center" vertical="center"/>
      <protection/>
    </xf>
    <xf numFmtId="0" fontId="0" fillId="0" borderId="37" xfId="53" applyBorder="1" applyAlignment="1" applyProtection="1">
      <alignment horizontal="center" vertical="center"/>
      <protection/>
    </xf>
    <xf numFmtId="0" fontId="16" fillId="0" borderId="49" xfId="53" applyFont="1" applyBorder="1" applyAlignment="1" applyProtection="1">
      <alignment horizontal="center" vertical="center"/>
      <protection/>
    </xf>
    <xf numFmtId="0" fontId="4" fillId="0" borderId="14" xfId="53" applyFont="1" applyBorder="1" applyAlignment="1" applyProtection="1">
      <alignment/>
      <protection/>
    </xf>
    <xf numFmtId="0" fontId="0" fillId="0" borderId="15" xfId="53" applyBorder="1" applyAlignment="1" applyProtection="1">
      <alignment/>
      <protection/>
    </xf>
    <xf numFmtId="0" fontId="0" fillId="0" borderId="32" xfId="53" applyBorder="1" applyAlignment="1" applyProtection="1">
      <alignment/>
      <protection/>
    </xf>
    <xf numFmtId="0" fontId="17" fillId="0" borderId="0" xfId="53" applyFont="1" applyBorder="1" applyAlignment="1" applyProtection="1">
      <alignment vertical="top" wrapText="1"/>
      <protection/>
    </xf>
    <xf numFmtId="0" fontId="17" fillId="0" borderId="0" xfId="53" applyFont="1" applyAlignment="1" applyProtection="1">
      <alignment vertical="top" wrapText="1"/>
      <protection/>
    </xf>
    <xf numFmtId="0" fontId="4" fillId="0" borderId="0" xfId="53" applyFont="1" applyAlignment="1" applyProtection="1">
      <alignment/>
      <protection/>
    </xf>
    <xf numFmtId="0" fontId="0" fillId="0" borderId="0" xfId="53" applyFont="1" applyAlignment="1" applyProtection="1">
      <alignment/>
      <protection/>
    </xf>
    <xf numFmtId="0" fontId="17" fillId="0" borderId="0" xfId="53" applyFont="1" applyBorder="1" applyAlignment="1" applyProtection="1">
      <alignment/>
      <protection/>
    </xf>
    <xf numFmtId="0" fontId="16" fillId="0" borderId="0" xfId="53" applyFont="1" applyAlignment="1" applyProtection="1">
      <alignment/>
      <protection/>
    </xf>
    <xf numFmtId="0" fontId="16" fillId="0" borderId="0" xfId="53" applyFont="1" applyBorder="1" applyAlignment="1" applyProtection="1">
      <alignment/>
      <protection/>
    </xf>
  </cellXfs>
  <cellStyles count="56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Hyperlänk_BASTkv3031" xfId="46"/>
    <cellStyle name="Indata" xfId="47"/>
    <cellStyle name="Kontrollcell" xfId="48"/>
    <cellStyle name="Länkad cell" xfId="49"/>
    <cellStyle name="Neutral" xfId="50"/>
    <cellStyle name="Normal 2" xfId="51"/>
    <cellStyle name="Normal_AdminAppl" xfId="52"/>
    <cellStyle name="Normal_BASTkv3031" xfId="53"/>
    <cellStyle name="Normal_BIS del 4 9903" xfId="54"/>
    <cellStyle name="Percent" xfId="55"/>
    <cellStyle name="Rubrik" xfId="56"/>
    <cellStyle name="Rubrik 1" xfId="57"/>
    <cellStyle name="Rubrik 2" xfId="58"/>
    <cellStyle name="Rubrik 3" xfId="59"/>
    <cellStyle name="Rubrik 4" xfId="60"/>
    <cellStyle name="Summa" xfId="61"/>
    <cellStyle name="Comma" xfId="62"/>
    <cellStyle name="Tusental (0)_BIA" xfId="63"/>
    <cellStyle name="Comma [0]" xfId="64"/>
    <cellStyle name="Utdata" xfId="65"/>
    <cellStyle name="Currency" xfId="66"/>
    <cellStyle name="Valuta (0)_BIA" xfId="67"/>
    <cellStyle name="Currency [0]" xfId="68"/>
    <cellStyle name="Varnings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DATA\LOGO\EPS\SCB74SVR.EP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2</xdr:row>
      <xdr:rowOff>133350</xdr:rowOff>
    </xdr:from>
    <xdr:to>
      <xdr:col>4</xdr:col>
      <xdr:colOff>0</xdr:colOff>
      <xdr:row>6</xdr:row>
      <xdr:rowOff>161925</xdr:rowOff>
    </xdr:to>
    <xdr:pic>
      <xdr:nvPicPr>
        <xdr:cNvPr id="1" name="Picture 4" descr="huv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523875"/>
          <a:ext cx="6762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123825</xdr:colOff>
      <xdr:row>11</xdr:row>
      <xdr:rowOff>38100</xdr:rowOff>
    </xdr:from>
    <xdr:to>
      <xdr:col>1</xdr:col>
      <xdr:colOff>1771650</xdr:colOff>
      <xdr:row>12</xdr:row>
      <xdr:rowOff>114300</xdr:rowOff>
    </xdr:to>
    <xdr:pic>
      <xdr:nvPicPr>
        <xdr:cNvPr id="2" name="cmdSkic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2105025"/>
          <a:ext cx="16478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133350</xdr:colOff>
      <xdr:row>8</xdr:row>
      <xdr:rowOff>171450</xdr:rowOff>
    </xdr:from>
    <xdr:to>
      <xdr:col>1</xdr:col>
      <xdr:colOff>1771650</xdr:colOff>
      <xdr:row>10</xdr:row>
      <xdr:rowOff>85725</xdr:rowOff>
    </xdr:to>
    <xdr:pic>
      <xdr:nvPicPr>
        <xdr:cNvPr id="3" name="cmdKontroller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1714500"/>
          <a:ext cx="1638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38100</xdr:colOff>
      <xdr:row>4</xdr:row>
      <xdr:rowOff>47625</xdr:rowOff>
    </xdr:to>
    <xdr:pic>
      <xdr:nvPicPr>
        <xdr:cNvPr id="1" name="Picture 1" descr="C:\DATA\LOGO\EPS\SCB74SVR.EPS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2875" y="0"/>
          <a:ext cx="2714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C2:M18"/>
  <sheetViews>
    <sheetView zoomScalePageLayoutView="0" workbookViewId="0" topLeftCell="A583">
      <selection activeCell="D591" sqref="D591"/>
    </sheetView>
  </sheetViews>
  <sheetFormatPr defaultColWidth="9.140625" defaultRowHeight="12.75"/>
  <cols>
    <col min="1" max="1" width="33.28125" style="13" bestFit="1" customWidth="1"/>
    <col min="2" max="2" width="12.28125" style="13" customWidth="1"/>
    <col min="3" max="3" width="10.7109375" style="1" bestFit="1" customWidth="1"/>
    <col min="4" max="4" width="5.00390625" style="1" bestFit="1" customWidth="1"/>
    <col min="5" max="5" width="10.7109375" style="1" bestFit="1" customWidth="1"/>
    <col min="6" max="6" width="5.00390625" style="1" bestFit="1" customWidth="1"/>
    <col min="7" max="7" width="10.7109375" style="1" bestFit="1" customWidth="1"/>
    <col min="8" max="8" width="5.00390625" style="1" bestFit="1" customWidth="1"/>
    <col min="9" max="9" width="10.7109375" style="1" bestFit="1" customWidth="1"/>
    <col min="10" max="10" width="5.00390625" style="1" bestFit="1" customWidth="1"/>
    <col min="11" max="11" width="10.7109375" style="1" bestFit="1" customWidth="1"/>
    <col min="12" max="12" width="5.00390625" style="1" bestFit="1" customWidth="1"/>
    <col min="13" max="13" width="10.7109375" style="1" bestFit="1" customWidth="1"/>
    <col min="14" max="14" width="5.00390625" style="1" bestFit="1" customWidth="1"/>
    <col min="15" max="38" width="9.140625" style="1" customWidth="1"/>
    <col min="39" max="39" width="12.140625" style="1" bestFit="1" customWidth="1"/>
    <col min="40" max="40" width="5.00390625" style="1" bestFit="1" customWidth="1"/>
    <col min="41" max="16384" width="9.140625" style="1" customWidth="1"/>
  </cols>
  <sheetData>
    <row r="2" ht="12.75">
      <c r="C2" s="2"/>
    </row>
    <row r="10" spans="11:13" ht="12.75">
      <c r="K10" s="2"/>
      <c r="M10" s="2"/>
    </row>
    <row r="13" ht="12.75">
      <c r="M13" s="2"/>
    </row>
    <row r="18" ht="12.75">
      <c r="M18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256"/>
  <sheetViews>
    <sheetView zoomScalePageLayoutView="0" workbookViewId="0" topLeftCell="A133">
      <selection activeCell="B140" sqref="B140"/>
    </sheetView>
  </sheetViews>
  <sheetFormatPr defaultColWidth="9.140625" defaultRowHeight="12.75"/>
  <cols>
    <col min="1" max="1" width="26.28125" style="0" customWidth="1"/>
    <col min="2" max="2" width="18.00390625" style="0" bestFit="1" customWidth="1"/>
    <col min="3" max="3" width="39.140625" style="0" bestFit="1" customWidth="1"/>
    <col min="4" max="4" width="16.140625" style="0" bestFit="1" customWidth="1"/>
  </cols>
  <sheetData>
    <row r="1" spans="1:4" ht="12.75">
      <c r="A1" t="s">
        <v>802</v>
      </c>
      <c r="B1" t="s">
        <v>203</v>
      </c>
      <c r="C1" t="s">
        <v>803</v>
      </c>
      <c r="D1" t="s">
        <v>203</v>
      </c>
    </row>
    <row r="2" spans="1:4" ht="12.75">
      <c r="A2" t="s">
        <v>806</v>
      </c>
      <c r="B2" t="s">
        <v>257</v>
      </c>
      <c r="C2" t="s">
        <v>536</v>
      </c>
      <c r="D2" t="s">
        <v>555</v>
      </c>
    </row>
    <row r="3" spans="1:4" ht="12.75">
      <c r="A3" t="s">
        <v>807</v>
      </c>
      <c r="B3" t="s">
        <v>258</v>
      </c>
      <c r="C3" t="s">
        <v>537</v>
      </c>
      <c r="D3" t="s">
        <v>556</v>
      </c>
    </row>
    <row r="4" spans="1:4" ht="12.75">
      <c r="A4" t="s">
        <v>850</v>
      </c>
      <c r="B4" t="s">
        <v>259</v>
      </c>
      <c r="C4" t="s">
        <v>184</v>
      </c>
      <c r="D4" t="s">
        <v>557</v>
      </c>
    </row>
    <row r="5" spans="1:4" ht="12.75">
      <c r="A5" t="s">
        <v>804</v>
      </c>
      <c r="B5" t="s">
        <v>260</v>
      </c>
      <c r="C5" t="s">
        <v>185</v>
      </c>
      <c r="D5" t="s">
        <v>558</v>
      </c>
    </row>
    <row r="6" spans="1:4" ht="12.75">
      <c r="A6" t="s">
        <v>810</v>
      </c>
      <c r="B6" t="s">
        <v>261</v>
      </c>
      <c r="C6" t="s">
        <v>186</v>
      </c>
      <c r="D6" t="s">
        <v>559</v>
      </c>
    </row>
    <row r="7" spans="1:4" ht="12.75">
      <c r="A7" t="s">
        <v>811</v>
      </c>
      <c r="B7" t="s">
        <v>262</v>
      </c>
      <c r="C7" t="s">
        <v>187</v>
      </c>
      <c r="D7" t="s">
        <v>560</v>
      </c>
    </row>
    <row r="8" spans="1:4" ht="12.75">
      <c r="A8" t="s">
        <v>808</v>
      </c>
      <c r="B8" t="s">
        <v>263</v>
      </c>
      <c r="C8" t="s">
        <v>538</v>
      </c>
      <c r="D8" t="s">
        <v>561</v>
      </c>
    </row>
    <row r="9" spans="1:4" ht="12.75">
      <c r="A9" t="s">
        <v>814</v>
      </c>
      <c r="B9" t="s">
        <v>264</v>
      </c>
      <c r="C9" t="s">
        <v>539</v>
      </c>
      <c r="D9" t="s">
        <v>562</v>
      </c>
    </row>
    <row r="10" spans="1:4" ht="12.75">
      <c r="A10" t="s">
        <v>813</v>
      </c>
      <c r="B10" t="s">
        <v>265</v>
      </c>
      <c r="C10" t="s">
        <v>540</v>
      </c>
      <c r="D10" t="s">
        <v>563</v>
      </c>
    </row>
    <row r="11" spans="1:4" ht="12.75">
      <c r="A11" t="s">
        <v>815</v>
      </c>
      <c r="B11" t="s">
        <v>266</v>
      </c>
      <c r="C11" t="s">
        <v>199</v>
      </c>
      <c r="D11" t="s">
        <v>564</v>
      </c>
    </row>
    <row r="12" spans="1:4" ht="12.75">
      <c r="A12" t="s">
        <v>828</v>
      </c>
      <c r="B12" t="s">
        <v>267</v>
      </c>
      <c r="C12" t="s">
        <v>200</v>
      </c>
      <c r="D12" t="s">
        <v>565</v>
      </c>
    </row>
    <row r="13" spans="1:4" ht="12.75">
      <c r="A13" t="s">
        <v>821</v>
      </c>
      <c r="B13" t="s">
        <v>268</v>
      </c>
      <c r="C13" t="s">
        <v>541</v>
      </c>
      <c r="D13" t="s">
        <v>566</v>
      </c>
    </row>
    <row r="14" spans="1:4" ht="12.75">
      <c r="A14" t="s">
        <v>817</v>
      </c>
      <c r="B14" t="s">
        <v>269</v>
      </c>
      <c r="C14" t="s">
        <v>188</v>
      </c>
      <c r="D14" t="s">
        <v>567</v>
      </c>
    </row>
    <row r="15" spans="1:4" ht="12.75">
      <c r="A15" t="s">
        <v>816</v>
      </c>
      <c r="B15" t="s">
        <v>270</v>
      </c>
      <c r="C15" t="s">
        <v>542</v>
      </c>
      <c r="D15" t="s">
        <v>568</v>
      </c>
    </row>
    <row r="16" spans="1:4" ht="12.75">
      <c r="A16" t="s">
        <v>818</v>
      </c>
      <c r="B16" t="s">
        <v>271</v>
      </c>
      <c r="C16" t="s">
        <v>189</v>
      </c>
      <c r="D16" t="s">
        <v>569</v>
      </c>
    </row>
    <row r="17" spans="1:4" ht="12.75">
      <c r="A17" t="s">
        <v>832</v>
      </c>
      <c r="B17" t="s">
        <v>272</v>
      </c>
      <c r="C17" t="s">
        <v>190</v>
      </c>
      <c r="D17" t="s">
        <v>570</v>
      </c>
    </row>
    <row r="18" spans="1:4" ht="12.75">
      <c r="A18" t="s">
        <v>823</v>
      </c>
      <c r="B18" t="s">
        <v>273</v>
      </c>
      <c r="C18" t="s">
        <v>543</v>
      </c>
      <c r="D18" t="s">
        <v>571</v>
      </c>
    </row>
    <row r="19" spans="1:4" ht="12.75">
      <c r="A19" t="s">
        <v>824</v>
      </c>
      <c r="B19" t="s">
        <v>274</v>
      </c>
      <c r="C19" t="s">
        <v>544</v>
      </c>
      <c r="D19" t="s">
        <v>572</v>
      </c>
    </row>
    <row r="20" spans="1:4" ht="12.75">
      <c r="A20" t="s">
        <v>829</v>
      </c>
      <c r="B20" t="s">
        <v>275</v>
      </c>
      <c r="C20" t="s">
        <v>545</v>
      </c>
      <c r="D20" t="s">
        <v>573</v>
      </c>
    </row>
    <row r="21" spans="1:4" ht="12.75">
      <c r="A21" t="s">
        <v>204</v>
      </c>
      <c r="B21" t="s">
        <v>276</v>
      </c>
      <c r="C21" t="s">
        <v>191</v>
      </c>
      <c r="D21" t="s">
        <v>574</v>
      </c>
    </row>
    <row r="22" spans="1:4" ht="12.75">
      <c r="A22" t="s">
        <v>978</v>
      </c>
      <c r="B22" t="s">
        <v>277</v>
      </c>
      <c r="C22" t="s">
        <v>192</v>
      </c>
      <c r="D22" t="s">
        <v>575</v>
      </c>
    </row>
    <row r="23" spans="1:4" ht="12.75">
      <c r="A23" t="s">
        <v>826</v>
      </c>
      <c r="B23" t="s">
        <v>278</v>
      </c>
      <c r="C23" t="s">
        <v>546</v>
      </c>
      <c r="D23" t="s">
        <v>576</v>
      </c>
    </row>
    <row r="24" spans="1:4" ht="12.75">
      <c r="A24" t="s">
        <v>205</v>
      </c>
      <c r="B24" t="s">
        <v>279</v>
      </c>
      <c r="C24" t="s">
        <v>547</v>
      </c>
      <c r="D24" t="s">
        <v>577</v>
      </c>
    </row>
    <row r="25" spans="1:4" ht="12.75">
      <c r="A25" t="s">
        <v>830</v>
      </c>
      <c r="B25" t="s">
        <v>280</v>
      </c>
      <c r="C25" t="s">
        <v>548</v>
      </c>
      <c r="D25" t="s">
        <v>578</v>
      </c>
    </row>
    <row r="26" spans="1:4" ht="12.75">
      <c r="A26" t="s">
        <v>827</v>
      </c>
      <c r="B26" t="s">
        <v>281</v>
      </c>
      <c r="C26" t="s">
        <v>549</v>
      </c>
      <c r="D26" t="s">
        <v>579</v>
      </c>
    </row>
    <row r="27" spans="1:4" ht="12.75">
      <c r="A27" t="s">
        <v>206</v>
      </c>
      <c r="B27" t="s">
        <v>282</v>
      </c>
      <c r="C27" t="s">
        <v>193</v>
      </c>
      <c r="D27" t="s">
        <v>580</v>
      </c>
    </row>
    <row r="28" spans="1:4" ht="12.75">
      <c r="A28" t="s">
        <v>825</v>
      </c>
      <c r="B28" t="s">
        <v>283</v>
      </c>
      <c r="C28" t="s">
        <v>550</v>
      </c>
      <c r="D28" t="s">
        <v>581</v>
      </c>
    </row>
    <row r="29" spans="1:4" ht="12.75">
      <c r="A29" t="s">
        <v>820</v>
      </c>
      <c r="B29" t="s">
        <v>284</v>
      </c>
      <c r="C29" t="s">
        <v>551</v>
      </c>
      <c r="D29" t="s">
        <v>582</v>
      </c>
    </row>
    <row r="30" spans="1:4" ht="12.75">
      <c r="A30" t="s">
        <v>819</v>
      </c>
      <c r="B30" t="s">
        <v>285</v>
      </c>
      <c r="C30" t="s">
        <v>552</v>
      </c>
      <c r="D30" t="s">
        <v>583</v>
      </c>
    </row>
    <row r="31" spans="1:4" ht="12.75">
      <c r="A31" t="s">
        <v>822</v>
      </c>
      <c r="B31" t="s">
        <v>286</v>
      </c>
      <c r="C31" t="s">
        <v>195</v>
      </c>
      <c r="D31" t="s">
        <v>584</v>
      </c>
    </row>
    <row r="32" spans="1:4" ht="12.75">
      <c r="A32" t="s">
        <v>896</v>
      </c>
      <c r="B32" t="s">
        <v>287</v>
      </c>
      <c r="C32" t="s">
        <v>553</v>
      </c>
      <c r="D32" t="s">
        <v>585</v>
      </c>
    </row>
    <row r="33" spans="1:4" ht="12.75">
      <c r="A33" t="s">
        <v>835</v>
      </c>
      <c r="B33" t="s">
        <v>288</v>
      </c>
      <c r="C33" t="s">
        <v>196</v>
      </c>
      <c r="D33" t="s">
        <v>586</v>
      </c>
    </row>
    <row r="34" spans="1:4" ht="12.75">
      <c r="A34" t="s">
        <v>838</v>
      </c>
      <c r="B34" t="s">
        <v>289</v>
      </c>
      <c r="C34" t="s">
        <v>198</v>
      </c>
      <c r="D34" t="s">
        <v>512</v>
      </c>
    </row>
    <row r="35" spans="1:4" ht="12.75">
      <c r="A35" t="s">
        <v>841</v>
      </c>
      <c r="B35" t="s">
        <v>290</v>
      </c>
      <c r="C35" t="s">
        <v>202</v>
      </c>
      <c r="D35" t="s">
        <v>587</v>
      </c>
    </row>
    <row r="36" spans="1:4" ht="12.75">
      <c r="A36" t="s">
        <v>892</v>
      </c>
      <c r="B36" t="s">
        <v>291</v>
      </c>
      <c r="C36" t="s">
        <v>554</v>
      </c>
      <c r="D36" t="s">
        <v>588</v>
      </c>
    </row>
    <row r="37" spans="1:4" ht="12.75">
      <c r="A37" t="s">
        <v>842</v>
      </c>
      <c r="B37" t="s">
        <v>292</v>
      </c>
      <c r="C37" t="s">
        <v>201</v>
      </c>
      <c r="D37" t="s">
        <v>589</v>
      </c>
    </row>
    <row r="38" spans="1:4" ht="12.75">
      <c r="A38" t="s">
        <v>843</v>
      </c>
      <c r="B38" t="s">
        <v>293</v>
      </c>
      <c r="C38" t="s">
        <v>197</v>
      </c>
      <c r="D38" t="s">
        <v>590</v>
      </c>
    </row>
    <row r="39" spans="1:4" ht="12.75">
      <c r="A39" t="s">
        <v>845</v>
      </c>
      <c r="B39" t="s">
        <v>294</v>
      </c>
      <c r="C39" t="s">
        <v>194</v>
      </c>
      <c r="D39" t="s">
        <v>591</v>
      </c>
    </row>
    <row r="40" spans="1:2" ht="12.75">
      <c r="A40" t="s">
        <v>207</v>
      </c>
      <c r="B40" t="s">
        <v>295</v>
      </c>
    </row>
    <row r="41" spans="1:2" ht="12.75">
      <c r="A41" t="s">
        <v>208</v>
      </c>
      <c r="B41" t="s">
        <v>296</v>
      </c>
    </row>
    <row r="42" spans="1:2" ht="12.75">
      <c r="A42" t="s">
        <v>834</v>
      </c>
      <c r="B42" t="s">
        <v>297</v>
      </c>
    </row>
    <row r="43" spans="1:2" ht="12.75">
      <c r="A43" t="s">
        <v>847</v>
      </c>
      <c r="B43" t="s">
        <v>298</v>
      </c>
    </row>
    <row r="44" spans="1:2" ht="12.75">
      <c r="A44" t="s">
        <v>848</v>
      </c>
      <c r="B44" t="s">
        <v>299</v>
      </c>
    </row>
    <row r="45" spans="1:2" ht="12.75">
      <c r="A45" t="s">
        <v>849</v>
      </c>
      <c r="B45" t="s">
        <v>300</v>
      </c>
    </row>
    <row r="46" spans="1:2" ht="12.75">
      <c r="A46" t="s">
        <v>209</v>
      </c>
      <c r="B46" t="s">
        <v>301</v>
      </c>
    </row>
    <row r="47" spans="1:2" ht="12.75">
      <c r="A47" t="s">
        <v>851</v>
      </c>
      <c r="B47" t="s">
        <v>302</v>
      </c>
    </row>
    <row r="48" spans="1:2" ht="12.75">
      <c r="A48" t="s">
        <v>853</v>
      </c>
      <c r="B48" t="s">
        <v>303</v>
      </c>
    </row>
    <row r="49" spans="1:2" ht="12.75">
      <c r="A49" t="s">
        <v>868</v>
      </c>
      <c r="B49" t="s">
        <v>304</v>
      </c>
    </row>
    <row r="50" spans="1:2" ht="12.75">
      <c r="A50" t="s">
        <v>957</v>
      </c>
      <c r="B50" t="s">
        <v>305</v>
      </c>
    </row>
    <row r="51" spans="1:2" ht="12.75">
      <c r="A51" t="s">
        <v>837</v>
      </c>
      <c r="B51" t="s">
        <v>306</v>
      </c>
    </row>
    <row r="52" spans="1:2" ht="12.75">
      <c r="A52" t="s">
        <v>975</v>
      </c>
      <c r="B52" t="s">
        <v>307</v>
      </c>
    </row>
    <row r="53" spans="1:2" ht="12.75">
      <c r="A53" t="s">
        <v>854</v>
      </c>
      <c r="B53" t="s">
        <v>308</v>
      </c>
    </row>
    <row r="54" spans="1:2" ht="12.75">
      <c r="A54" t="s">
        <v>852</v>
      </c>
      <c r="B54" t="s">
        <v>309</v>
      </c>
    </row>
    <row r="55" spans="1:2" ht="12.75">
      <c r="A55" t="s">
        <v>856</v>
      </c>
      <c r="B55" t="s">
        <v>310</v>
      </c>
    </row>
    <row r="56" spans="1:2" ht="12.75">
      <c r="A56" t="s">
        <v>210</v>
      </c>
      <c r="B56" t="s">
        <v>311</v>
      </c>
    </row>
    <row r="57" spans="1:2" ht="12.75">
      <c r="A57" t="s">
        <v>859</v>
      </c>
      <c r="B57" t="s">
        <v>312</v>
      </c>
    </row>
    <row r="58" spans="1:2" ht="12.75">
      <c r="A58" t="s">
        <v>858</v>
      </c>
      <c r="B58" t="s">
        <v>313</v>
      </c>
    </row>
    <row r="59" spans="1:2" ht="12.75">
      <c r="A59" t="s">
        <v>937</v>
      </c>
      <c r="B59" t="s">
        <v>314</v>
      </c>
    </row>
    <row r="60" spans="1:2" ht="12.75">
      <c r="A60" t="s">
        <v>857</v>
      </c>
      <c r="B60" t="s">
        <v>331</v>
      </c>
    </row>
    <row r="61" spans="1:2" ht="12.75">
      <c r="A61" t="s">
        <v>211</v>
      </c>
      <c r="B61" t="s">
        <v>332</v>
      </c>
    </row>
    <row r="62" spans="1:2" ht="12.75">
      <c r="A62" t="s">
        <v>212</v>
      </c>
      <c r="B62" t="s">
        <v>333</v>
      </c>
    </row>
    <row r="63" spans="1:2" ht="12.75">
      <c r="A63" t="s">
        <v>936</v>
      </c>
      <c r="B63" t="s">
        <v>334</v>
      </c>
    </row>
    <row r="64" spans="1:2" ht="12.75">
      <c r="A64" t="s">
        <v>213</v>
      </c>
      <c r="B64" t="s">
        <v>335</v>
      </c>
    </row>
    <row r="65" spans="1:2" ht="12.75">
      <c r="A65" t="s">
        <v>214</v>
      </c>
      <c r="B65" t="s">
        <v>336</v>
      </c>
    </row>
    <row r="66" spans="1:2" ht="12.75">
      <c r="A66" t="s">
        <v>215</v>
      </c>
      <c r="B66" t="s">
        <v>337</v>
      </c>
    </row>
    <row r="67" spans="1:2" ht="12.75">
      <c r="A67" t="s">
        <v>216</v>
      </c>
      <c r="B67" t="s">
        <v>340</v>
      </c>
    </row>
    <row r="68" spans="1:2" ht="12.75">
      <c r="A68" t="s">
        <v>805</v>
      </c>
      <c r="B68" t="s">
        <v>341</v>
      </c>
    </row>
    <row r="69" spans="1:2" ht="12.75">
      <c r="A69" t="s">
        <v>860</v>
      </c>
      <c r="B69" t="s">
        <v>342</v>
      </c>
    </row>
    <row r="70" spans="1:2" ht="12.75">
      <c r="A70" t="s">
        <v>866</v>
      </c>
      <c r="B70" t="s">
        <v>343</v>
      </c>
    </row>
    <row r="71" spans="1:2" ht="12.75">
      <c r="A71" t="s">
        <v>862</v>
      </c>
      <c r="B71" t="s">
        <v>344</v>
      </c>
    </row>
    <row r="72" spans="1:2" ht="12.75">
      <c r="A72" t="s">
        <v>864</v>
      </c>
      <c r="B72" t="s">
        <v>345</v>
      </c>
    </row>
    <row r="73" spans="1:2" ht="12.75">
      <c r="A73" t="s">
        <v>865</v>
      </c>
      <c r="B73" t="s">
        <v>346</v>
      </c>
    </row>
    <row r="74" spans="1:2" ht="12.75">
      <c r="A74" t="s">
        <v>869</v>
      </c>
      <c r="B74" t="s">
        <v>347</v>
      </c>
    </row>
    <row r="75" spans="1:2" ht="12.75">
      <c r="A75" t="s">
        <v>861</v>
      </c>
      <c r="B75" t="s">
        <v>348</v>
      </c>
    </row>
    <row r="76" spans="1:2" ht="12.75">
      <c r="A76" t="s">
        <v>217</v>
      </c>
      <c r="B76" t="s">
        <v>349</v>
      </c>
    </row>
    <row r="77" spans="1:2" ht="12.75">
      <c r="A77" t="s">
        <v>870</v>
      </c>
      <c r="B77" t="s">
        <v>350</v>
      </c>
    </row>
    <row r="78" spans="1:2" ht="12.75">
      <c r="A78" t="s">
        <v>863</v>
      </c>
      <c r="B78" t="s">
        <v>351</v>
      </c>
    </row>
    <row r="79" spans="1:2" ht="12.75">
      <c r="A79" t="s">
        <v>867</v>
      </c>
      <c r="B79" t="s">
        <v>352</v>
      </c>
    </row>
    <row r="80" spans="1:2" ht="12.75">
      <c r="A80" t="s">
        <v>871</v>
      </c>
      <c r="B80" t="s">
        <v>353</v>
      </c>
    </row>
    <row r="81" spans="1:2" ht="12.75">
      <c r="A81" t="s">
        <v>872</v>
      </c>
      <c r="B81" t="s">
        <v>354</v>
      </c>
    </row>
    <row r="82" spans="1:2" ht="12.75">
      <c r="A82" t="s">
        <v>876</v>
      </c>
      <c r="B82" t="s">
        <v>355</v>
      </c>
    </row>
    <row r="83" spans="1:2" ht="12.75">
      <c r="A83" t="s">
        <v>928</v>
      </c>
      <c r="B83" t="s">
        <v>356</v>
      </c>
    </row>
    <row r="84" spans="1:2" ht="12.75">
      <c r="A84" t="s">
        <v>874</v>
      </c>
      <c r="B84" t="s">
        <v>357</v>
      </c>
    </row>
    <row r="85" spans="1:2" ht="12.75">
      <c r="A85" t="s">
        <v>873</v>
      </c>
      <c r="B85" t="s">
        <v>358</v>
      </c>
    </row>
    <row r="86" spans="1:2" ht="12.75">
      <c r="A86" t="s">
        <v>881</v>
      </c>
      <c r="B86" t="s">
        <v>359</v>
      </c>
    </row>
    <row r="87" spans="1:2" ht="12.75">
      <c r="A87" t="s">
        <v>878</v>
      </c>
      <c r="B87" t="s">
        <v>360</v>
      </c>
    </row>
    <row r="88" spans="1:2" ht="12.75">
      <c r="A88" t="s">
        <v>979</v>
      </c>
      <c r="B88" t="s">
        <v>361</v>
      </c>
    </row>
    <row r="89" spans="1:2" ht="12.75">
      <c r="A89" t="s">
        <v>989</v>
      </c>
      <c r="B89" t="s">
        <v>362</v>
      </c>
    </row>
    <row r="90" spans="1:2" ht="12.75">
      <c r="A90" t="s">
        <v>218</v>
      </c>
      <c r="B90" t="s">
        <v>363</v>
      </c>
    </row>
    <row r="91" spans="1:2" ht="12.75">
      <c r="A91" t="s">
        <v>882</v>
      </c>
      <c r="B91" t="s">
        <v>364</v>
      </c>
    </row>
    <row r="92" spans="1:2" ht="12.75">
      <c r="A92" t="s">
        <v>883</v>
      </c>
      <c r="B92" t="s">
        <v>365</v>
      </c>
    </row>
    <row r="93" spans="1:2" ht="12.75">
      <c r="A93" t="s">
        <v>879</v>
      </c>
      <c r="B93" t="s">
        <v>366</v>
      </c>
    </row>
    <row r="94" spans="1:2" ht="12.75">
      <c r="A94" t="s">
        <v>884</v>
      </c>
      <c r="B94" t="s">
        <v>367</v>
      </c>
    </row>
    <row r="95" spans="1:2" ht="12.75">
      <c r="A95" t="s">
        <v>880</v>
      </c>
      <c r="B95" t="s">
        <v>368</v>
      </c>
    </row>
    <row r="96" spans="1:2" ht="12.75">
      <c r="A96" t="s">
        <v>219</v>
      </c>
      <c r="B96" t="s">
        <v>369</v>
      </c>
    </row>
    <row r="97" spans="1:2" ht="12.75">
      <c r="A97" t="s">
        <v>220</v>
      </c>
      <c r="B97" t="s">
        <v>370</v>
      </c>
    </row>
    <row r="98" spans="1:2" ht="12.75">
      <c r="A98" t="s">
        <v>221</v>
      </c>
      <c r="B98" t="s">
        <v>371</v>
      </c>
    </row>
    <row r="99" spans="1:2" ht="12.75">
      <c r="A99" t="s">
        <v>222</v>
      </c>
      <c r="B99" t="s">
        <v>372</v>
      </c>
    </row>
    <row r="100" spans="1:2" ht="12.75">
      <c r="A100" t="s">
        <v>886</v>
      </c>
      <c r="B100" t="s">
        <v>373</v>
      </c>
    </row>
    <row r="101" spans="1:2" ht="12.75">
      <c r="A101" t="s">
        <v>887</v>
      </c>
      <c r="B101" t="s">
        <v>374</v>
      </c>
    </row>
    <row r="102" spans="1:2" ht="12.75">
      <c r="A102" t="s">
        <v>885</v>
      </c>
      <c r="B102" t="s">
        <v>375</v>
      </c>
    </row>
    <row r="103" spans="1:2" ht="12.75">
      <c r="A103" t="s">
        <v>223</v>
      </c>
      <c r="B103" t="s">
        <v>376</v>
      </c>
    </row>
    <row r="104" spans="1:2" ht="12.75">
      <c r="A104" t="s">
        <v>224</v>
      </c>
      <c r="B104" t="s">
        <v>377</v>
      </c>
    </row>
    <row r="105" spans="1:2" ht="12.75">
      <c r="A105" t="s">
        <v>890</v>
      </c>
      <c r="B105" t="s">
        <v>378</v>
      </c>
    </row>
    <row r="106" spans="1:2" ht="12.75">
      <c r="A106" t="s">
        <v>839</v>
      </c>
      <c r="B106" t="s">
        <v>379</v>
      </c>
    </row>
    <row r="107" spans="1:2" ht="12.75">
      <c r="A107" t="s">
        <v>833</v>
      </c>
      <c r="B107" t="s">
        <v>380</v>
      </c>
    </row>
    <row r="108" spans="1:2" ht="12.75">
      <c r="A108" t="s">
        <v>844</v>
      </c>
      <c r="B108" t="s">
        <v>381</v>
      </c>
    </row>
    <row r="109" spans="1:2" ht="12.75">
      <c r="A109" t="s">
        <v>897</v>
      </c>
      <c r="B109" t="s">
        <v>382</v>
      </c>
    </row>
    <row r="110" spans="1:2" ht="12.75">
      <c r="A110" t="s">
        <v>888</v>
      </c>
      <c r="B110" t="s">
        <v>383</v>
      </c>
    </row>
    <row r="111" spans="1:2" ht="12.75">
      <c r="A111" t="s">
        <v>840</v>
      </c>
      <c r="B111" t="s">
        <v>384</v>
      </c>
    </row>
    <row r="112" spans="1:2" ht="12.75">
      <c r="A112" t="s">
        <v>889</v>
      </c>
      <c r="B112" t="s">
        <v>385</v>
      </c>
    </row>
    <row r="113" spans="1:2" ht="12.75">
      <c r="A113" t="s">
        <v>891</v>
      </c>
      <c r="B113" t="s">
        <v>386</v>
      </c>
    </row>
    <row r="114" spans="1:2" ht="12.75">
      <c r="A114" t="s">
        <v>836</v>
      </c>
      <c r="B114" t="s">
        <v>387</v>
      </c>
    </row>
    <row r="115" spans="1:2" ht="12.75">
      <c r="A115" t="s">
        <v>875</v>
      </c>
      <c r="B115" t="s">
        <v>388</v>
      </c>
    </row>
    <row r="116" spans="1:2" ht="12.75">
      <c r="A116" t="s">
        <v>895</v>
      </c>
      <c r="B116" t="s">
        <v>389</v>
      </c>
    </row>
    <row r="117" spans="1:2" ht="12.75">
      <c r="A117" t="s">
        <v>898</v>
      </c>
      <c r="B117" t="s">
        <v>390</v>
      </c>
    </row>
    <row r="118" spans="1:2" ht="12.75">
      <c r="A118" t="s">
        <v>985</v>
      </c>
      <c r="B118" t="s">
        <v>391</v>
      </c>
    </row>
    <row r="119" spans="1:2" ht="12.75">
      <c r="A119" t="s">
        <v>903</v>
      </c>
      <c r="B119" t="s">
        <v>392</v>
      </c>
    </row>
    <row r="120" spans="1:2" ht="12.75">
      <c r="A120" t="s">
        <v>906</v>
      </c>
      <c r="B120" t="s">
        <v>393</v>
      </c>
    </row>
    <row r="121" spans="1:2" ht="12.75">
      <c r="A121" t="s">
        <v>899</v>
      </c>
      <c r="B121" t="s">
        <v>394</v>
      </c>
    </row>
    <row r="122" spans="1:2" ht="12.75">
      <c r="A122" t="s">
        <v>902</v>
      </c>
      <c r="B122" t="s">
        <v>395</v>
      </c>
    </row>
    <row r="123" spans="1:2" ht="12.75">
      <c r="A123" t="s">
        <v>907</v>
      </c>
      <c r="B123" t="s">
        <v>396</v>
      </c>
    </row>
    <row r="124" spans="1:2" ht="12.75">
      <c r="A124" t="s">
        <v>900</v>
      </c>
      <c r="B124" t="s">
        <v>397</v>
      </c>
    </row>
    <row r="125" spans="1:2" ht="12.75">
      <c r="A125" t="s">
        <v>904</v>
      </c>
      <c r="B125" t="s">
        <v>398</v>
      </c>
    </row>
    <row r="126" spans="1:2" ht="12.75">
      <c r="A126" t="s">
        <v>905</v>
      </c>
      <c r="B126" t="s">
        <v>399</v>
      </c>
    </row>
    <row r="127" spans="1:2" ht="12.75">
      <c r="A127" t="s">
        <v>915</v>
      </c>
      <c r="B127" t="s">
        <v>400</v>
      </c>
    </row>
    <row r="128" spans="1:2" ht="12.75">
      <c r="A128" t="s">
        <v>910</v>
      </c>
      <c r="B128" t="s">
        <v>401</v>
      </c>
    </row>
    <row r="129" spans="1:2" ht="12.75">
      <c r="A129" t="s">
        <v>911</v>
      </c>
      <c r="B129" t="s">
        <v>402</v>
      </c>
    </row>
    <row r="130" spans="1:2" ht="12.75">
      <c r="A130" t="s">
        <v>920</v>
      </c>
      <c r="B130" t="s">
        <v>403</v>
      </c>
    </row>
    <row r="131" spans="1:2" ht="12.75">
      <c r="A131" t="s">
        <v>225</v>
      </c>
      <c r="B131" t="s">
        <v>404</v>
      </c>
    </row>
    <row r="132" spans="1:2" ht="12.75">
      <c r="A132" t="s">
        <v>919</v>
      </c>
      <c r="B132" t="s">
        <v>405</v>
      </c>
    </row>
    <row r="133" spans="1:2" ht="12.75">
      <c r="A133" t="s">
        <v>912</v>
      </c>
      <c r="B133" t="s">
        <v>406</v>
      </c>
    </row>
    <row r="134" spans="1:2" ht="12.75">
      <c r="A134" t="s">
        <v>917</v>
      </c>
      <c r="B134" t="s">
        <v>407</v>
      </c>
    </row>
    <row r="135" spans="1:2" ht="12.75">
      <c r="A135" t="s">
        <v>908</v>
      </c>
      <c r="B135" t="s">
        <v>408</v>
      </c>
    </row>
    <row r="136" spans="1:2" ht="12.75">
      <c r="A136" t="s">
        <v>916</v>
      </c>
      <c r="B136" t="s">
        <v>409</v>
      </c>
    </row>
    <row r="137" spans="1:2" ht="12.75">
      <c r="A137" t="s">
        <v>918</v>
      </c>
      <c r="B137" t="s">
        <v>410</v>
      </c>
    </row>
    <row r="138" spans="1:2" ht="12.75">
      <c r="A138" t="s">
        <v>921</v>
      </c>
      <c r="B138" t="s">
        <v>411</v>
      </c>
    </row>
    <row r="139" spans="1:2" ht="12.75">
      <c r="A139" t="s">
        <v>226</v>
      </c>
      <c r="B139" t="s">
        <v>412</v>
      </c>
    </row>
    <row r="140" spans="1:2" ht="12.75">
      <c r="A140" t="s">
        <v>909</v>
      </c>
      <c r="B140" t="s">
        <v>413</v>
      </c>
    </row>
    <row r="141" spans="1:2" ht="12.75">
      <c r="A141" t="s">
        <v>914</v>
      </c>
      <c r="B141" t="s">
        <v>414</v>
      </c>
    </row>
    <row r="142" spans="1:2" ht="12.75">
      <c r="A142" t="s">
        <v>922</v>
      </c>
      <c r="B142" t="s">
        <v>415</v>
      </c>
    </row>
    <row r="143" spans="1:2" ht="12.75">
      <c r="A143" t="s">
        <v>913</v>
      </c>
      <c r="B143" t="s">
        <v>416</v>
      </c>
    </row>
    <row r="144" spans="1:2" ht="12.75">
      <c r="A144" t="s">
        <v>923</v>
      </c>
      <c r="B144" t="s">
        <v>417</v>
      </c>
    </row>
    <row r="145" spans="1:2" ht="12.75">
      <c r="A145" t="s">
        <v>931</v>
      </c>
      <c r="B145" t="s">
        <v>418</v>
      </c>
    </row>
    <row r="146" spans="1:2" ht="12.75">
      <c r="A146" t="s">
        <v>809</v>
      </c>
      <c r="B146" t="s">
        <v>419</v>
      </c>
    </row>
    <row r="147" spans="1:2" ht="12.75">
      <c r="A147" t="s">
        <v>930</v>
      </c>
      <c r="B147" t="s">
        <v>420</v>
      </c>
    </row>
    <row r="148" spans="1:2" ht="12.75">
      <c r="A148" t="s">
        <v>927</v>
      </c>
      <c r="B148" t="s">
        <v>421</v>
      </c>
    </row>
    <row r="149" spans="1:2" ht="12.75">
      <c r="A149" t="s">
        <v>925</v>
      </c>
      <c r="B149" t="s">
        <v>422</v>
      </c>
    </row>
    <row r="150" spans="1:2" ht="12.75">
      <c r="A150" t="s">
        <v>926</v>
      </c>
      <c r="B150" t="s">
        <v>423</v>
      </c>
    </row>
    <row r="151" spans="1:2" ht="12.75">
      <c r="A151" t="s">
        <v>893</v>
      </c>
      <c r="B151" t="s">
        <v>424</v>
      </c>
    </row>
    <row r="152" spans="1:2" ht="12.75">
      <c r="A152" t="s">
        <v>929</v>
      </c>
      <c r="B152" t="s">
        <v>425</v>
      </c>
    </row>
    <row r="153" spans="1:2" ht="12.75">
      <c r="A153" t="s">
        <v>924</v>
      </c>
      <c r="B153" t="s">
        <v>426</v>
      </c>
    </row>
    <row r="154" spans="1:2" ht="12.75">
      <c r="A154" t="s">
        <v>932</v>
      </c>
      <c r="B154" t="s">
        <v>427</v>
      </c>
    </row>
    <row r="155" spans="1:2" ht="12.75">
      <c r="A155" t="s">
        <v>227</v>
      </c>
      <c r="B155" t="s">
        <v>428</v>
      </c>
    </row>
    <row r="156" spans="1:2" ht="12.75">
      <c r="A156" t="s">
        <v>179</v>
      </c>
      <c r="B156" t="s">
        <v>429</v>
      </c>
    </row>
    <row r="157" spans="1:2" ht="12.75">
      <c r="A157" t="s">
        <v>228</v>
      </c>
      <c r="B157" t="s">
        <v>430</v>
      </c>
    </row>
    <row r="158" spans="1:2" ht="12.75">
      <c r="A158" t="s">
        <v>933</v>
      </c>
      <c r="B158" t="s">
        <v>431</v>
      </c>
    </row>
    <row r="159" spans="1:2" ht="12.75">
      <c r="A159" t="s">
        <v>938</v>
      </c>
      <c r="B159" t="s">
        <v>432</v>
      </c>
    </row>
    <row r="160" spans="1:2" ht="12.75">
      <c r="A160" t="s">
        <v>229</v>
      </c>
      <c r="B160" t="s">
        <v>433</v>
      </c>
    </row>
    <row r="161" spans="1:2" ht="12.75">
      <c r="A161" t="s">
        <v>934</v>
      </c>
      <c r="B161" t="s">
        <v>434</v>
      </c>
    </row>
    <row r="162" spans="1:2" ht="12.75">
      <c r="A162" t="s">
        <v>230</v>
      </c>
      <c r="B162" t="s">
        <v>435</v>
      </c>
    </row>
    <row r="163" spans="1:2" ht="12.75">
      <c r="A163" t="s">
        <v>941</v>
      </c>
      <c r="B163" t="s">
        <v>436</v>
      </c>
    </row>
    <row r="164" spans="1:2" ht="12.75">
      <c r="A164" t="s">
        <v>935</v>
      </c>
      <c r="B164" t="s">
        <v>437</v>
      </c>
    </row>
    <row r="165" spans="1:2" ht="12.75">
      <c r="A165" t="s">
        <v>939</v>
      </c>
      <c r="B165" t="s">
        <v>438</v>
      </c>
    </row>
    <row r="166" spans="1:2" ht="12.75">
      <c r="A166" t="s">
        <v>940</v>
      </c>
      <c r="B166" t="s">
        <v>439</v>
      </c>
    </row>
    <row r="167" spans="1:2" ht="12.75">
      <c r="A167" t="s">
        <v>942</v>
      </c>
      <c r="B167" t="s">
        <v>440</v>
      </c>
    </row>
    <row r="168" spans="1:2" ht="12.75">
      <c r="A168" t="s">
        <v>231</v>
      </c>
      <c r="B168" t="s">
        <v>442</v>
      </c>
    </row>
    <row r="169" spans="1:2" ht="12.75">
      <c r="A169" t="s">
        <v>232</v>
      </c>
      <c r="B169" t="s">
        <v>443</v>
      </c>
    </row>
    <row r="170" spans="1:2" ht="12.75">
      <c r="A170" t="s">
        <v>233</v>
      </c>
      <c r="B170" t="s">
        <v>444</v>
      </c>
    </row>
    <row r="171" spans="1:2" ht="12.75">
      <c r="A171" t="s">
        <v>234</v>
      </c>
      <c r="B171" t="s">
        <v>445</v>
      </c>
    </row>
    <row r="172" spans="1:2" ht="12.75">
      <c r="A172" t="s">
        <v>235</v>
      </c>
      <c r="B172" t="s">
        <v>446</v>
      </c>
    </row>
    <row r="173" spans="1:2" ht="12.75">
      <c r="A173" t="s">
        <v>236</v>
      </c>
      <c r="B173" t="s">
        <v>447</v>
      </c>
    </row>
    <row r="174" spans="1:2" ht="12.75">
      <c r="A174" t="s">
        <v>237</v>
      </c>
      <c r="B174" t="s">
        <v>448</v>
      </c>
    </row>
    <row r="175" spans="1:2" ht="12.75">
      <c r="A175" t="s">
        <v>944</v>
      </c>
      <c r="B175" t="s">
        <v>449</v>
      </c>
    </row>
    <row r="176" spans="1:2" ht="12.75">
      <c r="A176" t="s">
        <v>238</v>
      </c>
      <c r="B176" t="s">
        <v>450</v>
      </c>
    </row>
    <row r="177" spans="1:2" ht="12.75">
      <c r="A177" t="s">
        <v>943</v>
      </c>
      <c r="B177" t="s">
        <v>451</v>
      </c>
    </row>
    <row r="178" spans="1:2" ht="12.75">
      <c r="A178" t="s">
        <v>946</v>
      </c>
      <c r="B178" t="s">
        <v>452</v>
      </c>
    </row>
    <row r="179" spans="1:2" ht="12.75">
      <c r="A179" t="s">
        <v>239</v>
      </c>
      <c r="B179" t="s">
        <v>453</v>
      </c>
    </row>
    <row r="180" spans="1:2" ht="12.75">
      <c r="A180" t="s">
        <v>956</v>
      </c>
      <c r="B180" t="s">
        <v>454</v>
      </c>
    </row>
    <row r="181" spans="1:2" ht="12.75">
      <c r="A181" t="s">
        <v>945</v>
      </c>
      <c r="B181" t="s">
        <v>455</v>
      </c>
    </row>
    <row r="182" spans="1:2" ht="12.75">
      <c r="A182" t="s">
        <v>240</v>
      </c>
      <c r="B182" t="s">
        <v>456</v>
      </c>
    </row>
    <row r="183" spans="1:2" ht="12.75">
      <c r="A183" t="s">
        <v>953</v>
      </c>
      <c r="B183" t="s">
        <v>457</v>
      </c>
    </row>
    <row r="184" spans="1:2" ht="12.75">
      <c r="A184" t="s">
        <v>947</v>
      </c>
      <c r="B184" t="s">
        <v>458</v>
      </c>
    </row>
    <row r="185" spans="1:2" ht="12.75">
      <c r="A185" t="s">
        <v>952</v>
      </c>
      <c r="B185" t="s">
        <v>459</v>
      </c>
    </row>
    <row r="186" spans="1:2" ht="12.75">
      <c r="A186" t="s">
        <v>949</v>
      </c>
      <c r="B186" t="s">
        <v>460</v>
      </c>
    </row>
    <row r="187" spans="1:2" ht="12.75">
      <c r="A187" t="s">
        <v>951</v>
      </c>
      <c r="B187" t="s">
        <v>461</v>
      </c>
    </row>
    <row r="188" spans="1:2" ht="12.75">
      <c r="A188" t="s">
        <v>950</v>
      </c>
      <c r="B188" t="s">
        <v>462</v>
      </c>
    </row>
    <row r="189" spans="1:2" ht="12.75">
      <c r="A189" t="s">
        <v>954</v>
      </c>
      <c r="B189" t="s">
        <v>463</v>
      </c>
    </row>
    <row r="190" spans="1:2" ht="12.75">
      <c r="A190" t="s">
        <v>855</v>
      </c>
      <c r="B190" t="s">
        <v>464</v>
      </c>
    </row>
    <row r="191" spans="1:2" ht="12.75">
      <c r="A191" t="s">
        <v>901</v>
      </c>
      <c r="B191" t="s">
        <v>465</v>
      </c>
    </row>
    <row r="192" spans="1:2" ht="12.75">
      <c r="A192" t="s">
        <v>241</v>
      </c>
      <c r="B192" t="s">
        <v>466</v>
      </c>
    </row>
    <row r="193" spans="1:2" ht="12.75">
      <c r="A193" t="s">
        <v>242</v>
      </c>
      <c r="B193" t="s">
        <v>467</v>
      </c>
    </row>
    <row r="194" spans="1:2" ht="12.75">
      <c r="A194" t="s">
        <v>243</v>
      </c>
      <c r="B194" t="s">
        <v>468</v>
      </c>
    </row>
    <row r="195" spans="1:2" ht="12.75">
      <c r="A195" t="s">
        <v>244</v>
      </c>
      <c r="B195" t="s">
        <v>469</v>
      </c>
    </row>
    <row r="196" spans="1:2" ht="12.75">
      <c r="A196" t="s">
        <v>245</v>
      </c>
      <c r="B196" t="s">
        <v>470</v>
      </c>
    </row>
    <row r="197" spans="1:2" ht="12.75">
      <c r="A197" t="s">
        <v>948</v>
      </c>
      <c r="B197" t="s">
        <v>471</v>
      </c>
    </row>
    <row r="198" spans="1:2" ht="12.75">
      <c r="A198" t="s">
        <v>955</v>
      </c>
      <c r="B198" t="s">
        <v>472</v>
      </c>
    </row>
    <row r="199" spans="1:2" ht="12.75">
      <c r="A199" t="s">
        <v>246</v>
      </c>
      <c r="B199" t="s">
        <v>473</v>
      </c>
    </row>
    <row r="200" spans="1:2" ht="12.75">
      <c r="A200" t="s">
        <v>247</v>
      </c>
      <c r="B200" t="s">
        <v>474</v>
      </c>
    </row>
    <row r="201" spans="1:2" ht="12.75">
      <c r="A201" t="s">
        <v>959</v>
      </c>
      <c r="B201" t="s">
        <v>475</v>
      </c>
    </row>
    <row r="202" spans="1:2" ht="12.75">
      <c r="A202" t="s">
        <v>181</v>
      </c>
      <c r="B202" t="s">
        <v>476</v>
      </c>
    </row>
    <row r="203" spans="1:2" ht="12.75">
      <c r="A203" t="s">
        <v>894</v>
      </c>
      <c r="B203" t="s">
        <v>477</v>
      </c>
    </row>
    <row r="204" spans="1:2" ht="12.75">
      <c r="A204" t="s">
        <v>958</v>
      </c>
      <c r="B204" t="s">
        <v>478</v>
      </c>
    </row>
    <row r="205" spans="1:2" ht="12.75">
      <c r="A205" t="s">
        <v>964</v>
      </c>
      <c r="B205" t="s">
        <v>479</v>
      </c>
    </row>
    <row r="206" spans="1:2" ht="12.75">
      <c r="A206" t="s">
        <v>971</v>
      </c>
      <c r="B206" t="s">
        <v>480</v>
      </c>
    </row>
    <row r="207" spans="1:2" ht="12.75">
      <c r="A207" t="s">
        <v>972</v>
      </c>
      <c r="B207" t="s">
        <v>481</v>
      </c>
    </row>
    <row r="208" spans="1:2" ht="12.75">
      <c r="A208" t="s">
        <v>961</v>
      </c>
      <c r="B208" t="s">
        <v>482</v>
      </c>
    </row>
    <row r="209" spans="1:2" ht="12.75">
      <c r="A209" t="s">
        <v>963</v>
      </c>
      <c r="B209" t="s">
        <v>483</v>
      </c>
    </row>
    <row r="210" spans="1:2" ht="12.75">
      <c r="A210" t="s">
        <v>846</v>
      </c>
      <c r="B210" t="s">
        <v>484</v>
      </c>
    </row>
    <row r="211" spans="1:2" ht="12.75">
      <c r="A211" t="s">
        <v>962</v>
      </c>
      <c r="B211" t="s">
        <v>485</v>
      </c>
    </row>
    <row r="212" spans="1:2" ht="12.75">
      <c r="A212" t="s">
        <v>967</v>
      </c>
      <c r="B212" t="s">
        <v>486</v>
      </c>
    </row>
    <row r="213" spans="1:2" ht="12.75">
      <c r="A213" t="s">
        <v>248</v>
      </c>
      <c r="B213" t="s">
        <v>487</v>
      </c>
    </row>
    <row r="214" spans="1:2" ht="12.75">
      <c r="A214" t="s">
        <v>969</v>
      </c>
      <c r="B214" t="s">
        <v>488</v>
      </c>
    </row>
    <row r="215" spans="1:2" ht="12.75">
      <c r="A215" t="s">
        <v>966</v>
      </c>
      <c r="B215" t="s">
        <v>489</v>
      </c>
    </row>
    <row r="216" spans="1:2" ht="12.75">
      <c r="A216" t="s">
        <v>968</v>
      </c>
      <c r="B216" t="s">
        <v>490</v>
      </c>
    </row>
    <row r="217" spans="1:2" ht="12.75">
      <c r="A217" t="s">
        <v>965</v>
      </c>
      <c r="B217" t="s">
        <v>491</v>
      </c>
    </row>
    <row r="218" spans="1:2" ht="12.75">
      <c r="A218" t="s">
        <v>960</v>
      </c>
      <c r="B218" t="s">
        <v>492</v>
      </c>
    </row>
    <row r="219" spans="1:2" ht="12.75">
      <c r="A219" t="s">
        <v>970</v>
      </c>
      <c r="B219" t="s">
        <v>493</v>
      </c>
    </row>
    <row r="220" spans="1:2" ht="12.75">
      <c r="A220" t="s">
        <v>249</v>
      </c>
      <c r="B220" t="s">
        <v>494</v>
      </c>
    </row>
    <row r="221" spans="1:2" ht="12.75">
      <c r="A221" t="s">
        <v>991</v>
      </c>
      <c r="B221" t="s">
        <v>495</v>
      </c>
    </row>
    <row r="222" spans="1:2" ht="12.75">
      <c r="A222" t="s">
        <v>990</v>
      </c>
      <c r="B222" t="s">
        <v>496</v>
      </c>
    </row>
    <row r="223" spans="1:2" ht="12.75">
      <c r="A223" t="s">
        <v>877</v>
      </c>
      <c r="B223" t="s">
        <v>497</v>
      </c>
    </row>
    <row r="224" spans="1:2" ht="12.75">
      <c r="A224" t="s">
        <v>993</v>
      </c>
      <c r="B224" t="s">
        <v>498</v>
      </c>
    </row>
    <row r="225" spans="1:2" ht="12.75">
      <c r="A225" t="s">
        <v>992</v>
      </c>
      <c r="B225" t="s">
        <v>499</v>
      </c>
    </row>
    <row r="226" spans="1:2" ht="12.75">
      <c r="A226" t="s">
        <v>250</v>
      </c>
      <c r="B226" t="s">
        <v>500</v>
      </c>
    </row>
    <row r="227" spans="1:2" ht="12.75">
      <c r="A227" t="s">
        <v>976</v>
      </c>
      <c r="B227" t="s">
        <v>504</v>
      </c>
    </row>
    <row r="228" spans="1:2" ht="12.75">
      <c r="A228" t="s">
        <v>974</v>
      </c>
      <c r="B228" t="s">
        <v>505</v>
      </c>
    </row>
    <row r="229" spans="1:2" ht="12.75">
      <c r="A229" t="s">
        <v>251</v>
      </c>
      <c r="B229" t="s">
        <v>506</v>
      </c>
    </row>
    <row r="230" spans="1:2" ht="12.75">
      <c r="A230" t="s">
        <v>252</v>
      </c>
      <c r="B230" t="s">
        <v>507</v>
      </c>
    </row>
    <row r="231" spans="1:2" ht="12.75">
      <c r="A231" t="s">
        <v>253</v>
      </c>
      <c r="B231" t="s">
        <v>508</v>
      </c>
    </row>
    <row r="232" spans="1:2" ht="12.75">
      <c r="A232" t="s">
        <v>254</v>
      </c>
      <c r="B232" t="s">
        <v>509</v>
      </c>
    </row>
    <row r="233" spans="1:2" ht="12.75">
      <c r="A233" t="s">
        <v>255</v>
      </c>
      <c r="B233" t="s">
        <v>510</v>
      </c>
    </row>
    <row r="234" spans="1:2" ht="12.75">
      <c r="A234" t="s">
        <v>994</v>
      </c>
      <c r="B234" t="s">
        <v>511</v>
      </c>
    </row>
    <row r="235" spans="1:2" ht="12.75">
      <c r="A235" t="s">
        <v>998</v>
      </c>
      <c r="B235" t="s">
        <v>512</v>
      </c>
    </row>
    <row r="236" spans="1:2" ht="12.75">
      <c r="A236" t="s">
        <v>995</v>
      </c>
      <c r="B236" t="s">
        <v>513</v>
      </c>
    </row>
    <row r="237" spans="1:2" ht="12.75">
      <c r="A237" t="s">
        <v>996</v>
      </c>
      <c r="B237" t="s">
        <v>514</v>
      </c>
    </row>
    <row r="238" spans="1:2" ht="12.75">
      <c r="A238" t="s">
        <v>997</v>
      </c>
      <c r="B238" t="s">
        <v>515</v>
      </c>
    </row>
    <row r="239" spans="1:2" ht="12.75">
      <c r="A239" t="s">
        <v>831</v>
      </c>
      <c r="B239" t="s">
        <v>516</v>
      </c>
    </row>
    <row r="240" spans="1:2" ht="12.75">
      <c r="A240" t="s">
        <v>256</v>
      </c>
      <c r="B240" t="s">
        <v>517</v>
      </c>
    </row>
    <row r="241" spans="1:2" ht="12.75">
      <c r="A241" t="s">
        <v>178</v>
      </c>
      <c r="B241" t="s">
        <v>518</v>
      </c>
    </row>
    <row r="242" spans="1:2" ht="12.75">
      <c r="A242" t="s">
        <v>177</v>
      </c>
      <c r="B242" t="s">
        <v>519</v>
      </c>
    </row>
    <row r="243" spans="1:2" ht="12.75">
      <c r="A243" t="s">
        <v>180</v>
      </c>
      <c r="B243" t="s">
        <v>520</v>
      </c>
    </row>
    <row r="244" spans="1:2" ht="12.75">
      <c r="A244" t="s">
        <v>182</v>
      </c>
      <c r="B244" t="s">
        <v>521</v>
      </c>
    </row>
    <row r="245" spans="1:2" ht="12.75">
      <c r="A245" t="s">
        <v>183</v>
      </c>
      <c r="B245" t="s">
        <v>522</v>
      </c>
    </row>
    <row r="246" spans="1:2" ht="12.75">
      <c r="A246" t="s">
        <v>812</v>
      </c>
      <c r="B246" t="s">
        <v>523</v>
      </c>
    </row>
    <row r="247" spans="1:2" ht="12.75">
      <c r="A247" t="s">
        <v>983</v>
      </c>
      <c r="B247" t="s">
        <v>524</v>
      </c>
    </row>
    <row r="248" spans="1:2" ht="12.75">
      <c r="A248" t="s">
        <v>987</v>
      </c>
      <c r="B248" t="s">
        <v>525</v>
      </c>
    </row>
    <row r="249" spans="1:2" ht="12.75">
      <c r="A249" t="s">
        <v>988</v>
      </c>
      <c r="B249" t="s">
        <v>526</v>
      </c>
    </row>
    <row r="250" spans="1:2" ht="12.75">
      <c r="A250" t="s">
        <v>973</v>
      </c>
      <c r="B250" t="s">
        <v>529</v>
      </c>
    </row>
    <row r="251" spans="1:2" ht="12.75">
      <c r="A251" t="s">
        <v>977</v>
      </c>
      <c r="B251" t="s">
        <v>530</v>
      </c>
    </row>
    <row r="252" spans="1:2" ht="12.75">
      <c r="A252" t="s">
        <v>982</v>
      </c>
      <c r="B252" t="s">
        <v>531</v>
      </c>
    </row>
    <row r="253" spans="1:2" ht="12.75">
      <c r="A253" t="s">
        <v>984</v>
      </c>
      <c r="B253" t="s">
        <v>532</v>
      </c>
    </row>
    <row r="254" spans="1:2" ht="12.75">
      <c r="A254" t="s">
        <v>986</v>
      </c>
      <c r="B254" t="s">
        <v>533</v>
      </c>
    </row>
    <row r="255" spans="1:2" ht="12.75">
      <c r="A255" t="s">
        <v>980</v>
      </c>
      <c r="B255" t="s">
        <v>534</v>
      </c>
    </row>
    <row r="256" spans="1:2" ht="12.75">
      <c r="A256" t="s">
        <v>981</v>
      </c>
      <c r="B256" t="s">
        <v>535</v>
      </c>
    </row>
  </sheetData>
  <sheetProtection password="E847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41"/>
  <sheetViews>
    <sheetView showGridLines="0" showRowColHeaders="0" showZeros="0" tabSelected="1" showOutlineSymbols="0" zoomScalePageLayoutView="0" workbookViewId="0" topLeftCell="B1">
      <selection activeCell="C5" sqref="C5"/>
    </sheetView>
  </sheetViews>
  <sheetFormatPr defaultColWidth="0" defaultRowHeight="12.75" zeroHeight="1"/>
  <cols>
    <col min="1" max="1" width="15.8515625" style="144" customWidth="1"/>
    <col min="2" max="2" width="31.00390625" style="177" customWidth="1"/>
    <col min="3" max="3" width="69.8515625" style="177" customWidth="1"/>
    <col min="4" max="4" width="3.7109375" style="177" customWidth="1"/>
    <col min="5" max="5" width="38.421875" style="144" customWidth="1"/>
    <col min="6" max="6" width="11.28125" style="149" hidden="1" customWidth="1"/>
    <col min="7" max="7" width="7.28125" style="149" hidden="1" customWidth="1"/>
    <col min="8" max="9" width="18.57421875" style="149" hidden="1" customWidth="1"/>
    <col min="10" max="16384" width="9.140625" style="149" hidden="1" customWidth="1"/>
  </cols>
  <sheetData>
    <row r="1" s="144" customFormat="1" ht="12.75">
      <c r="A1" s="180"/>
    </row>
    <row r="2" spans="2:4" s="144" customFormat="1" ht="18" customHeight="1" thickBot="1">
      <c r="B2" s="145"/>
      <c r="C2" s="145"/>
      <c r="D2" s="145"/>
    </row>
    <row r="3" spans="2:5" ht="13.5" thickTop="1">
      <c r="B3" s="146"/>
      <c r="C3" s="147"/>
      <c r="D3" s="148"/>
      <c r="E3" s="145"/>
    </row>
    <row r="4" spans="2:8" ht="14.25" customHeight="1">
      <c r="B4" s="150"/>
      <c r="C4" s="151"/>
      <c r="D4" s="152"/>
      <c r="E4" s="145"/>
      <c r="F4" s="153"/>
      <c r="G4" s="153"/>
      <c r="H4" s="153"/>
    </row>
    <row r="5" spans="2:9" ht="14.25" customHeight="1">
      <c r="B5" s="150"/>
      <c r="C5" s="151"/>
      <c r="D5" s="152"/>
      <c r="E5" s="145"/>
      <c r="F5" s="154"/>
      <c r="G5" s="154"/>
      <c r="H5" s="154"/>
      <c r="I5" s="153"/>
    </row>
    <row r="6" spans="2:9" ht="14.25" customHeight="1">
      <c r="B6" s="150"/>
      <c r="C6" s="151"/>
      <c r="D6" s="152"/>
      <c r="E6" s="145"/>
      <c r="F6" s="154"/>
      <c r="G6" s="154"/>
      <c r="H6" s="154"/>
      <c r="I6" s="153"/>
    </row>
    <row r="7" spans="2:9" ht="14.25" customHeight="1">
      <c r="B7" s="150"/>
      <c r="C7" s="151"/>
      <c r="D7" s="152"/>
      <c r="E7" s="145"/>
      <c r="F7" s="154"/>
      <c r="G7" s="154"/>
      <c r="H7" s="154"/>
      <c r="I7" s="153"/>
    </row>
    <row r="8" spans="2:9" ht="20.25">
      <c r="B8" s="150"/>
      <c r="C8" s="155" t="s">
        <v>681</v>
      </c>
      <c r="D8" s="156"/>
      <c r="E8" s="145"/>
      <c r="F8" s="154"/>
      <c r="G8" s="154"/>
      <c r="H8" s="154"/>
      <c r="I8" s="153"/>
    </row>
    <row r="9" spans="2:9" ht="14.25" customHeight="1">
      <c r="B9" s="150"/>
      <c r="C9" s="151"/>
      <c r="D9" s="152"/>
      <c r="E9" s="145"/>
      <c r="F9" s="154"/>
      <c r="G9" s="154"/>
      <c r="H9" s="154"/>
      <c r="I9" s="153"/>
    </row>
    <row r="10" spans="2:9" ht="12.75">
      <c r="B10" s="150"/>
      <c r="C10" s="178"/>
      <c r="D10" s="152"/>
      <c r="E10" s="145"/>
      <c r="F10" s="154"/>
      <c r="G10" s="154"/>
      <c r="H10" s="154"/>
      <c r="I10" s="153"/>
    </row>
    <row r="11" spans="2:9" ht="14.25" customHeight="1">
      <c r="B11" s="150"/>
      <c r="C11" s="151"/>
      <c r="D11" s="152"/>
      <c r="E11" s="145"/>
      <c r="F11" s="154"/>
      <c r="G11" s="154"/>
      <c r="H11" s="154"/>
      <c r="I11" s="153"/>
    </row>
    <row r="12" spans="2:9" ht="14.25" customHeight="1">
      <c r="B12" s="150"/>
      <c r="C12" s="151" t="s">
        <v>746</v>
      </c>
      <c r="D12" s="157"/>
      <c r="E12" s="145"/>
      <c r="F12" s="154"/>
      <c r="G12" s="154"/>
      <c r="H12" s="154"/>
      <c r="I12" s="153"/>
    </row>
    <row r="13" spans="2:9" ht="14.25" customHeight="1">
      <c r="B13" s="150"/>
      <c r="C13" s="151" t="s">
        <v>757</v>
      </c>
      <c r="D13" s="152"/>
      <c r="E13" s="145"/>
      <c r="F13" s="154"/>
      <c r="G13" s="154"/>
      <c r="H13" s="154"/>
      <c r="I13" s="153"/>
    </row>
    <row r="14" spans="2:9" ht="14.25" customHeight="1">
      <c r="B14" s="150"/>
      <c r="C14" s="158"/>
      <c r="D14" s="159"/>
      <c r="E14" s="160"/>
      <c r="F14" s="154"/>
      <c r="G14" s="154"/>
      <c r="H14" s="154"/>
      <c r="I14" s="153"/>
    </row>
    <row r="15" spans="2:9" ht="14.25" customHeight="1">
      <c r="B15" s="150"/>
      <c r="C15" s="161"/>
      <c r="D15" s="159"/>
      <c r="E15" s="160"/>
      <c r="F15" s="154"/>
      <c r="G15" s="154"/>
      <c r="H15" s="154"/>
      <c r="I15" s="153"/>
    </row>
    <row r="16" spans="2:9" ht="12.75">
      <c r="B16" s="150"/>
      <c r="C16" s="162" t="s">
        <v>756</v>
      </c>
      <c r="D16" s="163"/>
      <c r="E16" s="164"/>
      <c r="F16" s="154"/>
      <c r="G16" s="154"/>
      <c r="H16" s="154"/>
      <c r="I16" s="153"/>
    </row>
    <row r="17" spans="2:9" ht="12.75">
      <c r="B17" s="150"/>
      <c r="C17" s="162" t="s">
        <v>747</v>
      </c>
      <c r="D17" s="157"/>
      <c r="E17" s="145"/>
      <c r="F17" s="154"/>
      <c r="G17" s="154"/>
      <c r="H17" s="154"/>
      <c r="I17" s="153"/>
    </row>
    <row r="18" spans="2:9" ht="12.75">
      <c r="B18" s="150"/>
      <c r="C18" s="158"/>
      <c r="D18" s="165"/>
      <c r="E18" s="145"/>
      <c r="F18" s="154"/>
      <c r="G18" s="154"/>
      <c r="H18" s="154"/>
      <c r="I18" s="153"/>
    </row>
    <row r="19" spans="2:8" ht="18" hidden="1">
      <c r="B19" s="150"/>
      <c r="C19" s="166" t="s">
        <v>748</v>
      </c>
      <c r="D19" s="152"/>
      <c r="E19" s="167"/>
      <c r="F19" s="154"/>
      <c r="G19" s="154"/>
      <c r="H19" s="153"/>
    </row>
    <row r="20" spans="2:7" ht="23.25" customHeight="1" hidden="1">
      <c r="B20" s="168" t="s">
        <v>749</v>
      </c>
      <c r="C20" s="169"/>
      <c r="D20" s="152"/>
      <c r="E20" s="145"/>
      <c r="F20" s="154"/>
      <c r="G20" s="153"/>
    </row>
    <row r="21" spans="2:7" ht="23.25" customHeight="1" hidden="1">
      <c r="B21" s="168" t="s">
        <v>780</v>
      </c>
      <c r="C21" s="170"/>
      <c r="D21" s="152"/>
      <c r="E21" s="145"/>
      <c r="F21" s="154"/>
      <c r="G21" s="153"/>
    </row>
    <row r="22" spans="2:8" ht="23.25" customHeight="1" hidden="1">
      <c r="B22" s="168" t="s">
        <v>750</v>
      </c>
      <c r="C22" s="169"/>
      <c r="D22" s="152"/>
      <c r="E22" s="145"/>
      <c r="F22" s="154"/>
      <c r="G22" s="154"/>
      <c r="H22" s="153"/>
    </row>
    <row r="23" spans="2:9" ht="25.5" customHeight="1" hidden="1">
      <c r="B23" s="168" t="s">
        <v>751</v>
      </c>
      <c r="C23" s="171">
        <f ca="1">NOW()</f>
        <v>42544.479894675926</v>
      </c>
      <c r="D23" s="152"/>
      <c r="E23" s="145"/>
      <c r="F23" s="154"/>
      <c r="G23" s="154"/>
      <c r="H23" s="154"/>
      <c r="I23" s="153"/>
    </row>
    <row r="24" spans="2:9" ht="16.5" customHeight="1" thickBot="1">
      <c r="B24" s="172"/>
      <c r="C24" s="173"/>
      <c r="D24" s="174"/>
      <c r="E24" s="145"/>
      <c r="F24" s="154"/>
      <c r="G24" s="154"/>
      <c r="H24" s="154"/>
      <c r="I24" s="153"/>
    </row>
    <row r="25" spans="2:9" ht="13.5" customHeight="1" thickTop="1">
      <c r="B25" s="175"/>
      <c r="C25" s="176"/>
      <c r="D25" s="176"/>
      <c r="E25" s="145"/>
      <c r="F25" s="153"/>
      <c r="G25" s="153"/>
      <c r="H25" s="153"/>
      <c r="I25" s="153"/>
    </row>
    <row r="26" spans="2:9" ht="13.5" customHeight="1">
      <c r="B26" s="144"/>
      <c r="C26" s="144"/>
      <c r="D26" s="144"/>
      <c r="F26" s="153"/>
      <c r="G26" s="153"/>
      <c r="H26" s="153"/>
      <c r="I26" s="153"/>
    </row>
    <row r="27" spans="2:4" ht="12.75">
      <c r="B27" s="145"/>
      <c r="C27" s="144"/>
      <c r="D27" s="144"/>
    </row>
    <row r="28" spans="2:4" ht="12.75">
      <c r="B28" s="144"/>
      <c r="C28" s="144"/>
      <c r="D28" s="144"/>
    </row>
    <row r="29" spans="2:4" ht="12.75">
      <c r="B29" s="144"/>
      <c r="C29" s="144"/>
      <c r="D29" s="144"/>
    </row>
    <row r="30" spans="2:4" ht="12.75">
      <c r="B30" s="144"/>
      <c r="C30" s="144"/>
      <c r="D30" s="144"/>
    </row>
    <row r="31" spans="2:4" ht="12.75">
      <c r="B31" s="144"/>
      <c r="C31" s="144"/>
      <c r="D31" s="144"/>
    </row>
    <row r="32" spans="2:4" ht="12.75">
      <c r="B32" s="144"/>
      <c r="C32" s="144"/>
      <c r="D32" s="144"/>
    </row>
    <row r="33" spans="2:4" ht="12.75">
      <c r="B33" s="144"/>
      <c r="C33" s="144"/>
      <c r="D33" s="144"/>
    </row>
    <row r="34" spans="2:4" ht="12.75">
      <c r="B34" s="144"/>
      <c r="C34" s="144"/>
      <c r="D34" s="144"/>
    </row>
    <row r="35" spans="2:4" ht="12.75">
      <c r="B35" s="144"/>
      <c r="C35" s="144"/>
      <c r="D35" s="144"/>
    </row>
    <row r="36" spans="2:4" ht="12.75">
      <c r="B36" s="144"/>
      <c r="C36" s="144"/>
      <c r="D36" s="144"/>
    </row>
    <row r="37" spans="2:4" ht="12.75">
      <c r="B37" s="144"/>
      <c r="C37" s="144"/>
      <c r="D37" s="144"/>
    </row>
    <row r="38" spans="2:4" ht="12.75">
      <c r="B38" s="144"/>
      <c r="C38" s="144"/>
      <c r="D38" s="144"/>
    </row>
    <row r="39" spans="2:4" ht="12.75">
      <c r="B39" s="144"/>
      <c r="C39" s="144"/>
      <c r="D39" s="144"/>
    </row>
    <row r="40" spans="2:4" ht="12.75">
      <c r="B40" s="144"/>
      <c r="C40" s="144"/>
      <c r="D40" s="144"/>
    </row>
    <row r="41" spans="2:4" ht="12.75">
      <c r="B41" s="144"/>
      <c r="C41" s="144"/>
      <c r="D41" s="144"/>
    </row>
  </sheetData>
  <sheetProtection password="E847" sheet="1" objects="1" scenarios="1"/>
  <printOptions horizontalCentered="1"/>
  <pageMargins left="0.7874015748031497" right="0.2755905511811024" top="0.9448818897637796" bottom="0.984251968503937" header="0.5118110236220472" footer="0.5118110236220472"/>
  <pageSetup fitToHeight="1" fitToWidth="1" horizontalDpi="600" verticalDpi="6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/>
  <dimension ref="A1:J52"/>
  <sheetViews>
    <sheetView showGridLines="0" zoomScalePageLayoutView="0" workbookViewId="0" topLeftCell="A1">
      <selection activeCell="G2" sqref="G2"/>
    </sheetView>
  </sheetViews>
  <sheetFormatPr defaultColWidth="9.140625" defaultRowHeight="12.75"/>
  <cols>
    <col min="1" max="1" width="1.7109375" style="0" customWidth="1"/>
    <col min="2" max="2" width="10.57421875" style="0" customWidth="1"/>
    <col min="3" max="3" width="9.57421875" style="0" customWidth="1"/>
    <col min="4" max="4" width="10.8515625" style="0" customWidth="1"/>
    <col min="5" max="5" width="9.57421875" style="0" customWidth="1"/>
    <col min="6" max="6" width="7.7109375" style="0" customWidth="1"/>
    <col min="7" max="7" width="11.140625" style="0" customWidth="1"/>
    <col min="8" max="8" width="10.8515625" style="0" customWidth="1"/>
  </cols>
  <sheetData>
    <row r="1" spans="1:10" ht="12.75">
      <c r="A1" s="205"/>
      <c r="E1" s="206"/>
      <c r="J1" s="207"/>
    </row>
    <row r="2" spans="1:10" ht="15">
      <c r="A2" s="205"/>
      <c r="E2" s="206"/>
      <c r="G2" s="208" t="s">
        <v>758</v>
      </c>
      <c r="H2" s="205"/>
      <c r="I2" s="207"/>
      <c r="J2" s="207"/>
    </row>
    <row r="3" spans="1:10" ht="12.75">
      <c r="A3" s="205"/>
      <c r="E3" s="206"/>
      <c r="G3" s="209"/>
      <c r="H3" s="205"/>
      <c r="I3" s="207"/>
      <c r="J3" s="207"/>
    </row>
    <row r="4" spans="1:10" ht="12.75">
      <c r="A4" s="205"/>
      <c r="E4" s="206"/>
      <c r="G4" s="205"/>
      <c r="H4" s="205"/>
      <c r="I4" s="207"/>
      <c r="J4" s="207"/>
    </row>
    <row r="5" spans="1:9" ht="12.75">
      <c r="A5" s="205"/>
      <c r="B5" s="14" t="s">
        <v>755</v>
      </c>
      <c r="E5" s="206"/>
      <c r="G5" s="207" t="s">
        <v>759</v>
      </c>
      <c r="H5" s="207" t="s">
        <v>760</v>
      </c>
      <c r="I5" s="207"/>
    </row>
    <row r="6" spans="1:10" ht="12.75">
      <c r="A6" s="205"/>
      <c r="D6" s="14"/>
      <c r="E6" s="206"/>
      <c r="G6" s="205"/>
      <c r="H6" s="207"/>
      <c r="I6" s="207"/>
      <c r="J6" s="207"/>
    </row>
    <row r="7" spans="1:10" ht="12.75">
      <c r="A7" s="205"/>
      <c r="B7" s="210" t="s">
        <v>761</v>
      </c>
      <c r="C7" s="211"/>
      <c r="D7" s="212"/>
      <c r="E7" s="207"/>
      <c r="F7" s="207"/>
      <c r="G7" s="271"/>
      <c r="H7" s="272"/>
      <c r="I7" s="272"/>
      <c r="J7" s="272"/>
    </row>
    <row r="8" spans="1:10" ht="12.75">
      <c r="A8" s="205"/>
      <c r="B8" s="273"/>
      <c r="C8" s="274"/>
      <c r="D8" s="275"/>
      <c r="E8" s="207"/>
      <c r="F8" s="207"/>
      <c r="G8" s="207"/>
      <c r="H8" s="207"/>
      <c r="I8" s="207"/>
      <c r="J8" s="207"/>
    </row>
    <row r="9" spans="1:7" ht="12.75">
      <c r="A9" s="205"/>
      <c r="B9" s="261"/>
      <c r="C9" s="276"/>
      <c r="D9" s="277"/>
      <c r="E9" s="207"/>
      <c r="G9" s="14" t="s">
        <v>1038</v>
      </c>
    </row>
    <row r="10" spans="1:7" ht="12.75">
      <c r="A10" s="205"/>
      <c r="B10" s="261"/>
      <c r="C10" s="262"/>
      <c r="D10" s="277"/>
      <c r="E10" s="207"/>
      <c r="G10" s="14" t="s">
        <v>527</v>
      </c>
    </row>
    <row r="11" spans="1:10" ht="12.75">
      <c r="A11" s="205"/>
      <c r="B11" s="210" t="s">
        <v>762</v>
      </c>
      <c r="C11" s="211"/>
      <c r="D11" s="212"/>
      <c r="E11" s="207"/>
      <c r="F11" s="207"/>
      <c r="G11" s="207"/>
      <c r="H11" s="207"/>
      <c r="I11" s="207"/>
      <c r="J11" s="207"/>
    </row>
    <row r="12" spans="1:10" ht="12.75">
      <c r="A12" s="205"/>
      <c r="B12" s="215"/>
      <c r="C12" s="263"/>
      <c r="D12" s="264"/>
      <c r="E12" s="207"/>
      <c r="F12" s="207"/>
      <c r="G12" s="207"/>
      <c r="H12" s="207"/>
      <c r="I12" s="207"/>
      <c r="J12" s="207"/>
    </row>
    <row r="13" spans="1:10" ht="12.75">
      <c r="A13" s="205"/>
      <c r="B13" s="207"/>
      <c r="C13" s="207"/>
      <c r="D13" s="207"/>
      <c r="E13" s="207"/>
      <c r="F13" s="207"/>
      <c r="G13" s="205"/>
      <c r="H13" s="205"/>
      <c r="I13" s="207"/>
      <c r="J13" s="207"/>
    </row>
    <row r="14" spans="1:5" ht="12.75">
      <c r="A14" s="205"/>
      <c r="B14" s="218"/>
      <c r="C14" s="207"/>
      <c r="D14" s="207"/>
      <c r="E14" s="207"/>
    </row>
    <row r="15" spans="1:6" ht="12.75">
      <c r="A15" s="205"/>
      <c r="B15" s="219" t="s">
        <v>763</v>
      </c>
      <c r="C15" s="205"/>
      <c r="D15" s="219"/>
      <c r="E15" s="207"/>
      <c r="F15" s="207"/>
    </row>
    <row r="16" spans="1:6" ht="12.75">
      <c r="A16" s="205"/>
      <c r="B16" s="209"/>
      <c r="C16" s="205"/>
      <c r="D16" s="219"/>
      <c r="E16" s="207"/>
      <c r="F16" s="207"/>
    </row>
    <row r="17" spans="1:5" ht="12.75">
      <c r="A17" s="205"/>
      <c r="B17" s="218"/>
      <c r="C17" s="207"/>
      <c r="D17" s="207"/>
      <c r="E17" s="207"/>
    </row>
    <row r="18" spans="1:5" ht="12.75">
      <c r="A18" s="205"/>
      <c r="B18" s="218"/>
      <c r="C18" s="207"/>
      <c r="D18" s="207"/>
      <c r="E18" s="207"/>
    </row>
    <row r="19" spans="1:10" ht="12.75">
      <c r="A19" s="205"/>
      <c r="B19" s="265" t="s">
        <v>653</v>
      </c>
      <c r="C19" s="265"/>
      <c r="D19" s="265"/>
      <c r="E19" s="265"/>
      <c r="F19" s="265"/>
      <c r="G19" s="265"/>
      <c r="H19" s="265"/>
      <c r="I19" s="265"/>
      <c r="J19" s="265"/>
    </row>
    <row r="20" spans="1:6" ht="12.75">
      <c r="A20" s="205"/>
      <c r="B20" s="266" t="s">
        <v>778</v>
      </c>
      <c r="C20" s="265"/>
      <c r="D20" s="265"/>
      <c r="E20" s="265"/>
      <c r="F20" s="265"/>
    </row>
    <row r="21" spans="1:10" ht="15">
      <c r="A21" s="205"/>
      <c r="B21" s="220"/>
      <c r="C21" s="205"/>
      <c r="D21" s="205"/>
      <c r="E21" s="207"/>
      <c r="F21" s="221"/>
      <c r="G21" s="208"/>
      <c r="H21" s="205"/>
      <c r="I21" s="207"/>
      <c r="J21" s="207"/>
    </row>
    <row r="22" spans="1:10" ht="12.75">
      <c r="A22" s="205"/>
      <c r="B22" s="218"/>
      <c r="C22" s="205"/>
      <c r="D22" s="205"/>
      <c r="E22" s="207"/>
      <c r="F22" s="219"/>
      <c r="G22" s="209"/>
      <c r="H22" s="205"/>
      <c r="I22" s="207"/>
      <c r="J22" s="207"/>
    </row>
    <row r="23" spans="1:10" ht="12.75">
      <c r="A23" s="205"/>
      <c r="B23" s="218"/>
      <c r="C23" s="205"/>
      <c r="D23" s="205"/>
      <c r="E23" s="207"/>
      <c r="F23" s="219"/>
      <c r="G23" s="205"/>
      <c r="H23" s="205"/>
      <c r="I23" s="207"/>
      <c r="J23" s="207"/>
    </row>
    <row r="24" spans="1:6" ht="12.75">
      <c r="A24" s="205"/>
      <c r="B24" s="234" t="s">
        <v>779</v>
      </c>
      <c r="C24" s="222"/>
      <c r="D24" s="222"/>
      <c r="E24" s="222"/>
      <c r="F24" s="222"/>
    </row>
    <row r="25" spans="1:10" ht="12.75">
      <c r="A25" s="205"/>
      <c r="B25" s="219" t="s">
        <v>528</v>
      </c>
      <c r="C25" s="205"/>
      <c r="D25" s="205"/>
      <c r="E25" s="207"/>
      <c r="F25" s="219"/>
      <c r="G25" s="205"/>
      <c r="H25" s="207"/>
      <c r="I25" s="207"/>
      <c r="J25" s="207"/>
    </row>
    <row r="26" spans="1:10" ht="12.75">
      <c r="A26" s="205"/>
      <c r="B26" s="205"/>
      <c r="C26" s="205"/>
      <c r="D26" s="205"/>
      <c r="E26" s="207"/>
      <c r="F26" s="207"/>
      <c r="G26" s="267"/>
      <c r="H26" s="268"/>
      <c r="I26" s="268"/>
      <c r="J26" s="268"/>
    </row>
    <row r="27" spans="1:10" ht="12.75">
      <c r="A27" s="205"/>
      <c r="E27" s="207"/>
      <c r="F27" s="207"/>
      <c r="G27" s="223"/>
      <c r="H27" s="224"/>
      <c r="I27" s="206"/>
      <c r="J27" s="206"/>
    </row>
    <row r="28" spans="1:10" ht="12.75">
      <c r="A28" s="205"/>
      <c r="B28" s="239" t="s">
        <v>776</v>
      </c>
      <c r="J28" s="207"/>
    </row>
    <row r="29" spans="1:10" ht="12.75">
      <c r="A29" s="205"/>
      <c r="B29" t="s">
        <v>777</v>
      </c>
      <c r="J29" s="207"/>
    </row>
    <row r="30" spans="1:10" ht="12.75">
      <c r="A30" s="205"/>
      <c r="E30" s="207"/>
      <c r="F30" s="219"/>
      <c r="G30" s="205"/>
      <c r="H30" s="205"/>
      <c r="I30" s="207"/>
      <c r="J30" s="207"/>
    </row>
    <row r="31" spans="1:10" ht="15">
      <c r="A31" s="205"/>
      <c r="B31" s="252" t="s">
        <v>441</v>
      </c>
      <c r="E31" s="207"/>
      <c r="F31" s="219"/>
      <c r="G31" s="205"/>
      <c r="H31" s="205"/>
      <c r="I31" s="207"/>
      <c r="J31" s="207"/>
    </row>
    <row r="32" spans="1:10" ht="12.75">
      <c r="A32" s="205"/>
      <c r="E32" s="207"/>
      <c r="F32" s="219"/>
      <c r="G32" s="205"/>
      <c r="H32" s="205"/>
      <c r="I32" s="207"/>
      <c r="J32" s="207"/>
    </row>
    <row r="33" spans="1:10" ht="12.75">
      <c r="A33" s="205"/>
      <c r="B33" s="207"/>
      <c r="C33" s="207"/>
      <c r="D33" s="207"/>
      <c r="E33" s="207"/>
      <c r="F33" s="207"/>
      <c r="G33" s="205"/>
      <c r="H33" s="205"/>
      <c r="I33" s="205"/>
      <c r="J33" s="205"/>
    </row>
    <row r="34" spans="1:10" ht="12.75">
      <c r="A34" s="205"/>
      <c r="B34" s="207"/>
      <c r="C34" s="207"/>
      <c r="D34" s="207"/>
      <c r="E34" s="207"/>
      <c r="F34" s="207"/>
      <c r="G34" s="207"/>
      <c r="H34" s="207"/>
      <c r="I34" s="207"/>
      <c r="J34" s="207"/>
    </row>
    <row r="35" spans="1:10" ht="12.75">
      <c r="A35" s="205"/>
      <c r="B35" s="225"/>
      <c r="C35" s="207"/>
      <c r="D35" s="207"/>
      <c r="E35" s="207"/>
      <c r="F35" s="207"/>
      <c r="G35" s="207"/>
      <c r="H35" s="207"/>
      <c r="I35" s="207"/>
      <c r="J35" s="207"/>
    </row>
    <row r="36" spans="1:10" ht="12.75">
      <c r="A36" s="205"/>
      <c r="B36" s="207"/>
      <c r="C36" s="207"/>
      <c r="D36" s="207"/>
      <c r="E36" s="207"/>
      <c r="F36" s="207"/>
      <c r="G36" s="207"/>
      <c r="H36" s="207"/>
      <c r="I36" s="207"/>
      <c r="J36" s="207"/>
    </row>
    <row r="37" spans="1:10" ht="12.75">
      <c r="A37" s="205"/>
      <c r="B37" s="207"/>
      <c r="C37" s="207"/>
      <c r="D37" s="207"/>
      <c r="E37" s="207"/>
      <c r="F37" s="207"/>
      <c r="G37" s="207"/>
      <c r="H37" s="207"/>
      <c r="I37" s="207"/>
      <c r="J37" s="207"/>
    </row>
    <row r="38" spans="1:10" ht="12.75">
      <c r="A38" s="205"/>
      <c r="B38" s="209" t="s">
        <v>764</v>
      </c>
      <c r="C38" s="207"/>
      <c r="D38" s="207"/>
      <c r="E38" s="240"/>
      <c r="F38" s="205"/>
      <c r="G38" s="219"/>
      <c r="H38" s="207"/>
      <c r="I38" s="207"/>
      <c r="J38" s="207"/>
    </row>
    <row r="39" spans="1:10" ht="12.75">
      <c r="A39" s="205"/>
      <c r="B39" s="210" t="s">
        <v>765</v>
      </c>
      <c r="C39" s="211"/>
      <c r="D39" s="211"/>
      <c r="E39" s="241"/>
      <c r="F39" s="211"/>
      <c r="G39" s="210" t="s">
        <v>766</v>
      </c>
      <c r="H39" s="211"/>
      <c r="I39" s="211"/>
      <c r="J39" s="226"/>
    </row>
    <row r="40" spans="1:10" ht="12.75">
      <c r="A40" s="205"/>
      <c r="B40" s="261"/>
      <c r="C40" s="262"/>
      <c r="D40" s="262"/>
      <c r="E40" s="242"/>
      <c r="F40" s="214"/>
      <c r="G40" s="243"/>
      <c r="H40" s="214"/>
      <c r="I40" s="214"/>
      <c r="J40" s="213"/>
    </row>
    <row r="41" spans="1:10" ht="12.75">
      <c r="A41" s="205"/>
      <c r="B41" s="261"/>
      <c r="C41" s="262"/>
      <c r="D41" s="262"/>
      <c r="E41" s="206"/>
      <c r="F41" s="206"/>
      <c r="G41" s="227"/>
      <c r="H41" s="206"/>
      <c r="I41" s="206"/>
      <c r="J41" s="228"/>
    </row>
    <row r="42" spans="1:10" ht="12.75">
      <c r="A42" s="205"/>
      <c r="B42" s="261"/>
      <c r="C42" s="262"/>
      <c r="D42" s="262"/>
      <c r="E42" s="242"/>
      <c r="F42" s="214"/>
      <c r="G42" s="244"/>
      <c r="H42" s="214"/>
      <c r="I42" s="214"/>
      <c r="J42" s="213"/>
    </row>
    <row r="43" spans="1:10" ht="12.75">
      <c r="A43" s="205"/>
      <c r="B43" s="210" t="s">
        <v>767</v>
      </c>
      <c r="C43" s="211"/>
      <c r="D43" s="211"/>
      <c r="E43" s="241"/>
      <c r="F43" s="211"/>
      <c r="G43" s="210" t="s">
        <v>768</v>
      </c>
      <c r="H43" s="211"/>
      <c r="I43" s="211"/>
      <c r="J43" s="226"/>
    </row>
    <row r="44" spans="1:10" ht="12.75">
      <c r="A44" s="205"/>
      <c r="B44" s="269"/>
      <c r="C44" s="270"/>
      <c r="D44" s="270"/>
      <c r="E44" s="216"/>
      <c r="F44" s="229"/>
      <c r="G44" s="244"/>
      <c r="H44" s="229"/>
      <c r="I44" s="229"/>
      <c r="J44" s="217"/>
    </row>
    <row r="45" spans="1:10" ht="12.75">
      <c r="A45" s="205"/>
      <c r="B45" s="205"/>
      <c r="C45" s="205"/>
      <c r="D45" s="205"/>
      <c r="E45" s="205"/>
      <c r="F45" s="205"/>
      <c r="G45" s="205"/>
      <c r="H45" s="205"/>
      <c r="I45" s="205"/>
      <c r="J45" s="151"/>
    </row>
    <row r="46" spans="1:10" ht="12.75">
      <c r="A46" s="205"/>
      <c r="B46" s="230"/>
      <c r="C46" s="230"/>
      <c r="D46" s="230"/>
      <c r="E46" s="230"/>
      <c r="F46" s="230"/>
      <c r="G46" s="230"/>
      <c r="H46" s="230"/>
      <c r="I46" s="230"/>
      <c r="J46" s="230"/>
    </row>
    <row r="47" spans="1:10" ht="20.25">
      <c r="A47" s="231"/>
      <c r="B47" s="223"/>
      <c r="C47" s="223"/>
      <c r="D47" s="223"/>
      <c r="E47" s="223"/>
      <c r="F47" s="223"/>
      <c r="G47" s="223"/>
      <c r="H47" s="223"/>
      <c r="I47" s="255"/>
      <c r="J47" s="255"/>
    </row>
    <row r="48" spans="1:9" ht="12.75">
      <c r="A48" s="205"/>
      <c r="I48" s="232"/>
    </row>
    <row r="49" spans="1:10" ht="16.5">
      <c r="A49" s="205"/>
      <c r="B49" s="101" t="s">
        <v>625</v>
      </c>
      <c r="C49" s="102" t="s">
        <v>626</v>
      </c>
      <c r="D49" s="102" t="s">
        <v>627</v>
      </c>
      <c r="E49" s="101" t="s">
        <v>628</v>
      </c>
      <c r="F49" s="103"/>
      <c r="G49" s="102" t="s">
        <v>629</v>
      </c>
      <c r="H49" s="102" t="s">
        <v>630</v>
      </c>
      <c r="I49" s="102"/>
      <c r="J49" s="104"/>
    </row>
    <row r="50" spans="1:10" ht="22.5">
      <c r="A50" s="205"/>
      <c r="B50" s="105" t="s">
        <v>631</v>
      </c>
      <c r="C50" s="105" t="s">
        <v>773</v>
      </c>
      <c r="D50" s="105" t="s">
        <v>633</v>
      </c>
      <c r="E50" s="257" t="s">
        <v>682</v>
      </c>
      <c r="F50" s="258"/>
      <c r="G50" s="105" t="s">
        <v>683</v>
      </c>
      <c r="H50" s="107" t="s">
        <v>636</v>
      </c>
      <c r="I50" s="250"/>
      <c r="J50" s="109"/>
    </row>
    <row r="51" spans="1:10" ht="22.5">
      <c r="A51" s="205"/>
      <c r="B51" s="105" t="s">
        <v>637</v>
      </c>
      <c r="C51" s="110"/>
      <c r="D51" s="29"/>
      <c r="E51" s="233" t="s">
        <v>634</v>
      </c>
      <c r="F51" s="106"/>
      <c r="G51" s="105" t="s">
        <v>635</v>
      </c>
      <c r="H51" s="107"/>
      <c r="I51" s="259"/>
      <c r="J51" s="260"/>
    </row>
    <row r="52" spans="1:3" ht="12.75">
      <c r="A52" s="205"/>
      <c r="B52" s="256"/>
      <c r="C52" s="256"/>
    </row>
  </sheetData>
  <sheetProtection/>
  <mergeCells count="16">
    <mergeCell ref="G7:J7"/>
    <mergeCell ref="B8:D8"/>
    <mergeCell ref="B9:D9"/>
    <mergeCell ref="B10:D10"/>
    <mergeCell ref="B40:D40"/>
    <mergeCell ref="B41:D41"/>
    <mergeCell ref="I47:J47"/>
    <mergeCell ref="B52:C52"/>
    <mergeCell ref="E50:F50"/>
    <mergeCell ref="I51:J51"/>
    <mergeCell ref="B42:D42"/>
    <mergeCell ref="C12:D12"/>
    <mergeCell ref="B19:J19"/>
    <mergeCell ref="B20:F20"/>
    <mergeCell ref="G26:J26"/>
    <mergeCell ref="B44:D44"/>
  </mergeCells>
  <printOptions/>
  <pageMargins left="0.75" right="0.75" top="1" bottom="1" header="0.5" footer="0.5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"/>
  <dimension ref="A1:L87"/>
  <sheetViews>
    <sheetView showGridLines="0" zoomScale="75" zoomScaleNormal="75" zoomScaleSheetLayoutView="100" zoomScalePageLayoutView="0" workbookViewId="0" topLeftCell="A1">
      <selection activeCell="H33" sqref="H33"/>
    </sheetView>
  </sheetViews>
  <sheetFormatPr defaultColWidth="9.140625" defaultRowHeight="12.75"/>
  <cols>
    <col min="1" max="1" width="1.8515625" style="29" customWidth="1"/>
    <col min="2" max="2" width="16.140625" style="29" customWidth="1"/>
    <col min="3" max="3" width="10.7109375" style="29" customWidth="1"/>
    <col min="4" max="4" width="11.28125" style="29" customWidth="1"/>
    <col min="5" max="5" width="13.140625" style="29" customWidth="1"/>
    <col min="6" max="6" width="4.140625" style="29" customWidth="1"/>
    <col min="7" max="7" width="12.57421875" style="29" customWidth="1"/>
    <col min="8" max="8" width="12.00390625" style="29" customWidth="1"/>
    <col min="9" max="9" width="13.00390625" style="29" customWidth="1"/>
    <col min="10" max="10" width="12.7109375" style="29" customWidth="1"/>
    <col min="11" max="11" width="0.13671875" style="29" customWidth="1"/>
    <col min="12" max="12" width="0.9921875" style="29" hidden="1" customWidth="1"/>
    <col min="13" max="16384" width="9.140625" style="29" customWidth="1"/>
  </cols>
  <sheetData>
    <row r="1" spans="1:12" ht="20.25">
      <c r="A1" s="204"/>
      <c r="B1" s="236" t="s">
        <v>774</v>
      </c>
      <c r="G1" s="283" t="s">
        <v>739</v>
      </c>
      <c r="H1" s="284"/>
      <c r="I1" s="284"/>
      <c r="J1" s="285"/>
      <c r="K1" s="30"/>
      <c r="L1" s="30"/>
    </row>
    <row r="2" spans="7:10" ht="12.75">
      <c r="G2" s="286"/>
      <c r="H2" s="287"/>
      <c r="I2" s="287"/>
      <c r="J2" s="288"/>
    </row>
    <row r="3" spans="2:10" ht="15.75">
      <c r="B3" s="235" t="s">
        <v>775</v>
      </c>
      <c r="G3"/>
      <c r="H3"/>
      <c r="I3"/>
      <c r="J3"/>
    </row>
    <row r="4" spans="3:11" ht="12.75" customHeight="1">
      <c r="C4" s="31"/>
      <c r="D4" s="31"/>
      <c r="E4" s="32"/>
      <c r="F4" s="33"/>
      <c r="H4" s="32"/>
      <c r="I4" s="34" t="s">
        <v>594</v>
      </c>
      <c r="J4" s="34" t="s">
        <v>595</v>
      </c>
      <c r="K4" s="31"/>
    </row>
    <row r="5" spans="2:11" ht="12.75">
      <c r="B5" s="35" t="s">
        <v>596</v>
      </c>
      <c r="C5" s="36" t="s">
        <v>597</v>
      </c>
      <c r="D5" s="37"/>
      <c r="E5" s="38"/>
      <c r="F5" s="39"/>
      <c r="G5" s="296" t="s">
        <v>598</v>
      </c>
      <c r="H5" s="297"/>
      <c r="I5" s="289" t="s">
        <v>599</v>
      </c>
      <c r="J5" s="290"/>
      <c r="K5" s="31"/>
    </row>
    <row r="6" spans="2:11" ht="12.75">
      <c r="B6" s="40"/>
      <c r="C6" s="31"/>
      <c r="D6" s="41"/>
      <c r="E6" s="41"/>
      <c r="F6" s="42"/>
      <c r="G6" s="43" t="s">
        <v>734</v>
      </c>
      <c r="H6" s="44" t="s">
        <v>735</v>
      </c>
      <c r="I6" s="44" t="s">
        <v>736</v>
      </c>
      <c r="J6" s="44" t="s">
        <v>736</v>
      </c>
      <c r="K6" s="31"/>
    </row>
    <row r="7" spans="2:11" ht="12.75">
      <c r="B7" s="45" t="s">
        <v>654</v>
      </c>
      <c r="C7" s="46"/>
      <c r="D7" s="47"/>
      <c r="E7" s="47"/>
      <c r="F7" s="48">
        <v>10</v>
      </c>
      <c r="G7" s="49"/>
      <c r="H7" s="50"/>
      <c r="I7" s="49"/>
      <c r="J7" s="51"/>
      <c r="K7" s="46"/>
    </row>
    <row r="8" spans="2:11" ht="12.75">
      <c r="B8" s="52" t="s">
        <v>600</v>
      </c>
      <c r="C8" s="53"/>
      <c r="D8" s="54"/>
      <c r="E8" s="54"/>
      <c r="F8" s="55">
        <v>101</v>
      </c>
      <c r="G8" s="56"/>
      <c r="H8" s="56"/>
      <c r="I8" s="57"/>
      <c r="J8" s="56"/>
      <c r="K8" s="46"/>
    </row>
    <row r="9" spans="2:11" ht="12.75">
      <c r="B9" s="45" t="s">
        <v>601</v>
      </c>
      <c r="C9" s="46"/>
      <c r="D9" s="47"/>
      <c r="E9" s="47"/>
      <c r="F9" s="58">
        <v>11</v>
      </c>
      <c r="G9" s="59"/>
      <c r="H9" s="60"/>
      <c r="I9" s="59"/>
      <c r="J9" s="60"/>
      <c r="K9" s="46"/>
    </row>
    <row r="10" spans="2:10" ht="12.75">
      <c r="B10" s="52" t="s">
        <v>602</v>
      </c>
      <c r="C10" s="61"/>
      <c r="D10" s="62"/>
      <c r="E10" s="62"/>
      <c r="F10" s="63">
        <v>111</v>
      </c>
      <c r="G10" s="64"/>
      <c r="H10" s="65"/>
      <c r="I10" s="64"/>
      <c r="J10" s="65"/>
    </row>
    <row r="11" spans="2:10" ht="12.75">
      <c r="B11" s="45" t="s">
        <v>603</v>
      </c>
      <c r="C11" s="31"/>
      <c r="D11" s="66"/>
      <c r="E11" s="66"/>
      <c r="F11" s="58">
        <v>12</v>
      </c>
      <c r="G11" s="59"/>
      <c r="H11" s="60"/>
      <c r="I11" s="59"/>
      <c r="J11" s="60"/>
    </row>
    <row r="12" spans="2:10" ht="12.75">
      <c r="B12" s="52" t="s">
        <v>604</v>
      </c>
      <c r="C12" s="61"/>
      <c r="D12" s="62"/>
      <c r="E12" s="62"/>
      <c r="F12" s="63">
        <v>121</v>
      </c>
      <c r="G12" s="64"/>
      <c r="H12" s="65"/>
      <c r="I12" s="64"/>
      <c r="J12" s="65"/>
    </row>
    <row r="13" spans="2:12" ht="12.75">
      <c r="B13" s="45" t="s">
        <v>605</v>
      </c>
      <c r="C13" s="31"/>
      <c r="D13" s="67"/>
      <c r="E13" s="67"/>
      <c r="F13" s="58">
        <v>14</v>
      </c>
      <c r="G13" s="181">
        <f>SUM(G14:G20)</f>
        <v>0</v>
      </c>
      <c r="H13" s="181">
        <f>SUM(H14:H20)</f>
        <v>0</v>
      </c>
      <c r="I13" s="181">
        <f>SUM(I14:I20)</f>
        <v>0</v>
      </c>
      <c r="J13" s="181">
        <f>SUM(J14:J20)</f>
        <v>0</v>
      </c>
      <c r="L13" s="68"/>
    </row>
    <row r="14" spans="2:10" ht="12.75">
      <c r="B14" s="52" t="s">
        <v>606</v>
      </c>
      <c r="C14" s="61"/>
      <c r="D14" s="62"/>
      <c r="E14" s="62"/>
      <c r="F14" s="63">
        <v>141</v>
      </c>
      <c r="G14" s="64"/>
      <c r="H14" s="60"/>
      <c r="I14" s="64"/>
      <c r="J14" s="65"/>
    </row>
    <row r="15" spans="2:10" ht="12.75">
      <c r="B15" s="69" t="s">
        <v>607</v>
      </c>
      <c r="C15" s="31"/>
      <c r="D15" s="66"/>
      <c r="E15" s="66"/>
      <c r="F15" s="70">
        <v>143</v>
      </c>
      <c r="G15" s="59"/>
      <c r="H15" s="60"/>
      <c r="I15" s="59"/>
      <c r="J15" s="60"/>
    </row>
    <row r="16" spans="2:10" ht="12.75">
      <c r="B16" s="52" t="s">
        <v>608</v>
      </c>
      <c r="C16" s="61"/>
      <c r="D16" s="62"/>
      <c r="E16" s="62"/>
      <c r="F16" s="63">
        <v>144</v>
      </c>
      <c r="G16" s="64"/>
      <c r="H16" s="60"/>
      <c r="I16" s="64"/>
      <c r="J16" s="65"/>
    </row>
    <row r="17" spans="2:10" ht="12.75">
      <c r="B17" s="298" t="s">
        <v>609</v>
      </c>
      <c r="C17" s="282"/>
      <c r="D17" s="66"/>
      <c r="E17" s="66"/>
      <c r="F17" s="70">
        <v>145</v>
      </c>
      <c r="G17" s="59"/>
      <c r="H17" s="60"/>
      <c r="I17" s="59"/>
      <c r="J17" s="60"/>
    </row>
    <row r="18" spans="2:10" ht="12.75">
      <c r="B18" s="52" t="s">
        <v>610</v>
      </c>
      <c r="C18" s="61"/>
      <c r="D18" s="62"/>
      <c r="E18" s="62"/>
      <c r="F18" s="63">
        <v>146</v>
      </c>
      <c r="G18" s="64"/>
      <c r="H18" s="60"/>
      <c r="I18" s="64"/>
      <c r="J18" s="65"/>
    </row>
    <row r="19" spans="2:10" ht="12.75">
      <c r="B19" s="69" t="s">
        <v>611</v>
      </c>
      <c r="C19" s="31"/>
      <c r="D19" s="66"/>
      <c r="E19" s="66"/>
      <c r="F19" s="70">
        <v>147</v>
      </c>
      <c r="G19" s="59"/>
      <c r="H19" s="60"/>
      <c r="I19" s="59"/>
      <c r="J19" s="60"/>
    </row>
    <row r="20" spans="2:10" ht="12.75">
      <c r="B20" s="52" t="s">
        <v>612</v>
      </c>
      <c r="C20" s="61"/>
      <c r="D20" s="62"/>
      <c r="E20" s="62"/>
      <c r="F20" s="63">
        <v>148</v>
      </c>
      <c r="G20" s="64"/>
      <c r="H20" s="60"/>
      <c r="I20" s="64"/>
      <c r="J20" s="65"/>
    </row>
    <row r="21" spans="2:10" ht="12.75" customHeight="1">
      <c r="B21" s="281" t="s">
        <v>655</v>
      </c>
      <c r="C21" s="282"/>
      <c r="D21" s="282"/>
      <c r="E21" s="66"/>
      <c r="F21" s="58">
        <v>15</v>
      </c>
      <c r="G21" s="182">
        <f>SUM(G22:G28)</f>
        <v>0</v>
      </c>
      <c r="H21" s="182">
        <f>SUM(H22:H28)</f>
        <v>0</v>
      </c>
      <c r="I21" s="182">
        <f>SUM(I22:I28)</f>
        <v>0</v>
      </c>
      <c r="J21" s="182">
        <f>SUM(J22:J28)</f>
        <v>0</v>
      </c>
    </row>
    <row r="22" spans="2:10" ht="12.75">
      <c r="B22" s="72" t="s">
        <v>613</v>
      </c>
      <c r="C22" s="73"/>
      <c r="D22" s="74"/>
      <c r="E22" s="74"/>
      <c r="F22" s="75">
        <v>151</v>
      </c>
      <c r="G22" s="187"/>
      <c r="H22" s="186"/>
      <c r="I22" s="187"/>
      <c r="J22" s="186"/>
    </row>
    <row r="23" spans="2:10" ht="12.75">
      <c r="B23" s="52" t="s">
        <v>607</v>
      </c>
      <c r="C23" s="61"/>
      <c r="D23" s="62"/>
      <c r="E23" s="62"/>
      <c r="F23" s="76">
        <v>152</v>
      </c>
      <c r="G23" s="64"/>
      <c r="H23" s="65"/>
      <c r="I23" s="64"/>
      <c r="J23" s="65"/>
    </row>
    <row r="24" spans="2:10" ht="12.75">
      <c r="B24" s="69" t="s">
        <v>614</v>
      </c>
      <c r="C24" s="31"/>
      <c r="D24" s="66"/>
      <c r="E24" s="66"/>
      <c r="F24" s="70">
        <v>153</v>
      </c>
      <c r="G24" s="64"/>
      <c r="H24" s="65"/>
      <c r="I24" s="64"/>
      <c r="J24" s="65"/>
    </row>
    <row r="25" spans="2:10" ht="12.75">
      <c r="B25" s="298" t="s">
        <v>609</v>
      </c>
      <c r="C25" s="282"/>
      <c r="D25" s="62"/>
      <c r="E25" s="62"/>
      <c r="F25" s="63">
        <v>154</v>
      </c>
      <c r="G25" s="64"/>
      <c r="H25" s="65"/>
      <c r="I25" s="64"/>
      <c r="J25" s="65"/>
    </row>
    <row r="26" spans="2:11" ht="12.75">
      <c r="B26" s="69" t="s">
        <v>610</v>
      </c>
      <c r="C26" s="31"/>
      <c r="D26" s="66"/>
      <c r="E26" s="66"/>
      <c r="F26" s="70">
        <v>155</v>
      </c>
      <c r="G26" s="59"/>
      <c r="H26" s="60"/>
      <c r="I26" s="59"/>
      <c r="J26" s="60"/>
      <c r="K26" s="31"/>
    </row>
    <row r="27" spans="2:11" ht="12.75">
      <c r="B27" s="52" t="s">
        <v>611</v>
      </c>
      <c r="C27" s="61"/>
      <c r="D27" s="62"/>
      <c r="E27" s="62"/>
      <c r="F27" s="63">
        <v>156</v>
      </c>
      <c r="G27" s="64"/>
      <c r="H27" s="65"/>
      <c r="I27" s="64"/>
      <c r="J27" s="65"/>
      <c r="K27" s="31"/>
    </row>
    <row r="28" spans="2:11" ht="12.75">
      <c r="B28" s="69" t="s">
        <v>612</v>
      </c>
      <c r="C28" s="31"/>
      <c r="D28" s="66"/>
      <c r="E28" s="66"/>
      <c r="F28" s="70">
        <v>157</v>
      </c>
      <c r="G28" s="59"/>
      <c r="H28" s="60"/>
      <c r="I28" s="59"/>
      <c r="J28" s="60"/>
      <c r="K28" s="31"/>
    </row>
    <row r="29" spans="2:11" ht="24.75" customHeight="1">
      <c r="B29" s="278" t="s">
        <v>656</v>
      </c>
      <c r="C29" s="279"/>
      <c r="D29" s="279"/>
      <c r="E29" s="280"/>
      <c r="F29" s="77">
        <v>13</v>
      </c>
      <c r="G29" s="64"/>
      <c r="H29" s="65"/>
      <c r="I29" s="64"/>
      <c r="J29" s="65"/>
      <c r="K29" s="31"/>
    </row>
    <row r="30" spans="2:11" ht="12.75">
      <c r="B30" s="69" t="s">
        <v>600</v>
      </c>
      <c r="C30" s="31"/>
      <c r="D30" s="66"/>
      <c r="E30" s="66"/>
      <c r="F30" s="70">
        <v>131</v>
      </c>
      <c r="G30" s="187"/>
      <c r="H30" s="186"/>
      <c r="I30" s="187"/>
      <c r="J30" s="186"/>
      <c r="K30" s="31"/>
    </row>
    <row r="31" spans="2:11" ht="12.75">
      <c r="B31" s="281" t="s">
        <v>657</v>
      </c>
      <c r="C31" s="282"/>
      <c r="D31" s="282"/>
      <c r="E31" s="299"/>
      <c r="F31" s="77">
        <v>16</v>
      </c>
      <c r="G31" s="64"/>
      <c r="H31" s="65"/>
      <c r="I31" s="64"/>
      <c r="J31" s="65"/>
      <c r="K31" s="31"/>
    </row>
    <row r="32" spans="2:11" ht="12.75">
      <c r="B32" s="69" t="s">
        <v>600</v>
      </c>
      <c r="C32" s="31"/>
      <c r="D32" s="66"/>
      <c r="E32" s="66"/>
      <c r="F32" s="70">
        <v>161</v>
      </c>
      <c r="G32" s="59"/>
      <c r="H32" s="60"/>
      <c r="I32" s="59"/>
      <c r="J32" s="60"/>
      <c r="K32" s="31"/>
    </row>
    <row r="33" spans="2:11" ht="12.75">
      <c r="B33" s="278" t="s">
        <v>1020</v>
      </c>
      <c r="C33" s="279"/>
      <c r="D33" s="279"/>
      <c r="E33" s="280"/>
      <c r="F33" s="77">
        <v>17</v>
      </c>
      <c r="G33" s="187"/>
      <c r="H33" s="186"/>
      <c r="I33" s="187"/>
      <c r="J33" s="186"/>
      <c r="K33" s="31"/>
    </row>
    <row r="34" spans="2:11" ht="12.75">
      <c r="B34" s="69" t="s">
        <v>1017</v>
      </c>
      <c r="C34" s="79"/>
      <c r="D34" s="80"/>
      <c r="E34" s="80"/>
      <c r="F34" s="70">
        <v>171</v>
      </c>
      <c r="G34" s="189"/>
      <c r="H34" s="188"/>
      <c r="I34" s="189"/>
      <c r="J34" s="188"/>
      <c r="K34" s="31"/>
    </row>
    <row r="35" spans="2:11" ht="44.25" customHeight="1">
      <c r="B35" s="291" t="s">
        <v>658</v>
      </c>
      <c r="C35" s="292"/>
      <c r="D35" s="292"/>
      <c r="E35" s="293"/>
      <c r="F35" s="82"/>
      <c r="G35" s="303"/>
      <c r="H35" s="304"/>
      <c r="I35" s="83"/>
      <c r="J35" s="179" t="s">
        <v>615</v>
      </c>
      <c r="K35" s="31"/>
    </row>
    <row r="36" spans="2:11" ht="12.75">
      <c r="B36" s="45" t="s">
        <v>659</v>
      </c>
      <c r="C36" s="31"/>
      <c r="D36" s="66"/>
      <c r="E36" s="66"/>
      <c r="F36" s="58">
        <v>30</v>
      </c>
      <c r="G36" s="59"/>
      <c r="H36" s="60"/>
      <c r="I36" s="59"/>
      <c r="J36" s="198"/>
      <c r="K36" s="31"/>
    </row>
    <row r="37" spans="2:11" ht="12.75">
      <c r="B37" s="52" t="s">
        <v>616</v>
      </c>
      <c r="C37" s="61"/>
      <c r="D37" s="62"/>
      <c r="E37" s="62"/>
      <c r="F37" s="63">
        <v>301</v>
      </c>
      <c r="G37" s="64"/>
      <c r="H37" s="65"/>
      <c r="I37" s="64"/>
      <c r="J37" s="65"/>
      <c r="K37" s="31"/>
    </row>
    <row r="38" spans="2:11" ht="12.75">
      <c r="B38" s="45" t="s">
        <v>660</v>
      </c>
      <c r="C38" s="31"/>
      <c r="D38" s="66"/>
      <c r="E38" s="66"/>
      <c r="F38" s="58">
        <v>31</v>
      </c>
      <c r="G38" s="59"/>
      <c r="H38" s="60"/>
      <c r="I38" s="59"/>
      <c r="J38" s="60"/>
      <c r="K38" s="31"/>
    </row>
    <row r="39" spans="2:11" ht="12.75">
      <c r="B39" s="52" t="s">
        <v>616</v>
      </c>
      <c r="C39" s="61"/>
      <c r="D39" s="62"/>
      <c r="E39" s="62"/>
      <c r="F39" s="63">
        <v>311</v>
      </c>
      <c r="G39" s="64"/>
      <c r="H39" s="65"/>
      <c r="I39" s="64"/>
      <c r="J39" s="65"/>
      <c r="K39" s="31"/>
    </row>
    <row r="40" spans="2:11" ht="12.75">
      <c r="B40" s="71" t="s">
        <v>661</v>
      </c>
      <c r="C40" s="61"/>
      <c r="D40" s="62"/>
      <c r="E40" s="62"/>
      <c r="F40" s="77">
        <v>32</v>
      </c>
      <c r="G40" s="187"/>
      <c r="H40" s="186"/>
      <c r="I40" s="187"/>
      <c r="J40" s="186"/>
      <c r="K40" s="31"/>
    </row>
    <row r="41" spans="2:11" ht="15.75" customHeight="1">
      <c r="B41" s="78" t="s">
        <v>662</v>
      </c>
      <c r="C41" s="79"/>
      <c r="D41" s="80"/>
      <c r="E41" s="80"/>
      <c r="F41" s="81">
        <v>33</v>
      </c>
      <c r="G41" s="189"/>
      <c r="H41" s="188"/>
      <c r="I41" s="189"/>
      <c r="J41" s="188"/>
      <c r="K41" s="31"/>
    </row>
    <row r="42" spans="2:11" ht="33.75">
      <c r="B42" s="45"/>
      <c r="C42" s="31"/>
      <c r="D42" s="66"/>
      <c r="E42" s="66"/>
      <c r="F42" s="58"/>
      <c r="G42" s="84" t="s">
        <v>617</v>
      </c>
      <c r="H42" s="85" t="s">
        <v>618</v>
      </c>
      <c r="I42" s="86" t="s">
        <v>752</v>
      </c>
      <c r="J42" s="87"/>
      <c r="K42" s="31"/>
    </row>
    <row r="43" spans="2:11" ht="12.75" customHeight="1">
      <c r="B43" s="294" t="s">
        <v>619</v>
      </c>
      <c r="C43" s="295"/>
      <c r="D43" s="295"/>
      <c r="E43" s="295"/>
      <c r="F43" s="88" t="s">
        <v>620</v>
      </c>
      <c r="G43" s="44" t="s">
        <v>736</v>
      </c>
      <c r="H43" s="44" t="s">
        <v>736</v>
      </c>
      <c r="I43" s="44" t="s">
        <v>736</v>
      </c>
      <c r="J43" s="89"/>
      <c r="K43" s="31"/>
    </row>
    <row r="44" spans="2:11" ht="12.75">
      <c r="B44" s="90" t="s">
        <v>621</v>
      </c>
      <c r="C44" s="89"/>
      <c r="D44" s="91"/>
      <c r="E44" s="91"/>
      <c r="F44" s="93">
        <v>40</v>
      </c>
      <c r="G44" s="199"/>
      <c r="H44" s="200"/>
      <c r="I44" s="201"/>
      <c r="J44" s="94"/>
      <c r="K44" s="31"/>
    </row>
    <row r="45" spans="2:10" ht="12.75">
      <c r="B45" s="95" t="s">
        <v>616</v>
      </c>
      <c r="C45" s="61"/>
      <c r="D45" s="61"/>
      <c r="E45" s="61"/>
      <c r="F45" s="63">
        <v>401</v>
      </c>
      <c r="G45" s="64"/>
      <c r="H45" s="65"/>
      <c r="I45" s="202"/>
      <c r="J45" s="94"/>
    </row>
    <row r="46" spans="2:10" ht="12.75">
      <c r="B46" s="90" t="s">
        <v>622</v>
      </c>
      <c r="F46" s="58">
        <v>41</v>
      </c>
      <c r="G46" s="193"/>
      <c r="H46" s="191"/>
      <c r="I46" s="192"/>
      <c r="J46" s="94"/>
    </row>
    <row r="47" spans="2:10" ht="12.75">
      <c r="B47" s="95" t="s">
        <v>616</v>
      </c>
      <c r="C47" s="61"/>
      <c r="D47" s="61"/>
      <c r="E47" s="61"/>
      <c r="F47" s="63">
        <v>411</v>
      </c>
      <c r="G47" s="64"/>
      <c r="H47" s="65"/>
      <c r="I47" s="202"/>
      <c r="J47" s="94"/>
    </row>
    <row r="48" spans="2:10" ht="12.75">
      <c r="B48" s="90" t="s">
        <v>623</v>
      </c>
      <c r="F48" s="58">
        <v>42</v>
      </c>
      <c r="G48" s="193"/>
      <c r="H48" s="191"/>
      <c r="I48" s="192"/>
      <c r="J48" s="96"/>
    </row>
    <row r="49" spans="2:10" ht="12.75">
      <c r="B49" s="97" t="s">
        <v>624</v>
      </c>
      <c r="C49" s="79"/>
      <c r="D49" s="79"/>
      <c r="E49" s="79"/>
      <c r="F49" s="81">
        <v>43</v>
      </c>
      <c r="G49" s="190"/>
      <c r="H49" s="188"/>
      <c r="I49" s="190"/>
      <c r="J49" s="94"/>
    </row>
    <row r="50" spans="2:10" ht="12.75">
      <c r="B50" s="98"/>
      <c r="C50" s="31"/>
      <c r="D50" s="31"/>
      <c r="E50" s="31"/>
      <c r="F50" s="99"/>
      <c r="G50" s="100"/>
      <c r="H50" s="100"/>
      <c r="I50" s="100"/>
      <c r="J50" s="94"/>
    </row>
    <row r="51" spans="2:6" ht="23.25" customHeight="1">
      <c r="B51" s="237" t="s">
        <v>640</v>
      </c>
      <c r="C51" s="112"/>
      <c r="D51" s="112"/>
      <c r="E51" s="111"/>
      <c r="F51" s="111"/>
    </row>
    <row r="52" spans="2:6" ht="14.25" customHeight="1">
      <c r="B52" s="238" t="s">
        <v>775</v>
      </c>
      <c r="C52" s="112"/>
      <c r="D52" s="112"/>
      <c r="E52" s="111"/>
      <c r="F52" s="111"/>
    </row>
    <row r="53" spans="2:10" ht="12.75">
      <c r="B53" s="113"/>
      <c r="C53" s="112"/>
      <c r="D53" s="112"/>
      <c r="E53" s="111"/>
      <c r="F53" s="111"/>
      <c r="I53" s="34" t="s">
        <v>638</v>
      </c>
      <c r="J53" s="34" t="s">
        <v>639</v>
      </c>
    </row>
    <row r="54" spans="2:10" ht="12.75">
      <c r="B54" s="114" t="s">
        <v>640</v>
      </c>
      <c r="C54" s="37" t="s">
        <v>597</v>
      </c>
      <c r="D54" s="37"/>
      <c r="E54" s="115"/>
      <c r="F54" s="116"/>
      <c r="G54" s="309" t="s">
        <v>641</v>
      </c>
      <c r="H54" s="297"/>
      <c r="I54" s="307" t="s">
        <v>642</v>
      </c>
      <c r="J54" s="308"/>
    </row>
    <row r="55" spans="2:10" ht="12.75">
      <c r="B55" s="117"/>
      <c r="C55" s="31"/>
      <c r="D55" s="31"/>
      <c r="E55" s="118"/>
      <c r="F55" s="119"/>
      <c r="G55" s="43" t="s">
        <v>737</v>
      </c>
      <c r="H55" s="44" t="s">
        <v>738</v>
      </c>
      <c r="I55" s="44" t="s">
        <v>736</v>
      </c>
      <c r="J55" s="44" t="s">
        <v>736</v>
      </c>
    </row>
    <row r="56" spans="2:10" ht="12.75">
      <c r="B56" s="120" t="s">
        <v>603</v>
      </c>
      <c r="C56" s="121"/>
      <c r="D56" s="121"/>
      <c r="E56" s="121"/>
      <c r="F56" s="122">
        <v>20</v>
      </c>
      <c r="G56" s="59"/>
      <c r="H56" s="60"/>
      <c r="I56" s="59"/>
      <c r="J56" s="65"/>
    </row>
    <row r="57" spans="2:10" ht="12.75">
      <c r="B57" s="123" t="s">
        <v>600</v>
      </c>
      <c r="C57" s="61"/>
      <c r="D57" s="61"/>
      <c r="E57" s="61"/>
      <c r="F57" s="63">
        <v>201</v>
      </c>
      <c r="G57" s="64"/>
      <c r="H57" s="65"/>
      <c r="I57" s="64"/>
      <c r="J57" s="65"/>
    </row>
    <row r="58" spans="2:10" ht="12.75">
      <c r="B58" s="123" t="s">
        <v>1018</v>
      </c>
      <c r="C58" s="61"/>
      <c r="D58" s="61"/>
      <c r="E58" s="61"/>
      <c r="F58" s="70">
        <v>202</v>
      </c>
      <c r="G58" s="59"/>
      <c r="H58" s="60"/>
      <c r="I58" s="59"/>
      <c r="J58" s="65"/>
    </row>
    <row r="59" spans="2:10" ht="12.75">
      <c r="B59" s="124" t="s">
        <v>605</v>
      </c>
      <c r="C59" s="61"/>
      <c r="D59" s="61"/>
      <c r="E59" s="125"/>
      <c r="F59" s="58">
        <v>22</v>
      </c>
      <c r="G59" s="59"/>
      <c r="H59" s="60"/>
      <c r="I59" s="59"/>
      <c r="J59" s="65"/>
    </row>
    <row r="60" spans="2:10" ht="12.75">
      <c r="B60" s="123" t="s">
        <v>643</v>
      </c>
      <c r="C60" s="121"/>
      <c r="E60" s="121"/>
      <c r="F60" s="63">
        <v>221</v>
      </c>
      <c r="G60" s="64"/>
      <c r="H60" s="65"/>
      <c r="I60" s="64"/>
      <c r="J60" s="65"/>
    </row>
    <row r="61" spans="2:10" ht="24.75" customHeight="1">
      <c r="B61" s="278" t="s">
        <v>644</v>
      </c>
      <c r="C61" s="279"/>
      <c r="D61" s="279"/>
      <c r="E61" s="280"/>
      <c r="F61" s="58">
        <v>23</v>
      </c>
      <c r="G61" s="59"/>
      <c r="H61" s="60"/>
      <c r="I61" s="59"/>
      <c r="J61" s="65"/>
    </row>
    <row r="62" spans="2:10" ht="12.75">
      <c r="B62" s="123" t="s">
        <v>643</v>
      </c>
      <c r="C62" s="61"/>
      <c r="D62" s="61"/>
      <c r="E62" s="125"/>
      <c r="F62" s="63">
        <v>231</v>
      </c>
      <c r="G62" s="64"/>
      <c r="H62" s="65"/>
      <c r="I62" s="64"/>
      <c r="J62" s="65"/>
    </row>
    <row r="63" spans="2:10" ht="12.75">
      <c r="B63" s="124" t="s">
        <v>645</v>
      </c>
      <c r="C63" s="31"/>
      <c r="D63" s="31"/>
      <c r="E63" s="31"/>
      <c r="F63" s="58">
        <v>24</v>
      </c>
      <c r="G63" s="64"/>
      <c r="H63" s="65"/>
      <c r="I63" s="64"/>
      <c r="J63" s="65"/>
    </row>
    <row r="64" spans="2:10" ht="12.75">
      <c r="B64" s="281" t="s">
        <v>664</v>
      </c>
      <c r="C64" s="282"/>
      <c r="D64" s="282"/>
      <c r="E64" s="61"/>
      <c r="F64" s="77">
        <v>21</v>
      </c>
      <c r="G64" s="59"/>
      <c r="H64" s="60"/>
      <c r="I64" s="59"/>
      <c r="J64" s="60"/>
    </row>
    <row r="65" spans="2:10" ht="12.75">
      <c r="B65" s="126" t="s">
        <v>600</v>
      </c>
      <c r="C65" s="31"/>
      <c r="D65" s="31"/>
      <c r="E65" s="31"/>
      <c r="F65" s="70">
        <v>211</v>
      </c>
      <c r="G65" s="64"/>
      <c r="H65" s="65"/>
      <c r="I65" s="64"/>
      <c r="J65" s="65"/>
    </row>
    <row r="66" spans="2:10" ht="12.75">
      <c r="B66" s="281" t="s">
        <v>665</v>
      </c>
      <c r="C66" s="282"/>
      <c r="D66" s="282"/>
      <c r="E66" s="61"/>
      <c r="F66" s="77">
        <v>25</v>
      </c>
      <c r="G66" s="59"/>
      <c r="H66" s="60"/>
      <c r="I66" s="59"/>
      <c r="J66" s="60"/>
    </row>
    <row r="67" spans="2:10" ht="12.75">
      <c r="B67" s="126" t="s">
        <v>600</v>
      </c>
      <c r="C67" s="31"/>
      <c r="D67" s="31"/>
      <c r="E67" s="31"/>
      <c r="F67" s="70">
        <v>251</v>
      </c>
      <c r="G67" s="64"/>
      <c r="H67" s="65"/>
      <c r="I67" s="64"/>
      <c r="J67" s="65"/>
    </row>
    <row r="68" spans="2:10" ht="12.75">
      <c r="B68" s="281" t="s">
        <v>1019</v>
      </c>
      <c r="C68" s="282"/>
      <c r="D68" s="282"/>
      <c r="E68" s="61"/>
      <c r="F68" s="127">
        <v>26</v>
      </c>
      <c r="G68" s="64"/>
      <c r="H68" s="65"/>
      <c r="I68" s="64"/>
      <c r="J68" s="65"/>
    </row>
    <row r="69" spans="2:10" ht="12.75">
      <c r="B69" s="126" t="s">
        <v>1017</v>
      </c>
      <c r="C69" s="73"/>
      <c r="D69" s="73"/>
      <c r="E69" s="73"/>
      <c r="F69" s="70">
        <v>261</v>
      </c>
      <c r="G69" s="194"/>
      <c r="H69" s="65"/>
      <c r="I69" s="65"/>
      <c r="J69" s="190"/>
    </row>
    <row r="70" spans="2:10" ht="21" customHeight="1">
      <c r="B70" s="310"/>
      <c r="C70" s="311"/>
      <c r="D70" s="311"/>
      <c r="E70" s="312"/>
      <c r="F70" s="128"/>
      <c r="G70" s="129" t="s">
        <v>646</v>
      </c>
      <c r="H70" s="130" t="s">
        <v>618</v>
      </c>
      <c r="I70" s="131" t="s">
        <v>647</v>
      </c>
      <c r="J70" s="129" t="s">
        <v>639</v>
      </c>
    </row>
    <row r="71" spans="2:10" ht="12.75" customHeight="1">
      <c r="B71" s="300" t="s">
        <v>648</v>
      </c>
      <c r="C71" s="301"/>
      <c r="D71" s="301"/>
      <c r="E71" s="302"/>
      <c r="F71" s="132"/>
      <c r="G71" s="44" t="s">
        <v>736</v>
      </c>
      <c r="H71" s="44" t="s">
        <v>736</v>
      </c>
      <c r="I71" s="44" t="s">
        <v>736</v>
      </c>
      <c r="J71" s="44" t="s">
        <v>736</v>
      </c>
    </row>
    <row r="72" spans="2:10" ht="13.5" customHeight="1">
      <c r="B72" s="124" t="s">
        <v>666</v>
      </c>
      <c r="C72" s="31"/>
      <c r="D72" s="31"/>
      <c r="E72" s="31"/>
      <c r="F72" s="70">
        <v>302</v>
      </c>
      <c r="G72" s="133" t="s">
        <v>649</v>
      </c>
      <c r="H72" s="134" t="s">
        <v>649</v>
      </c>
      <c r="I72" s="135" t="s">
        <v>649</v>
      </c>
      <c r="J72" s="192"/>
    </row>
    <row r="73" spans="2:10" ht="12.75">
      <c r="B73" s="183" t="s">
        <v>650</v>
      </c>
      <c r="C73" s="61"/>
      <c r="D73" s="61"/>
      <c r="E73" s="203"/>
      <c r="F73" s="63">
        <v>303</v>
      </c>
      <c r="G73" s="136" t="s">
        <v>649</v>
      </c>
      <c r="H73" s="137" t="s">
        <v>649</v>
      </c>
      <c r="I73" s="138" t="s">
        <v>649</v>
      </c>
      <c r="J73" s="136" t="s">
        <v>649</v>
      </c>
    </row>
    <row r="74" spans="2:10" ht="12.75">
      <c r="B74" s="139" t="s">
        <v>651</v>
      </c>
      <c r="C74" s="140"/>
      <c r="D74" s="140"/>
      <c r="E74" s="140"/>
      <c r="F74" s="141">
        <v>60</v>
      </c>
      <c r="G74" s="197"/>
      <c r="H74" s="195"/>
      <c r="I74" s="196"/>
      <c r="J74" s="142" t="s">
        <v>649</v>
      </c>
    </row>
    <row r="76" spans="2:10" ht="12.75">
      <c r="B76" s="305" t="s">
        <v>652</v>
      </c>
      <c r="C76" s="306"/>
      <c r="D76" s="306"/>
      <c r="E76" s="306"/>
      <c r="F76" s="306"/>
      <c r="G76" s="306"/>
      <c r="H76" s="306"/>
      <c r="I76" s="306"/>
      <c r="J76" s="306"/>
    </row>
    <row r="77" spans="2:10" ht="12.75">
      <c r="B77" s="315" t="s">
        <v>769</v>
      </c>
      <c r="C77" s="315"/>
      <c r="D77" s="315"/>
      <c r="E77" s="315"/>
      <c r="F77" s="315"/>
      <c r="G77" s="315"/>
      <c r="H77" s="315"/>
      <c r="I77" s="315"/>
      <c r="J77" s="315"/>
    </row>
    <row r="78" spans="2:10" ht="12.75">
      <c r="B78" s="92"/>
      <c r="C78" s="92"/>
      <c r="D78" s="92"/>
      <c r="E78" s="92"/>
      <c r="F78" s="31"/>
      <c r="G78" s="31"/>
      <c r="H78" s="31"/>
      <c r="I78" s="31"/>
      <c r="J78" s="31"/>
    </row>
    <row r="79" spans="2:10" ht="12.75">
      <c r="B79" s="319" t="s">
        <v>653</v>
      </c>
      <c r="C79" s="318"/>
      <c r="D79" s="318"/>
      <c r="E79" s="318"/>
      <c r="F79" s="318"/>
      <c r="G79" s="318"/>
      <c r="H79" s="318"/>
      <c r="I79" s="318"/>
      <c r="J79" s="31"/>
    </row>
    <row r="80" spans="2:10" ht="12.75">
      <c r="B80" s="317" t="s">
        <v>663</v>
      </c>
      <c r="C80" s="318"/>
      <c r="D80" s="318"/>
      <c r="E80" s="318"/>
      <c r="F80" s="318"/>
      <c r="G80" s="318"/>
      <c r="H80" s="31"/>
      <c r="I80" s="31"/>
      <c r="J80" s="31"/>
    </row>
    <row r="81" spans="2:10" ht="6" customHeight="1">
      <c r="B81" s="185"/>
      <c r="C81" s="184"/>
      <c r="D81" s="184"/>
      <c r="E81" s="184"/>
      <c r="F81" s="184"/>
      <c r="G81" s="184"/>
      <c r="H81" s="31"/>
      <c r="I81" s="31"/>
      <c r="J81" s="31"/>
    </row>
    <row r="82" spans="2:10" ht="12.75">
      <c r="B82" s="92"/>
      <c r="C82" s="92"/>
      <c r="D82" s="92"/>
      <c r="E82" s="92"/>
      <c r="F82" s="31"/>
      <c r="G82" s="31"/>
      <c r="H82" s="31"/>
      <c r="I82" s="31"/>
      <c r="J82" s="31"/>
    </row>
    <row r="83" spans="8:9" ht="12.75">
      <c r="H83" s="140"/>
      <c r="I83" s="140"/>
    </row>
    <row r="84" spans="1:10" ht="12.75">
      <c r="A84" s="31"/>
      <c r="B84" s="101" t="s">
        <v>625</v>
      </c>
      <c r="C84" s="102" t="s">
        <v>626</v>
      </c>
      <c r="D84" s="102" t="s">
        <v>627</v>
      </c>
      <c r="E84" s="101"/>
      <c r="F84" s="103"/>
      <c r="G84" s="102"/>
      <c r="I84" s="102"/>
      <c r="J84" s="104"/>
    </row>
    <row r="85" spans="1:10" ht="12.75" customHeight="1">
      <c r="A85" s="31"/>
      <c r="B85" s="143" t="s">
        <v>338</v>
      </c>
      <c r="C85" s="143" t="s">
        <v>632</v>
      </c>
      <c r="D85" s="143" t="s">
        <v>633</v>
      </c>
      <c r="E85" s="316"/>
      <c r="F85" s="306"/>
      <c r="G85" s="314"/>
      <c r="H85" s="276"/>
      <c r="I85" s="250"/>
      <c r="J85" s="109"/>
    </row>
    <row r="86" spans="2:9" ht="12.75">
      <c r="B86" s="251" t="s">
        <v>339</v>
      </c>
      <c r="C86" s="110">
        <v>100</v>
      </c>
      <c r="E86" s="253"/>
      <c r="F86" s="106"/>
      <c r="G86" s="313"/>
      <c r="H86" s="276"/>
      <c r="I86" s="108"/>
    </row>
    <row r="87" ht="12.75">
      <c r="B87" s="105" t="s">
        <v>637</v>
      </c>
    </row>
  </sheetData>
  <sheetProtection password="E847" sheet="1" objects="1" scenarios="1"/>
  <mergeCells count="27">
    <mergeCell ref="B66:D66"/>
    <mergeCell ref="G86:H86"/>
    <mergeCell ref="G85:H85"/>
    <mergeCell ref="B77:J77"/>
    <mergeCell ref="E85:F85"/>
    <mergeCell ref="B80:G80"/>
    <mergeCell ref="B79:I79"/>
    <mergeCell ref="B25:C25"/>
    <mergeCell ref="B31:E31"/>
    <mergeCell ref="B71:E71"/>
    <mergeCell ref="G35:H35"/>
    <mergeCell ref="B61:E61"/>
    <mergeCell ref="B76:J76"/>
    <mergeCell ref="B64:D64"/>
    <mergeCell ref="I54:J54"/>
    <mergeCell ref="G54:H54"/>
    <mergeCell ref="B70:E70"/>
    <mergeCell ref="B33:E33"/>
    <mergeCell ref="B68:D68"/>
    <mergeCell ref="G1:J2"/>
    <mergeCell ref="I5:J5"/>
    <mergeCell ref="B35:E35"/>
    <mergeCell ref="B43:E43"/>
    <mergeCell ref="G5:H5"/>
    <mergeCell ref="B17:C17"/>
    <mergeCell ref="B21:D21"/>
    <mergeCell ref="B29:E2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1" r:id="rId1"/>
  <rowBreaks count="1" manualBreakCount="1">
    <brk id="50" max="255" man="1"/>
  </rowBreaks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2"/>
  <dimension ref="A1:B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83.7109375" style="0" customWidth="1"/>
  </cols>
  <sheetData>
    <row r="1" spans="1:2" ht="12.75">
      <c r="A1" s="245"/>
      <c r="B1" s="246"/>
    </row>
    <row r="2" spans="1:2" ht="25.5">
      <c r="A2" s="245"/>
      <c r="B2" s="247" t="s">
        <v>501</v>
      </c>
    </row>
    <row r="3" spans="1:2" ht="51">
      <c r="A3" s="245"/>
      <c r="B3" s="248" t="s">
        <v>315</v>
      </c>
    </row>
    <row r="4" spans="1:2" ht="30.75" customHeight="1">
      <c r="A4" s="245"/>
      <c r="B4" s="248" t="s">
        <v>330</v>
      </c>
    </row>
    <row r="5" spans="1:2" ht="42" customHeight="1">
      <c r="A5" s="245"/>
      <c r="B5" s="248" t="s">
        <v>317</v>
      </c>
    </row>
    <row r="6" spans="1:2" ht="29.25" customHeight="1">
      <c r="A6" s="245"/>
      <c r="B6" s="248" t="s">
        <v>316</v>
      </c>
    </row>
    <row r="7" spans="1:2" ht="16.5" customHeight="1">
      <c r="A7" s="245"/>
      <c r="B7" s="248" t="s">
        <v>770</v>
      </c>
    </row>
    <row r="8" spans="1:2" ht="57" customHeight="1">
      <c r="A8" s="245"/>
      <c r="B8" s="248" t="s">
        <v>503</v>
      </c>
    </row>
    <row r="9" spans="1:2" ht="31.5" customHeight="1">
      <c r="A9" s="245"/>
      <c r="B9" s="248" t="s">
        <v>771</v>
      </c>
    </row>
    <row r="10" spans="1:2" ht="41.25" customHeight="1">
      <c r="A10" s="245"/>
      <c r="B10" s="248" t="s">
        <v>502</v>
      </c>
    </row>
    <row r="11" spans="1:2" ht="12.75">
      <c r="A11" s="245"/>
      <c r="B11" s="248"/>
    </row>
    <row r="12" spans="1:2" ht="12.75">
      <c r="A12" s="245"/>
      <c r="B12" s="247" t="s">
        <v>772</v>
      </c>
    </row>
    <row r="13" spans="1:2" ht="25.5">
      <c r="A13" s="245"/>
      <c r="B13" s="248" t="s">
        <v>328</v>
      </c>
    </row>
    <row r="14" spans="1:2" ht="42.75" customHeight="1">
      <c r="A14" s="245"/>
      <c r="B14" s="248" t="s">
        <v>327</v>
      </c>
    </row>
    <row r="15" spans="1:2" ht="16.5" customHeight="1">
      <c r="A15" s="245"/>
      <c r="B15" s="248" t="s">
        <v>1037</v>
      </c>
    </row>
    <row r="16" spans="1:2" ht="25.5">
      <c r="A16" s="245"/>
      <c r="B16" s="249" t="s">
        <v>322</v>
      </c>
    </row>
    <row r="17" spans="1:2" ht="38.25">
      <c r="A17" s="245"/>
      <c r="B17" s="249" t="s">
        <v>329</v>
      </c>
    </row>
    <row r="18" ht="11.25" customHeight="1">
      <c r="A18" s="245"/>
    </row>
    <row r="19" spans="1:2" ht="27" customHeight="1">
      <c r="A19" s="245"/>
      <c r="B19" s="248" t="s">
        <v>326</v>
      </c>
    </row>
    <row r="20" spans="1:2" ht="18" customHeight="1">
      <c r="A20" s="245"/>
      <c r="B20" s="248" t="s">
        <v>323</v>
      </c>
    </row>
    <row r="21" spans="1:2" ht="42.75" customHeight="1">
      <c r="A21" s="245"/>
      <c r="B21" s="248" t="s">
        <v>324</v>
      </c>
    </row>
    <row r="22" spans="1:2" ht="68.25" customHeight="1">
      <c r="A22" s="245"/>
      <c r="B22" s="248" t="s">
        <v>325</v>
      </c>
    </row>
    <row r="23" spans="1:2" ht="42" customHeight="1">
      <c r="A23" s="245"/>
      <c r="B23" s="248" t="s">
        <v>318</v>
      </c>
    </row>
    <row r="24" spans="1:2" ht="54.75" customHeight="1">
      <c r="A24" s="245"/>
      <c r="B24" s="248" t="s">
        <v>319</v>
      </c>
    </row>
    <row r="25" spans="1:2" ht="54" customHeight="1">
      <c r="A25" s="245"/>
      <c r="B25" s="248" t="s">
        <v>320</v>
      </c>
    </row>
    <row r="26" spans="1:2" ht="28.5" customHeight="1">
      <c r="A26" s="245"/>
      <c r="B26" s="248" t="s">
        <v>321</v>
      </c>
    </row>
    <row r="27" spans="1:2" ht="12.75">
      <c r="A27" s="245"/>
      <c r="B27" s="245"/>
    </row>
    <row r="28" spans="1:2" ht="12.75">
      <c r="A28" s="245"/>
      <c r="B28" s="245"/>
    </row>
    <row r="29" ht="12.75">
      <c r="A29" s="245"/>
    </row>
  </sheetData>
  <sheetProtection password="E84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P1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5.8515625" style="14" customWidth="1"/>
    <col min="2" max="2" width="18.140625" style="25" customWidth="1"/>
    <col min="3" max="3" width="10.28125" style="26" customWidth="1"/>
    <col min="4" max="4" width="12.00390625" style="27" bestFit="1" customWidth="1"/>
    <col min="5" max="16" width="9.140625" style="28" customWidth="1"/>
  </cols>
  <sheetData>
    <row r="1" spans="1:16" s="14" customFormat="1" ht="13.5" thickBot="1">
      <c r="A1" s="23" t="s">
        <v>781</v>
      </c>
      <c r="B1" s="23" t="s">
        <v>782</v>
      </c>
      <c r="C1" s="23" t="s">
        <v>593</v>
      </c>
      <c r="D1" s="24" t="s">
        <v>801</v>
      </c>
      <c r="E1" s="23"/>
      <c r="F1" s="23"/>
      <c r="G1" s="23"/>
      <c r="H1" s="23"/>
      <c r="I1" s="23"/>
      <c r="J1" s="23"/>
      <c r="K1" s="23"/>
      <c r="L1" s="23"/>
      <c r="M1" s="23"/>
      <c r="N1" s="25"/>
      <c r="O1" s="25"/>
      <c r="P1" s="25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2"/>
  <dimension ref="A1:C129"/>
  <sheetViews>
    <sheetView showFormulas="1" zoomScalePageLayoutView="0" workbookViewId="0" topLeftCell="A1">
      <selection activeCell="A26" sqref="A26"/>
    </sheetView>
  </sheetViews>
  <sheetFormatPr defaultColWidth="9.140625" defaultRowHeight="12.75"/>
  <cols>
    <col min="1" max="1" width="40.00390625" style="3" customWidth="1"/>
    <col min="2" max="2" width="39.57421875" style="3" bestFit="1" customWidth="1"/>
    <col min="3" max="3" width="39.421875" style="3" bestFit="1" customWidth="1"/>
    <col min="4" max="4" width="39.57421875" style="3" bestFit="1" customWidth="1"/>
    <col min="5" max="16384" width="9.140625" style="3" customWidth="1"/>
  </cols>
  <sheetData>
    <row r="1" ht="12">
      <c r="A1" s="3" t="str">
        <f>IF(ABS(Inm_7422-Inm_7420-Inm_7424-Inm_7426)&lt;=1,"OK","UB-IB ej lika med trans + omv")</f>
        <v>OK</v>
      </c>
    </row>
    <row r="2" ht="12">
      <c r="A2" s="3" t="str">
        <f>IF(ABS(Inm_7421-Inm_7427-Inm_7423-Inm_7425)&lt;=1,"OK","UB-IB ej lika med trans+omv")</f>
        <v>OK</v>
      </c>
    </row>
    <row r="3" spans="1:2" ht="12">
      <c r="A3" s="3" t="str">
        <f>IF(ABS(Inm_7429-Inm_7435-Inm_7431-Inm_7433)&lt;=1,"OK","UB-IB ej lika med trans+omv")</f>
        <v>OK</v>
      </c>
      <c r="B3" s="4">
        <f>HYPERLINK($G$9)</f>
      </c>
    </row>
    <row r="4" ht="12">
      <c r="A4" s="3" t="str">
        <f>IF(ABS(Inm_7428-Inm_7434-Inm_7430-Inm_7432)&lt;=1,"OK","UB-IB ej lika med trans + omv")</f>
        <v>OK</v>
      </c>
    </row>
    <row r="5" ht="12">
      <c r="A5" s="3" t="str">
        <f>IF(ABS(Inm_7469-Inm_7481-Inm_7473-Inm_7477)&lt;=1,"OK","UB-IB ej lika med trans+omv")</f>
        <v>OK</v>
      </c>
    </row>
    <row r="6" ht="12">
      <c r="A6" s="3" t="str">
        <f>IF(ABS(Inm_7570-Inm_7576-Inm_7572-Inm_7574)&lt;=1,"OK","UB-IB ej lika med trans + omv")</f>
        <v>OK</v>
      </c>
    </row>
    <row r="7" ht="12">
      <c r="A7" s="3" t="str">
        <f>IF(ABS(Inm_7470-Inm_7482-Inm_7474-Inm_7478)&lt;=1,"OK","UB-IB ej lika med trans + omv")</f>
        <v>OK</v>
      </c>
    </row>
    <row r="8" ht="12">
      <c r="A8" s="3" t="str">
        <f>IF(ABS(Inm_7578-Inm_7584-Inm_7580-Inm_7582)&lt;=1,"OK","UB-IB ej lika med trans + omv")</f>
        <v>OK</v>
      </c>
    </row>
    <row r="9" ht="12">
      <c r="A9" s="3" t="str">
        <f>IF(ABS(Inm_7471-Inm_7483-Inm_7475-Inm_7479)&lt;=1,"OK","UB-IB ej lika med trans + omv")</f>
        <v>OK</v>
      </c>
    </row>
    <row r="10" ht="12">
      <c r="A10" s="3" t="str">
        <f>IF(ABS(Inm_7468-Inm_7480-Inm_7472-Inm_7476)&lt;=1,"OK","UB-IB ej lika med trans + omv")</f>
        <v>OK</v>
      </c>
    </row>
    <row r="11" ht="12">
      <c r="A11" s="3" t="str">
        <f>IF(ABS(Inm_7444-Inm_7447-Inm_7445-Inm_7446)&lt;=1,"OK","UB-IB ej lika med trans + omv")</f>
        <v>OK</v>
      </c>
    </row>
    <row r="12" ht="12">
      <c r="A12" s="3" t="str">
        <f>IF(ABS(Inm_7453-Inm_7465-Inm_7457-Inm_7461)&lt;=1,"OK","UB-IB ej lika med trans+omv")</f>
        <v>OK</v>
      </c>
    </row>
    <row r="13" ht="12">
      <c r="A13" s="3" t="str">
        <f>IF(ABS(Inm_7569-Inm_7575-Inm_7571-Inm_7573)&lt;=1,"OK","UB-IB ej lika med trans+omv")</f>
        <v>OK</v>
      </c>
    </row>
    <row r="14" ht="12">
      <c r="A14" s="3" t="str">
        <f>IF(ABS(Inm_7454-Inm_7466-Inm_7458-Inm_7462)&lt;=1,"OK","UB-IB ej lika med trans + omv")</f>
        <v>OK</v>
      </c>
    </row>
    <row r="15" ht="12">
      <c r="A15" s="3" t="str">
        <f>IF(ABS(Inm_7577-Inm_7583-Inm_7579-Inm_7581)&lt;=1,"OK","UB-IB ej lika med trans+omv")</f>
        <v>OK</v>
      </c>
    </row>
    <row r="16" ht="12">
      <c r="A16" s="3" t="str">
        <f>IF(ABS(Inm_7455-Inm_7467-Inm_7459-Inm_7463)&lt;=1,"OK","UB-IB ej lika med trans+omv")</f>
        <v>OK</v>
      </c>
    </row>
    <row r="17" ht="12">
      <c r="A17" s="3" t="str">
        <f>IF(ABS(Inm_7452-Inm_7464-Inm_7456-Inm_7460)&lt;=1,"OK","UB-IB ej lika med trans + omv")</f>
        <v>OK</v>
      </c>
    </row>
    <row r="18" ht="12">
      <c r="A18" s="3" t="str">
        <f>IF(ABS(Inm_7448-Inm_7451-Inm_7449-Inm_7450)&lt;=1,"OK","UB-IB ej lika med trans + omv")</f>
        <v>OK</v>
      </c>
    </row>
    <row r="19" ht="12">
      <c r="A19" s="3" t="str">
        <f>IF(ABS(Inm_7485-Inm_7491-Inm_7487-Inm_7489)&lt;=1,"OK","UB-IB ej lika med trans + omv")</f>
        <v>OK</v>
      </c>
    </row>
    <row r="20" ht="12">
      <c r="A20" s="3" t="str">
        <f>IF(ABS(Inm_7484-Inm_7490-Inm_7486-Inm_7488)&lt;=1,"OK","UB-IB ej lika med trans + omv")</f>
        <v>OK</v>
      </c>
    </row>
    <row r="21" ht="12">
      <c r="A21" s="3" t="str">
        <f>IF(ABS(Inm_7493-Inm_7499-Inm_7495-Inm_7497)&lt;=1,"OK","UB-IB ej lika med trans + omv")</f>
        <v>OK</v>
      </c>
    </row>
    <row r="22" spans="1:3" ht="12">
      <c r="A22" s="3" t="str">
        <f>IF(ABS(Inm_7492-Inm_7498-Inm_7494-Inm_7496)&lt;=1,"OK","UB-IB ej lika med trans + omv")</f>
        <v>OK</v>
      </c>
      <c r="C22" s="5"/>
    </row>
    <row r="23" spans="1:3" ht="12">
      <c r="A23" s="3" t="str">
        <f>IF(ABS(Inm_20081-Inm_20084-Inm_20075-Inm_20078)&lt;=1,"OK","UB-IB ej lika med trans + omv")</f>
        <v>OK</v>
      </c>
      <c r="C23" s="5"/>
    </row>
    <row r="24" spans="1:3" ht="12">
      <c r="A24" s="3" t="str">
        <f>IF(ABS(Inm_20082-Inm_20085-Inm_20076-Inm_20079)&lt;=1,"OK","UB-IB ej lika med trans + omv")</f>
        <v>OK</v>
      </c>
      <c r="C24" s="5"/>
    </row>
    <row r="25" ht="12">
      <c r="A25" s="3" t="str">
        <f>IF(ABS(Inm_7500-Inm_7503-Inm_7501-Inm_7502)&lt;=1,"OK","UB-IB ej lika med trans + omv")</f>
        <v>OK</v>
      </c>
    </row>
    <row r="26" ht="12">
      <c r="A26" s="3" t="str">
        <f>IF(ABS(Inm_20080-Inm_20083-Inm_20074-Inm_20077)&lt;=1,"OK","UB-IB ej lika med trans + omv")</f>
        <v>OK</v>
      </c>
    </row>
    <row r="27" ht="12">
      <c r="A27" s="3" t="str">
        <f>IF(ABS(Inm_7500-Inm_7503-Inm_7501-Inm_7502)&lt;=1,"OK","UB-IB ej lika med trans + omv")</f>
        <v>OK</v>
      </c>
    </row>
    <row r="28" ht="12">
      <c r="A28" s="3" t="str">
        <f>IF(ABS(Inm_7586-Inm_7589-Inm_7587-Inm_7588)&lt;=1,"OK","UB-IB ej lika med trans+omv")</f>
        <v>OK</v>
      </c>
    </row>
    <row r="29" ht="12">
      <c r="A29" s="3" t="str">
        <f>IF(ABS(Inm_7590-Inm_7593-Inm_7591-Inm_7592)&lt;=1,"OK","UB-IB ej lika med trans + omv")</f>
        <v>OK</v>
      </c>
    </row>
    <row r="30" ht="12">
      <c r="A30" s="3" t="str">
        <f>IF(ABS(Inm_7594-Inm_7597-Inm_7595-Inm_7596)&lt;=1,"OK","UB-IB ej lika med trans + omv")</f>
        <v>OK</v>
      </c>
    </row>
    <row r="31" ht="12">
      <c r="A31" s="3" t="str">
        <f>IF(ABS(Inm_7598-Inm_7601-Inm_7599-Inm_7600)&lt;=1,"OK","UB-IB ej lika med trans + omv")</f>
        <v>OK</v>
      </c>
    </row>
    <row r="32" ht="12">
      <c r="A32" s="3" t="str">
        <f>IF(ABS(Inm_7504-Inm_7507-Inm_7505-Inm_7506)&lt;=1,"OK","UB-IB ej lika med trans + omv")</f>
        <v>OK</v>
      </c>
    </row>
    <row r="33" ht="12">
      <c r="A33" s="3" t="str">
        <f>IF(ABS(Inm_7508-Inm_7511-Inm_7509-Inm_7510)&lt;=1,"OK","UB-IB ej lika med trans + omv")</f>
        <v>OK</v>
      </c>
    </row>
    <row r="34" ht="12">
      <c r="A34" s="3" t="str">
        <f>IF(ABS(Inm_7527-Inm_7533-Inm_7529-Inm_7531)&lt;=1,"OK","UB-IB ej lika med trans + omv")</f>
        <v>OK</v>
      </c>
    </row>
    <row r="35" ht="12">
      <c r="A35" s="3" t="str">
        <f>IF(ABS(Inm_7526-Inm_7532-Inm_7528-Inm_7530)&lt;=1,"OK","UB-IB ej lika med trans + omv")</f>
        <v>OK</v>
      </c>
    </row>
    <row r="36" ht="12">
      <c r="A36" s="3" t="str">
        <f>IF(ABS(Inm_7535-Inm_7541-Inm_7537-Inm_7539)&lt;=1,"OK","UB-IB ej lika med trans + omv")</f>
        <v>OK</v>
      </c>
    </row>
    <row r="37" ht="12">
      <c r="A37" s="3" t="str">
        <f>IF(ABS(Inm_7534-Inm_7540-Inm_7536-Inm_7538)&lt;=1,"OK","UB-IB ej lika med trans + omv")</f>
        <v>OK</v>
      </c>
    </row>
    <row r="38" ht="12">
      <c r="A38" s="3" t="str">
        <f>IF(ABS(Inm_7542-Inm_7545-Inm_7543-Inm_7544)&lt;=1,"OK","UB-IB ej lika med trans + omv")</f>
        <v>OK</v>
      </c>
    </row>
    <row r="39" ht="12">
      <c r="A39" s="3" t="str">
        <f>IF(ABS(Inm_7547-Inm_7553-Inm_7549-Inm_7551)&lt;=1,"OK","UB-IB ej lika med trans + omv")</f>
        <v>OK</v>
      </c>
    </row>
    <row r="40" ht="12">
      <c r="A40" s="3" t="str">
        <f>IF(ABS(Inm_7546-Inm_7552-Inm_7548-Inm_7550)&lt;=1,"OK","UB-IB ej lika med trans + omv")</f>
        <v>OK</v>
      </c>
    </row>
    <row r="41" ht="12">
      <c r="A41" s="3" t="str">
        <f>IF(ABS(Inm_7555-Inm_7561-Inm_7557-Inm_7559)&lt;=1,"OK","UB-IB ej lika med trans + omv")</f>
        <v>OK</v>
      </c>
    </row>
    <row r="42" ht="12">
      <c r="A42" s="3" t="str">
        <f>IF(ABS(Inm_7554-Inm_7560-Inm_7556-Inm_7558)&lt;=1,"OK","UB-IB ej lika med trans + omv")</f>
        <v>OK</v>
      </c>
    </row>
    <row r="43" ht="12">
      <c r="A43" s="3" t="str">
        <f>IF(ABS(Inm_7562-Inm_7565-Inm_7563-Inm_7564)&lt;=1,"OK","UB-IB ej lika med trans + omv")</f>
        <v>OK</v>
      </c>
    </row>
    <row r="44" ht="12">
      <c r="A44" s="3" t="str">
        <f>IF(Inm_7435&gt;=0,"OK","IB får ej vara negativt")</f>
        <v>OK</v>
      </c>
    </row>
    <row r="45" ht="12">
      <c r="A45" s="3" t="str">
        <f>IF(Inm_7429&gt;=0,"OK","UB får ej vara negativt")</f>
        <v>OK</v>
      </c>
    </row>
    <row r="46" ht="12">
      <c r="A46" s="3" t="str">
        <f>IF(Inm_7434&gt;=0,"OK","IB får ej vara negativt")</f>
        <v>OK</v>
      </c>
    </row>
    <row r="47" ht="12">
      <c r="A47" s="3" t="str">
        <f>IF(Inm_7428&gt;=0,"OK","UB får ej vara negativt")</f>
        <v>OK</v>
      </c>
    </row>
    <row r="48" ht="12">
      <c r="A48" s="3" t="str">
        <f>IF(Inm_7481&gt;=0,"OK","IB får ej vara negativt")</f>
        <v>OK</v>
      </c>
    </row>
    <row r="49" ht="12">
      <c r="A49" s="3" t="str">
        <f>IF(Inm_7469&gt;=0,"OK","UB får ej vara negativt")</f>
        <v>OK</v>
      </c>
    </row>
    <row r="50" ht="12">
      <c r="A50" s="3" t="str">
        <f>IF(Inm_7576&gt;=0,"OK","IB får ej vara negativt")</f>
        <v>OK</v>
      </c>
    </row>
    <row r="51" ht="12">
      <c r="A51" s="3" t="str">
        <f>IF(Inm_7570&gt;=0,"OK","UB får ej vara negativt")</f>
        <v>OK</v>
      </c>
    </row>
    <row r="52" ht="12">
      <c r="A52" s="3" t="str">
        <f>IF(Inm_7482&gt;=0,"OK","IB får ej vara negativt")</f>
        <v>OK</v>
      </c>
    </row>
    <row r="53" ht="12">
      <c r="A53" s="3" t="str">
        <f>IF(Inm_7470&gt;=0,"OK","UB får ej vara negativt")</f>
        <v>OK</v>
      </c>
    </row>
    <row r="54" ht="12">
      <c r="A54" s="3" t="str">
        <f>IF(Inm_7584&gt;=0,"OK","IB får ej vara negativt")</f>
        <v>OK</v>
      </c>
    </row>
    <row r="55" ht="12">
      <c r="A55" s="3" t="str">
        <f>IF(Inm_7578&gt;=0,"OK","UB får ej vara negativt")</f>
        <v>OK</v>
      </c>
    </row>
    <row r="56" ht="12">
      <c r="A56" s="3" t="str">
        <f>IF(Inm_7483&gt;=0,"OK","IB får ej vara negativt")</f>
        <v>OK</v>
      </c>
    </row>
    <row r="57" ht="12">
      <c r="A57" s="3" t="str">
        <f>IF(Inm_7471&gt;=0,"OK","UB får ej vara negativt")</f>
        <v>OK</v>
      </c>
    </row>
    <row r="58" ht="12">
      <c r="A58" s="3" t="str">
        <f>IF(Inm_7480&gt;=0,"OK","IB får ej vara negativt")</f>
        <v>OK</v>
      </c>
    </row>
    <row r="59" ht="12">
      <c r="A59" s="3" t="str">
        <f>IF(Inm_7468&gt;=0,"OK","UB får ej vara negativt")</f>
        <v>OK</v>
      </c>
    </row>
    <row r="60" ht="12">
      <c r="A60" s="3" t="str">
        <f>IF(Inm_7447&gt;=0,"OK","IB får ej vara negativt")</f>
        <v>OK</v>
      </c>
    </row>
    <row r="61" ht="12">
      <c r="A61" s="3" t="str">
        <f>IF(Inm_7444&gt;=0,"OK","UB får ej vara negativt")</f>
        <v>OK</v>
      </c>
    </row>
    <row r="62" ht="12">
      <c r="A62" s="3" t="str">
        <f>IF(Inm_7465&gt;=0,"OK","IB får ej vara negativt")</f>
        <v>OK</v>
      </c>
    </row>
    <row r="63" ht="12">
      <c r="A63" s="3" t="str">
        <f>IF(Inm_7453&gt;=0,"OK","UB får ej vara negativt")</f>
        <v>OK</v>
      </c>
    </row>
    <row r="64" ht="12">
      <c r="A64" s="3" t="str">
        <f>IF(Inm_7575&gt;=0,"OK","IB får ej vara negativt")</f>
        <v>OK</v>
      </c>
    </row>
    <row r="65" ht="12">
      <c r="A65" s="3" t="str">
        <f>IF(Inm_7569&gt;=0,"OK","UB får ej vara negativt")</f>
        <v>OK</v>
      </c>
    </row>
    <row r="66" ht="12">
      <c r="A66" s="3" t="str">
        <f>IF(Inm_7466&gt;=0,"OK","IB får ej vara negativt")</f>
        <v>OK</v>
      </c>
    </row>
    <row r="67" ht="12">
      <c r="A67" s="3" t="str">
        <f>IF(Inm_7454&gt;=0,"OK","UB får ej vara negativt")</f>
        <v>OK</v>
      </c>
    </row>
    <row r="68" ht="12">
      <c r="A68" s="3" t="str">
        <f>IF(Inm_7583&gt;=0,"OK","IB får ej vara negativt")</f>
        <v>OK</v>
      </c>
    </row>
    <row r="69" ht="12">
      <c r="A69" s="3" t="str">
        <f>IF(Inm_7577&gt;=0,"OK","UB får ej vara negativt")</f>
        <v>OK</v>
      </c>
    </row>
    <row r="70" ht="12">
      <c r="A70" s="3" t="str">
        <f>IF(Inm_7467&gt;=0,"OK","IB får ej vara negativt")</f>
        <v>OK</v>
      </c>
    </row>
    <row r="71" ht="12">
      <c r="A71" s="3" t="str">
        <f>IF(Inm_7455&gt;=0,"OK","UB får ej vara negativt")</f>
        <v>OK</v>
      </c>
    </row>
    <row r="72" ht="12">
      <c r="A72" s="3" t="str">
        <f>IF(Inm_7464&gt;=0,"OK","IB får ej vara negativt")</f>
        <v>OK</v>
      </c>
    </row>
    <row r="73" ht="12">
      <c r="A73" s="3" t="str">
        <f>IF(Inm_7452&gt;=0,"OK","UB får ej vara negativt")</f>
        <v>OK</v>
      </c>
    </row>
    <row r="74" ht="12">
      <c r="A74" s="3" t="str">
        <f>IF(Inm_7451&gt;=0,"OK","IB får ej vara negativt")</f>
        <v>OK</v>
      </c>
    </row>
    <row r="75" ht="12">
      <c r="A75" s="3" t="str">
        <f>IF(Inm_7448&gt;=0,"OK","UB får ej vara negativt")</f>
        <v>OK</v>
      </c>
    </row>
    <row r="76" ht="12">
      <c r="A76" s="3" t="str">
        <f>IF(Inm_7589&gt;=0,"OK","IB får ej vara negativt")</f>
        <v>OK</v>
      </c>
    </row>
    <row r="77" ht="12">
      <c r="A77" s="3" t="str">
        <f>IF(Inm_7586&gt;=0,"OK","UB får ej vara negativt")</f>
        <v>OK</v>
      </c>
    </row>
    <row r="78" ht="12">
      <c r="A78" s="3" t="str">
        <f>IF(Inm_7593&gt;=0,"OK","IB får ej vara negativt")</f>
        <v>OK</v>
      </c>
    </row>
    <row r="79" ht="12">
      <c r="A79" s="3" t="str">
        <f>IF(Inm_7590&gt;=0,"OK","UB får ej vara negativt")</f>
        <v>OK</v>
      </c>
    </row>
    <row r="80" ht="12">
      <c r="A80" s="3" t="str">
        <f>IF(Inm_7597&gt;=0,"OK","IB får ej vara negativt")</f>
        <v>OK</v>
      </c>
    </row>
    <row r="81" ht="12">
      <c r="A81" s="3" t="str">
        <f>IF(Inm_7594&gt;=0,"OK","UB får ej vara negativt")</f>
        <v>OK</v>
      </c>
    </row>
    <row r="82" ht="12">
      <c r="A82" s="3" t="str">
        <f>IF(Inm_7601&gt;=0,"OK","IB får ej vara negativt")</f>
        <v>OK</v>
      </c>
    </row>
    <row r="83" ht="12">
      <c r="A83" s="3" t="str">
        <f>IF(Inm_7598&gt;=0,"OK","UB får ej vara negativt")</f>
        <v>OK</v>
      </c>
    </row>
    <row r="84" ht="12">
      <c r="A84" s="3" t="str">
        <f>IF(Inm_7507&gt;=0,"OK","IB får ej vara negativt")</f>
        <v>OK</v>
      </c>
    </row>
    <row r="85" ht="12">
      <c r="A85" s="3" t="str">
        <f>IF(Inm_7504&gt;=0,"OK","UB får ej vara negativt")</f>
        <v>OK</v>
      </c>
    </row>
    <row r="86" ht="12">
      <c r="A86" s="3" t="str">
        <f>IF(Inm_7511&gt;=0,"OK","IB får ej vara negativt")</f>
        <v>OK</v>
      </c>
    </row>
    <row r="87" ht="12">
      <c r="A87" s="3" t="str">
        <f>IF(Inm_7508&gt;=0,"OK","UB får ej vara negativt")</f>
        <v>OK</v>
      </c>
    </row>
    <row r="88" ht="12">
      <c r="A88" s="3" t="str">
        <f>IF(Inm_7602&gt;=0,"OK","IB får ej vara negativt")</f>
        <v>OK</v>
      </c>
    </row>
    <row r="89" ht="12">
      <c r="A89" s="3" t="str">
        <f>IF(Inm_7603&gt;=0,"OK","UB får ej vara negativt")</f>
        <v>OK</v>
      </c>
    </row>
    <row r="90" ht="12">
      <c r="A90" s="3" t="str">
        <f>IF(Inm_7607&gt;=0,"OK","IB får ej vara negativt")</f>
        <v>OK</v>
      </c>
    </row>
    <row r="91" ht="12">
      <c r="A91" s="3" t="str">
        <f>IF(Inm_7605&gt;=0,"OK","UB får ej vara negativt")</f>
        <v>OK</v>
      </c>
    </row>
    <row r="92" ht="12">
      <c r="A92" s="3" t="str">
        <f>IF(Inm_7613&gt;=0,"OK","IB får ej vara negativt")</f>
        <v>OK</v>
      </c>
    </row>
    <row r="93" ht="12">
      <c r="A93" s="3" t="str">
        <f>IF(Inm_7609&gt;=0,"OK","UB får ej vara negativt")</f>
        <v>OK</v>
      </c>
    </row>
    <row r="94" ht="12">
      <c r="A94" s="3" t="str">
        <f>IF(Inm_7612&gt;=0,"OK","IB får ej vara negativt")</f>
        <v>OK</v>
      </c>
    </row>
    <row r="95" ht="12">
      <c r="A95" s="3" t="str">
        <f>IF(Inm_7608&gt;=0,"OK","UB får ej vara negativt")</f>
        <v>OK</v>
      </c>
    </row>
    <row r="96" ht="12">
      <c r="A96" s="3" t="str">
        <f>IF(Inm_7517&gt;=0,"OK","IB får ej vara negativt")</f>
        <v>OK</v>
      </c>
    </row>
    <row r="97" ht="12">
      <c r="A97" s="3" t="str">
        <f>IF(Inm_7515&gt;=0,"OK","UB får ej vara negativt")</f>
        <v>OK</v>
      </c>
    </row>
    <row r="98" ht="12">
      <c r="A98" s="3" t="str">
        <f>IF(Inm_7514&gt;=0,"OK","IB får ej vara negativt")</f>
        <v>OK</v>
      </c>
    </row>
    <row r="99" ht="12">
      <c r="A99" s="3" t="str">
        <f>IF(Inm_7512&gt;=0,"OK","UB får ej vara negativt")</f>
        <v>OK</v>
      </c>
    </row>
    <row r="100" ht="12">
      <c r="A100" s="3" t="str">
        <f>IF(Inm_7533&gt;=0,"OK","IB får ej vara negativt")</f>
        <v>OK</v>
      </c>
    </row>
    <row r="101" ht="12">
      <c r="A101" s="3" t="str">
        <f>IF(Inm_7527&gt;=0,"OK","UB får ej vara negativt")</f>
        <v>OK</v>
      </c>
    </row>
    <row r="102" ht="12">
      <c r="A102" s="3" t="str">
        <f>IF(Inm_7532&gt;=0,"OK","IB får ej vara negativt")</f>
        <v>OK</v>
      </c>
    </row>
    <row r="103" ht="12">
      <c r="A103" s="3" t="str">
        <f>IF(Inm_7526&gt;=0,"OK","UB får ej vara negativt")</f>
        <v>OK</v>
      </c>
    </row>
    <row r="104" ht="12">
      <c r="A104" s="3" t="str">
        <f>IF(Inm_7541&gt;=0,"OK","IB får ej vara negativt")</f>
        <v>OK</v>
      </c>
    </row>
    <row r="105" ht="12">
      <c r="A105" s="3" t="str">
        <f>IF(Inm_7535&gt;=0,"OK","UB får ej vara negativt")</f>
        <v>OK</v>
      </c>
    </row>
    <row r="106" ht="12">
      <c r="A106" s="3" t="str">
        <f>IF(Inm_7540&gt;=0,"OK","IB får ej vara negativt")</f>
        <v>OK</v>
      </c>
    </row>
    <row r="107" ht="12">
      <c r="A107" s="3" t="str">
        <f>IF(Inm_7534&gt;=0,"OK","UB får ej vara negativt")</f>
        <v>OK</v>
      </c>
    </row>
    <row r="108" ht="12">
      <c r="A108" s="3" t="str">
        <f>IF(Inm_7545&gt;=0,"OK","IB får ej vara negativt")</f>
        <v>OK</v>
      </c>
    </row>
    <row r="109" ht="12">
      <c r="A109" s="3" t="str">
        <f>IF(Inm_7542&gt;=0,"OK","UB får ej vara negativt")</f>
        <v>OK</v>
      </c>
    </row>
    <row r="110" ht="12">
      <c r="A110" s="3" t="str">
        <f>IF(Inm_7568&gt;=0,"OK","IB får ej vara negativt")</f>
        <v>OK</v>
      </c>
    </row>
    <row r="111" ht="12">
      <c r="A111" s="3" t="str">
        <f>IF(Inm_7566&gt;=0,"OK","UB får ej vara negativt")</f>
        <v>OK</v>
      </c>
    </row>
    <row r="112" ht="12">
      <c r="A112" s="3" t="str">
        <f>IF(Inm_7435-Inm_7434&gt;=0,"OK","IB &lt; därav IB")</f>
        <v>OK</v>
      </c>
    </row>
    <row r="113" ht="12">
      <c r="A113" s="3" t="str">
        <f>IF(Inm_7429-Inm_7428&gt;=0,"OK","UB &lt; därav UB")</f>
        <v>OK</v>
      </c>
    </row>
    <row r="114" ht="12">
      <c r="A114" s="3" t="str">
        <f>IF(Inm_7589-Inm_7593&gt;=0,"OK","IB &lt; därav IB")</f>
        <v>OK</v>
      </c>
    </row>
    <row r="115" ht="12">
      <c r="A115" s="3" t="str">
        <f>IF(Inm_7586-Inm_7590&gt;=0,"OK","UB &lt; därav UB")</f>
        <v>OK</v>
      </c>
    </row>
    <row r="116" ht="12">
      <c r="A116" s="3" t="str">
        <f>IF(Inm_7597-Inm_7601&gt;=0,"OK","IB &lt; därav IB")</f>
        <v>OK</v>
      </c>
    </row>
    <row r="117" ht="12">
      <c r="A117" s="3" t="str">
        <f>IF(Inm_7594-Inm_7598&gt;=0,"OK","UB &lt; därav UB")</f>
        <v>OK</v>
      </c>
    </row>
    <row r="118" ht="12">
      <c r="A118" s="3" t="str">
        <f>IF(Inm_7602-Inm_7607&gt;=0,"OK","Nyteckning &lt; därav Nyteckning")</f>
        <v>OK</v>
      </c>
    </row>
    <row r="119" ht="12">
      <c r="A119" s="3" t="str">
        <f>IF(Inm_7603-Inm_7605&gt;=0,"OK","Inlösen &lt; därav Inlösen")</f>
        <v>OK</v>
      </c>
    </row>
    <row r="120" ht="12">
      <c r="A120" s="3" t="str">
        <f>IF(Inm_7604-Inm_7606&gt;=0,"OK","Lämnade aktieägartillskott &lt; därav Lämnade aktieägartillskott ")</f>
        <v>OK</v>
      </c>
    </row>
    <row r="121" ht="12">
      <c r="A121" s="3" t="str">
        <f>IF(Inm_7613-Inm_7612&gt;=0,"OK","Nyteckning &lt; därav Nyteckning")</f>
        <v>OK</v>
      </c>
    </row>
    <row r="122" ht="12">
      <c r="A122" s="3" t="str">
        <f>IF(Inm_7609-Inm_7608&gt;=0,"OK","Inlösen &lt; därav Inlösen")</f>
        <v>OK</v>
      </c>
    </row>
    <row r="123" ht="12">
      <c r="A123" s="3" t="str">
        <f>IF(Inm_7611-Inm_7610&gt;=0,"OK","Lämnade aktieägartillskott &lt; därav Lämnade aktieägartillskott")</f>
        <v>OK</v>
      </c>
    </row>
    <row r="124" ht="12">
      <c r="A124" s="3" t="str">
        <f>IF(Inm_7533-Inm_7532&gt;=0,"OK","IB &lt; därav IB")</f>
        <v>OK</v>
      </c>
    </row>
    <row r="125" ht="12">
      <c r="A125" s="3" t="str">
        <f>IF(Inm_7527-Inm_7526&gt;=0,"OK","UB &lt; därav UB")</f>
        <v>OK</v>
      </c>
    </row>
    <row r="126" ht="12">
      <c r="A126" s="3" t="str">
        <f>IF(Inm_7541-Inm_7540&gt;=0,"OK","IB &lt; därav IB")</f>
        <v>OK</v>
      </c>
    </row>
    <row r="127" ht="12">
      <c r="A127" s="3" t="str">
        <f>IF(Inm_7535-Inm_7534&gt;=0,"OK","UB &lt; därav UB")</f>
        <v>OK</v>
      </c>
    </row>
    <row r="128" ht="12">
      <c r="A128" s="3" t="str">
        <f>IF(Inm_7614&gt;=0,"OK"," Antal får ej vara negativt")</f>
        <v>OK</v>
      </c>
    </row>
    <row r="129" ht="12">
      <c r="A129" s="3" t="str">
        <f>IF(OR(AND(Inm_7614="",Inm_7585=""),AND(Inm_7614&lt;&gt;"",Inm_7585&lt;&gt;"")),"OK","Ej korrekt ifyllt")</f>
        <v>OK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0"/>
  <dimension ref="A1:AA208"/>
  <sheetViews>
    <sheetView zoomScalePageLayoutView="0" workbookViewId="0" topLeftCell="A1">
      <pane ySplit="495" topLeftCell="A1" activePane="bottomLeft" state="split"/>
      <selection pane="topLeft" activeCell="T1" sqref="T1:T16384"/>
      <selection pane="bottomLeft" activeCell="C2" sqref="C2"/>
    </sheetView>
  </sheetViews>
  <sheetFormatPr defaultColWidth="9.140625" defaultRowHeight="12.75"/>
  <cols>
    <col min="1" max="1" width="9.57421875" style="9" customWidth="1"/>
    <col min="2" max="2" width="9.140625" style="9" customWidth="1"/>
    <col min="3" max="3" width="33.7109375" style="10" customWidth="1"/>
    <col min="4" max="4" width="21.140625" style="10" customWidth="1"/>
    <col min="5" max="15" width="6.7109375" style="6" customWidth="1"/>
    <col min="16" max="16" width="18.421875" style="7" customWidth="1"/>
    <col min="17" max="17" width="9.140625" style="8" customWidth="1"/>
    <col min="18" max="18" width="9.140625" style="11" customWidth="1"/>
    <col min="19" max="19" width="35.7109375" style="12" customWidth="1"/>
    <col min="20" max="20" width="10.421875" style="6" customWidth="1"/>
    <col min="21" max="26" width="9.140625" style="3" customWidth="1"/>
    <col min="27" max="27" width="3.421875" style="3" customWidth="1"/>
    <col min="28" max="28" width="26.7109375" style="3" customWidth="1"/>
    <col min="29" max="29" width="14.8515625" style="3" bestFit="1" customWidth="1"/>
    <col min="30" max="30" width="25.7109375" style="3" customWidth="1"/>
    <col min="31" max="31" width="26.7109375" style="3" bestFit="1" customWidth="1"/>
    <col min="32" max="32" width="26.7109375" style="3" customWidth="1"/>
    <col min="33" max="33" width="26.7109375" style="3" bestFit="1" customWidth="1"/>
    <col min="34" max="35" width="26.7109375" style="3" customWidth="1"/>
    <col min="36" max="36" width="26.7109375" style="3" bestFit="1" customWidth="1"/>
    <col min="37" max="37" width="26.7109375" style="3" customWidth="1"/>
    <col min="38" max="84" width="26.7109375" style="3" bestFit="1" customWidth="1"/>
    <col min="85" max="86" width="26.7109375" style="3" customWidth="1"/>
    <col min="87" max="88" width="25.7109375" style="3" customWidth="1"/>
    <col min="89" max="89" width="14.8515625" style="3" bestFit="1" customWidth="1"/>
    <col min="90" max="16384" width="9.140625" style="3" customWidth="1"/>
  </cols>
  <sheetData>
    <row r="1" spans="1:27" s="22" customFormat="1" ht="12">
      <c r="A1" s="15" t="s">
        <v>783</v>
      </c>
      <c r="B1" s="15" t="s">
        <v>784</v>
      </c>
      <c r="C1" s="16" t="s">
        <v>796</v>
      </c>
      <c r="D1" s="16" t="s">
        <v>797</v>
      </c>
      <c r="E1" s="17" t="s">
        <v>785</v>
      </c>
      <c r="F1" s="17" t="s">
        <v>786</v>
      </c>
      <c r="G1" s="17" t="s">
        <v>787</v>
      </c>
      <c r="H1" s="17" t="s">
        <v>788</v>
      </c>
      <c r="I1" s="17" t="s">
        <v>789</v>
      </c>
      <c r="J1" s="17" t="s">
        <v>790</v>
      </c>
      <c r="K1" s="17" t="s">
        <v>791</v>
      </c>
      <c r="L1" s="17" t="s">
        <v>792</v>
      </c>
      <c r="M1" s="17" t="s">
        <v>793</v>
      </c>
      <c r="N1" s="17" t="s">
        <v>794</v>
      </c>
      <c r="O1" s="17" t="s">
        <v>795</v>
      </c>
      <c r="P1" s="18" t="s">
        <v>798</v>
      </c>
      <c r="Q1" s="19" t="s">
        <v>800</v>
      </c>
      <c r="R1" s="20" t="s">
        <v>799</v>
      </c>
      <c r="S1" s="21" t="s">
        <v>781</v>
      </c>
      <c r="T1" s="17" t="s">
        <v>592</v>
      </c>
      <c r="AA1" s="22" t="s">
        <v>753</v>
      </c>
    </row>
    <row r="2" spans="1:20" ht="12">
      <c r="A2" s="9">
        <f>IF(ISBLANK(Inm_7420),"",$T$2*Inm_7420)</f>
      </c>
      <c r="B2" s="9">
        <v>7420</v>
      </c>
      <c r="C2" s="10" t="s">
        <v>676</v>
      </c>
      <c r="D2" s="10" t="s">
        <v>999</v>
      </c>
      <c r="E2" s="6">
        <v>2</v>
      </c>
      <c r="F2" s="6" t="s">
        <v>668</v>
      </c>
      <c r="G2" s="6" t="s">
        <v>669</v>
      </c>
      <c r="H2" s="6" t="s">
        <v>670</v>
      </c>
      <c r="I2" s="6" t="s">
        <v>670</v>
      </c>
      <c r="J2" s="6" t="s">
        <v>670</v>
      </c>
      <c r="K2" s="6" t="s">
        <v>677</v>
      </c>
      <c r="L2" s="6" t="s">
        <v>672</v>
      </c>
      <c r="M2" s="6" t="s">
        <v>673</v>
      </c>
      <c r="N2" s="6" t="s">
        <v>674</v>
      </c>
      <c r="O2" s="6" t="s">
        <v>668</v>
      </c>
      <c r="P2" s="7" t="e">
        <f>VLOOKUP(B2,Import!A$1:B$20000,2,FALSE)</f>
        <v>#N/A</v>
      </c>
      <c r="Q2" s="8" t="s">
        <v>675</v>
      </c>
      <c r="R2" s="11" t="e">
        <f>VLOOKUP(S2,Import!A$1:B$20000,2,FALSE)</f>
        <v>#N/A</v>
      </c>
      <c r="S2" s="12" t="str">
        <f aca="true" t="shared" si="0" ref="S2:S29">CONCATENATE(E2,"_",F2,"_",G2,"_",H2,"_",I2,"_",J2,"_",K2,"_",L2,"_",M2,"_",N2,"_",O2)</f>
        <v>2_A_B11_X_X_X_5J_N_V_B_A</v>
      </c>
      <c r="T2" s="6">
        <v>1000</v>
      </c>
    </row>
    <row r="3" spans="1:20" ht="12">
      <c r="A3" s="9">
        <f>IF(ISBLANK(Inm_7422),"",$T$3*Inm_7422)</f>
      </c>
      <c r="B3" s="9">
        <v>7422</v>
      </c>
      <c r="C3" s="10" t="s">
        <v>667</v>
      </c>
      <c r="D3" s="10" t="s">
        <v>1001</v>
      </c>
      <c r="E3" s="6">
        <v>5</v>
      </c>
      <c r="F3" s="6" t="s">
        <v>668</v>
      </c>
      <c r="G3" s="6" t="s">
        <v>669</v>
      </c>
      <c r="H3" s="6" t="s">
        <v>670</v>
      </c>
      <c r="I3" s="6" t="s">
        <v>670</v>
      </c>
      <c r="J3" s="6" t="s">
        <v>670</v>
      </c>
      <c r="K3" s="6" t="s">
        <v>677</v>
      </c>
      <c r="L3" s="6" t="s">
        <v>672</v>
      </c>
      <c r="M3" s="6" t="s">
        <v>673</v>
      </c>
      <c r="N3" s="6" t="s">
        <v>674</v>
      </c>
      <c r="O3" s="6" t="s">
        <v>668</v>
      </c>
      <c r="P3" s="7" t="e">
        <f>VLOOKUP(B3,Import!A$1:B$20000,2,FALSE)</f>
        <v>#N/A</v>
      </c>
      <c r="Q3" s="8" t="s">
        <v>675</v>
      </c>
      <c r="R3" s="11" t="e">
        <f>VLOOKUP(S3,Import!A$1:B$20000,2,FALSE)</f>
        <v>#N/A</v>
      </c>
      <c r="S3" s="12" t="str">
        <f t="shared" si="0"/>
        <v>5_A_B11_X_X_X_5J_N_V_B_A</v>
      </c>
      <c r="T3" s="6">
        <v>1000</v>
      </c>
    </row>
    <row r="4" spans="1:20" ht="12">
      <c r="A4" s="9">
        <f>IF(ISBLANK(Inm_7424),"",$T$4*Inm_7424)</f>
      </c>
      <c r="B4" s="9">
        <v>7424</v>
      </c>
      <c r="C4" s="10" t="s">
        <v>667</v>
      </c>
      <c r="D4" s="10" t="s">
        <v>1003</v>
      </c>
      <c r="E4" s="6">
        <v>4</v>
      </c>
      <c r="F4" s="6" t="s">
        <v>668</v>
      </c>
      <c r="G4" s="6" t="s">
        <v>669</v>
      </c>
      <c r="H4" s="6" t="s">
        <v>670</v>
      </c>
      <c r="I4" s="6" t="s">
        <v>670</v>
      </c>
      <c r="J4" s="6" t="s">
        <v>670</v>
      </c>
      <c r="K4" s="6" t="s">
        <v>677</v>
      </c>
      <c r="L4" s="6" t="s">
        <v>672</v>
      </c>
      <c r="M4" s="6" t="s">
        <v>673</v>
      </c>
      <c r="N4" s="6" t="s">
        <v>674</v>
      </c>
      <c r="O4" s="6" t="s">
        <v>668</v>
      </c>
      <c r="P4" s="7" t="e">
        <f>VLOOKUP(B4,Import!A$1:B$20000,2,FALSE)</f>
        <v>#N/A</v>
      </c>
      <c r="Q4" s="8" t="s">
        <v>675</v>
      </c>
      <c r="R4" s="11" t="e">
        <f>VLOOKUP(S4,Import!A$1:B$20000,2,FALSE)</f>
        <v>#N/A</v>
      </c>
      <c r="S4" s="12" t="str">
        <f t="shared" si="0"/>
        <v>4_A_B11_X_X_X_5J_N_V_B_A</v>
      </c>
      <c r="T4" s="6">
        <v>1000</v>
      </c>
    </row>
    <row r="5" spans="1:20" ht="12">
      <c r="A5" s="9">
        <f>IF(ISBLANK(Inm_7426),"",$T$5*Inm_7426)</f>
      </c>
      <c r="B5" s="9">
        <v>7426</v>
      </c>
      <c r="C5" s="10" t="s">
        <v>667</v>
      </c>
      <c r="D5" s="10" t="s">
        <v>1005</v>
      </c>
      <c r="E5" s="6">
        <v>3</v>
      </c>
      <c r="F5" s="6" t="s">
        <v>668</v>
      </c>
      <c r="G5" s="6" t="s">
        <v>669</v>
      </c>
      <c r="H5" s="6" t="s">
        <v>670</v>
      </c>
      <c r="I5" s="6" t="s">
        <v>670</v>
      </c>
      <c r="J5" s="6" t="s">
        <v>670</v>
      </c>
      <c r="K5" s="6" t="s">
        <v>677</v>
      </c>
      <c r="L5" s="6" t="s">
        <v>672</v>
      </c>
      <c r="M5" s="6" t="s">
        <v>673</v>
      </c>
      <c r="N5" s="6" t="s">
        <v>674</v>
      </c>
      <c r="O5" s="6" t="s">
        <v>668</v>
      </c>
      <c r="P5" s="7" t="e">
        <f>VLOOKUP(B5,Import!A$1:B$20000,2,FALSE)</f>
        <v>#N/A</v>
      </c>
      <c r="Q5" s="8" t="s">
        <v>675</v>
      </c>
      <c r="R5" s="11" t="e">
        <f>VLOOKUP(S5,Import!A$1:B$20000,2,FALSE)</f>
        <v>#N/A</v>
      </c>
      <c r="S5" s="12" t="str">
        <f t="shared" si="0"/>
        <v>3_A_B11_X_X_X_5J_N_V_B_A</v>
      </c>
      <c r="T5" s="6">
        <v>1000</v>
      </c>
    </row>
    <row r="6" spans="1:20" ht="12">
      <c r="A6" s="9">
        <f>IF(ISBLANK(Inm_7427),"",$T$6*Inm_7427)</f>
      </c>
      <c r="B6" s="9">
        <v>7427</v>
      </c>
      <c r="C6" s="10" t="s">
        <v>667</v>
      </c>
      <c r="D6" s="10" t="s">
        <v>1006</v>
      </c>
      <c r="E6" s="6">
        <v>2</v>
      </c>
      <c r="F6" s="6" t="s">
        <v>668</v>
      </c>
      <c r="G6" s="6" t="s">
        <v>669</v>
      </c>
      <c r="H6" s="6" t="s">
        <v>670</v>
      </c>
      <c r="I6" s="6" t="s">
        <v>670</v>
      </c>
      <c r="J6" s="6" t="s">
        <v>670</v>
      </c>
      <c r="K6" s="6" t="s">
        <v>671</v>
      </c>
      <c r="L6" s="6" t="s">
        <v>672</v>
      </c>
      <c r="M6" s="6" t="s">
        <v>673</v>
      </c>
      <c r="N6" s="6" t="s">
        <v>674</v>
      </c>
      <c r="O6" s="6" t="s">
        <v>668</v>
      </c>
      <c r="P6" s="7" t="e">
        <f>VLOOKUP(B6,Import!A$1:B$20000,2,FALSE)</f>
        <v>#N/A</v>
      </c>
      <c r="Q6" s="8" t="s">
        <v>675</v>
      </c>
      <c r="R6" s="11" t="e">
        <f>VLOOKUP(S6,Import!A$1:B$20000,2,FALSE)</f>
        <v>#N/A</v>
      </c>
      <c r="S6" s="12" t="str">
        <f t="shared" si="0"/>
        <v>2_A_B11_X_X_X_3P_N_V_B_A</v>
      </c>
      <c r="T6" s="6">
        <v>1000</v>
      </c>
    </row>
    <row r="7" spans="1:20" ht="12">
      <c r="A7" s="9">
        <f>IF(ISBLANK(Inm_7421),"",$T$7*Inm_7421)</f>
      </c>
      <c r="B7" s="9">
        <v>7421</v>
      </c>
      <c r="C7" s="10" t="s">
        <v>667</v>
      </c>
      <c r="D7" s="10" t="s">
        <v>1000</v>
      </c>
      <c r="E7" s="6">
        <v>5</v>
      </c>
      <c r="F7" s="6" t="s">
        <v>668</v>
      </c>
      <c r="G7" s="6" t="s">
        <v>669</v>
      </c>
      <c r="H7" s="6" t="s">
        <v>670</v>
      </c>
      <c r="I7" s="6" t="s">
        <v>670</v>
      </c>
      <c r="J7" s="6" t="s">
        <v>670</v>
      </c>
      <c r="K7" s="6" t="s">
        <v>671</v>
      </c>
      <c r="L7" s="6" t="s">
        <v>672</v>
      </c>
      <c r="M7" s="6" t="s">
        <v>673</v>
      </c>
      <c r="N7" s="6" t="s">
        <v>674</v>
      </c>
      <c r="O7" s="6" t="s">
        <v>668</v>
      </c>
      <c r="P7" s="7" t="e">
        <f>VLOOKUP(B7,Import!A$1:B$20000,2,FALSE)</f>
        <v>#N/A</v>
      </c>
      <c r="Q7" s="8" t="s">
        <v>675</v>
      </c>
      <c r="R7" s="11" t="e">
        <f>VLOOKUP(S7,Import!A$1:B$20000,2,FALSE)</f>
        <v>#N/A</v>
      </c>
      <c r="S7" s="12" t="str">
        <f t="shared" si="0"/>
        <v>5_A_B11_X_X_X_3P_N_V_B_A</v>
      </c>
      <c r="T7" s="6">
        <v>1000</v>
      </c>
    </row>
    <row r="8" spans="1:20" ht="12">
      <c r="A8" s="9">
        <f>IF(ISBLANK(Inm_7423),"",$T$8*Inm_7423)</f>
      </c>
      <c r="B8" s="9">
        <v>7423</v>
      </c>
      <c r="C8" s="10" t="s">
        <v>667</v>
      </c>
      <c r="D8" s="10" t="s">
        <v>1002</v>
      </c>
      <c r="E8" s="6">
        <v>4</v>
      </c>
      <c r="F8" s="6" t="s">
        <v>668</v>
      </c>
      <c r="G8" s="6" t="s">
        <v>669</v>
      </c>
      <c r="H8" s="6" t="s">
        <v>670</v>
      </c>
      <c r="I8" s="6" t="s">
        <v>670</v>
      </c>
      <c r="J8" s="6" t="s">
        <v>670</v>
      </c>
      <c r="K8" s="6" t="s">
        <v>671</v>
      </c>
      <c r="L8" s="6" t="s">
        <v>672</v>
      </c>
      <c r="M8" s="6" t="s">
        <v>673</v>
      </c>
      <c r="N8" s="6" t="s">
        <v>674</v>
      </c>
      <c r="O8" s="6" t="s">
        <v>668</v>
      </c>
      <c r="P8" s="7" t="e">
        <f>VLOOKUP(B8,Import!A$1:B$20000,2,FALSE)</f>
        <v>#N/A</v>
      </c>
      <c r="Q8" s="8" t="s">
        <v>675</v>
      </c>
      <c r="R8" s="11" t="e">
        <f>VLOOKUP(S8,Import!A$1:B$20000,2,FALSE)</f>
        <v>#N/A</v>
      </c>
      <c r="S8" s="12" t="str">
        <f t="shared" si="0"/>
        <v>4_A_B11_X_X_X_3P_N_V_B_A</v>
      </c>
      <c r="T8" s="6">
        <v>1000</v>
      </c>
    </row>
    <row r="9" spans="1:20" ht="12">
      <c r="A9" s="9">
        <f>IF(ISBLANK(Inm_7425),"",$T$9*Inm_7425)</f>
      </c>
      <c r="B9" s="9">
        <v>7425</v>
      </c>
      <c r="C9" s="10" t="s">
        <v>667</v>
      </c>
      <c r="D9" s="10" t="s">
        <v>1004</v>
      </c>
      <c r="E9" s="6">
        <v>3</v>
      </c>
      <c r="F9" s="6" t="s">
        <v>668</v>
      </c>
      <c r="G9" s="6" t="s">
        <v>669</v>
      </c>
      <c r="H9" s="6" t="s">
        <v>670</v>
      </c>
      <c r="I9" s="6" t="s">
        <v>670</v>
      </c>
      <c r="J9" s="6" t="s">
        <v>670</v>
      </c>
      <c r="K9" s="6" t="s">
        <v>671</v>
      </c>
      <c r="L9" s="6" t="s">
        <v>672</v>
      </c>
      <c r="M9" s="6" t="s">
        <v>673</v>
      </c>
      <c r="N9" s="6" t="s">
        <v>674</v>
      </c>
      <c r="O9" s="6" t="s">
        <v>668</v>
      </c>
      <c r="P9" s="7" t="e">
        <f>VLOOKUP(B9,Import!A$1:B$20000,2,FALSE)</f>
        <v>#N/A</v>
      </c>
      <c r="Q9" s="8" t="s">
        <v>675</v>
      </c>
      <c r="R9" s="11" t="e">
        <f>VLOOKUP(S9,Import!A$1:B$20000,2,FALSE)</f>
        <v>#N/A</v>
      </c>
      <c r="S9" s="12" t="str">
        <f t="shared" si="0"/>
        <v>3_A_B11_X_X_X_3P_N_V_B_A</v>
      </c>
      <c r="T9" s="6">
        <v>1000</v>
      </c>
    </row>
    <row r="10" spans="1:20" ht="12">
      <c r="A10" s="9">
        <f>IF(ISBLANK(Inm_7435),"",$T$10*Inm_7435)</f>
      </c>
      <c r="B10" s="9">
        <v>7435</v>
      </c>
      <c r="C10" s="10" t="s">
        <v>678</v>
      </c>
      <c r="D10" s="10" t="s">
        <v>1014</v>
      </c>
      <c r="E10" s="6">
        <v>2</v>
      </c>
      <c r="F10" s="6" t="s">
        <v>668</v>
      </c>
      <c r="G10" s="6" t="s">
        <v>679</v>
      </c>
      <c r="H10" s="6" t="s">
        <v>670</v>
      </c>
      <c r="I10" s="6" t="s">
        <v>670</v>
      </c>
      <c r="J10" s="6" t="s">
        <v>670</v>
      </c>
      <c r="K10" s="6" t="s">
        <v>677</v>
      </c>
      <c r="L10" s="6" t="s">
        <v>672</v>
      </c>
      <c r="M10" s="6" t="s">
        <v>673</v>
      </c>
      <c r="N10" s="6" t="s">
        <v>680</v>
      </c>
      <c r="O10" s="6" t="s">
        <v>668</v>
      </c>
      <c r="P10" s="7" t="e">
        <f>VLOOKUP(B10,Import!A$1:B$20000,2,FALSE)</f>
        <v>#N/A</v>
      </c>
      <c r="Q10" s="8" t="s">
        <v>675</v>
      </c>
      <c r="R10" s="11" t="e">
        <f>VLOOKUP(S10,Import!A$1:B$20000,2,FALSE)</f>
        <v>#N/A</v>
      </c>
      <c r="S10" s="12" t="str">
        <f t="shared" si="0"/>
        <v>2_A_B12_X_X_X_5J_N_V_M_A</v>
      </c>
      <c r="T10" s="6">
        <v>1000</v>
      </c>
    </row>
    <row r="11" spans="1:20" ht="12">
      <c r="A11" s="9">
        <f>IF(ISBLANK(Inm_7429),"",$T$11*Inm_7429)</f>
      </c>
      <c r="B11" s="9">
        <v>7429</v>
      </c>
      <c r="C11" s="10" t="s">
        <v>678</v>
      </c>
      <c r="D11" s="10" t="s">
        <v>1008</v>
      </c>
      <c r="E11" s="6">
        <v>5</v>
      </c>
      <c r="F11" s="6" t="s">
        <v>668</v>
      </c>
      <c r="G11" s="6" t="s">
        <v>679</v>
      </c>
      <c r="H11" s="6" t="s">
        <v>670</v>
      </c>
      <c r="I11" s="6" t="s">
        <v>670</v>
      </c>
      <c r="J11" s="6" t="s">
        <v>670</v>
      </c>
      <c r="K11" s="6" t="s">
        <v>677</v>
      </c>
      <c r="L11" s="6" t="s">
        <v>672</v>
      </c>
      <c r="M11" s="6" t="s">
        <v>673</v>
      </c>
      <c r="N11" s="6" t="s">
        <v>680</v>
      </c>
      <c r="O11" s="6" t="s">
        <v>668</v>
      </c>
      <c r="P11" s="7" t="e">
        <f>VLOOKUP(B11,Import!A$1:B$20000,2,FALSE)</f>
        <v>#N/A</v>
      </c>
      <c r="Q11" s="8" t="s">
        <v>675</v>
      </c>
      <c r="R11" s="11" t="e">
        <f>VLOOKUP(S11,Import!A$1:B$20000,2,FALSE)</f>
        <v>#N/A</v>
      </c>
      <c r="S11" s="12" t="str">
        <f t="shared" si="0"/>
        <v>5_A_B12_X_X_X_5J_N_V_M_A</v>
      </c>
      <c r="T11" s="6">
        <v>1000</v>
      </c>
    </row>
    <row r="12" spans="1:20" ht="12">
      <c r="A12" s="9">
        <f>IF(ISBLANK(Inm_7431),"",$T$12*Inm_7431)</f>
      </c>
      <c r="B12" s="9">
        <v>7431</v>
      </c>
      <c r="C12" s="10" t="s">
        <v>678</v>
      </c>
      <c r="D12" s="10" t="s">
        <v>1010</v>
      </c>
      <c r="E12" s="6">
        <v>4</v>
      </c>
      <c r="F12" s="6" t="s">
        <v>668</v>
      </c>
      <c r="G12" s="6" t="s">
        <v>679</v>
      </c>
      <c r="H12" s="6" t="s">
        <v>670</v>
      </c>
      <c r="I12" s="6" t="s">
        <v>670</v>
      </c>
      <c r="J12" s="6" t="s">
        <v>670</v>
      </c>
      <c r="K12" s="6" t="s">
        <v>677</v>
      </c>
      <c r="L12" s="6" t="s">
        <v>672</v>
      </c>
      <c r="M12" s="6" t="s">
        <v>673</v>
      </c>
      <c r="N12" s="6" t="s">
        <v>680</v>
      </c>
      <c r="O12" s="6" t="s">
        <v>668</v>
      </c>
      <c r="P12" s="7" t="e">
        <f>VLOOKUP(B12,Import!A$1:B$20000,2,FALSE)</f>
        <v>#N/A</v>
      </c>
      <c r="Q12" s="8" t="s">
        <v>675</v>
      </c>
      <c r="R12" s="11" t="e">
        <f>VLOOKUP(S12,Import!A$1:B$20000,2,FALSE)</f>
        <v>#N/A</v>
      </c>
      <c r="S12" s="12" t="str">
        <f t="shared" si="0"/>
        <v>4_A_B12_X_X_X_5J_N_V_M_A</v>
      </c>
      <c r="T12" s="6">
        <v>1000</v>
      </c>
    </row>
    <row r="13" spans="1:20" ht="12">
      <c r="A13" s="9">
        <f>IF(ISBLANK(Inm_7433),"",$T$13*Inm_7433)</f>
      </c>
      <c r="B13" s="9">
        <v>7433</v>
      </c>
      <c r="C13" s="10" t="s">
        <v>678</v>
      </c>
      <c r="D13" s="10" t="s">
        <v>1012</v>
      </c>
      <c r="E13" s="6">
        <v>3</v>
      </c>
      <c r="F13" s="6" t="s">
        <v>668</v>
      </c>
      <c r="G13" s="6" t="s">
        <v>679</v>
      </c>
      <c r="H13" s="6" t="s">
        <v>670</v>
      </c>
      <c r="I13" s="6" t="s">
        <v>670</v>
      </c>
      <c r="J13" s="6" t="s">
        <v>670</v>
      </c>
      <c r="K13" s="6" t="s">
        <v>677</v>
      </c>
      <c r="L13" s="6" t="s">
        <v>672</v>
      </c>
      <c r="M13" s="6" t="s">
        <v>673</v>
      </c>
      <c r="N13" s="6" t="s">
        <v>680</v>
      </c>
      <c r="O13" s="6" t="s">
        <v>668</v>
      </c>
      <c r="P13" s="7" t="e">
        <f>VLOOKUP(B13,Import!A$1:B$20000,2,FALSE)</f>
        <v>#N/A</v>
      </c>
      <c r="Q13" s="8" t="s">
        <v>675</v>
      </c>
      <c r="R13" s="11" t="e">
        <f>VLOOKUP(S13,Import!A$1:B$20000,2,FALSE)</f>
        <v>#N/A</v>
      </c>
      <c r="S13" s="12" t="str">
        <f t="shared" si="0"/>
        <v>3_A_B12_X_X_X_5J_N_V_M_A</v>
      </c>
      <c r="T13" s="6">
        <v>1000</v>
      </c>
    </row>
    <row r="14" spans="1:20" ht="12">
      <c r="A14" s="9">
        <f>IF(ISBLANK(Inm_7434),"",$T$14*Inm_7434)</f>
      </c>
      <c r="B14" s="9">
        <v>7434</v>
      </c>
      <c r="C14" s="10" t="s">
        <v>678</v>
      </c>
      <c r="D14" s="10" t="s">
        <v>1013</v>
      </c>
      <c r="E14" s="6">
        <v>2</v>
      </c>
      <c r="F14" s="6" t="s">
        <v>668</v>
      </c>
      <c r="G14" s="6" t="s">
        <v>679</v>
      </c>
      <c r="H14" s="6" t="s">
        <v>670</v>
      </c>
      <c r="I14" s="6" t="s">
        <v>670</v>
      </c>
      <c r="J14" s="6" t="s">
        <v>670</v>
      </c>
      <c r="K14" s="6" t="s">
        <v>671</v>
      </c>
      <c r="L14" s="6" t="s">
        <v>672</v>
      </c>
      <c r="M14" s="6" t="s">
        <v>673</v>
      </c>
      <c r="N14" s="6" t="s">
        <v>680</v>
      </c>
      <c r="O14" s="6" t="s">
        <v>668</v>
      </c>
      <c r="P14" s="7" t="e">
        <f>VLOOKUP(B14,Import!A$1:B$20000,2,FALSE)</f>
        <v>#N/A</v>
      </c>
      <c r="Q14" s="8" t="s">
        <v>675</v>
      </c>
      <c r="R14" s="11" t="e">
        <f>VLOOKUP(S14,Import!A$1:B$20000,2,FALSE)</f>
        <v>#N/A</v>
      </c>
      <c r="S14" s="12" t="str">
        <f t="shared" si="0"/>
        <v>2_A_B12_X_X_X_3P_N_V_M_A</v>
      </c>
      <c r="T14" s="6">
        <v>1000</v>
      </c>
    </row>
    <row r="15" spans="1:20" ht="12">
      <c r="A15" s="9">
        <f>IF(ISBLANK(Inm_7428),"",$T$15*Inm_7428)</f>
      </c>
      <c r="B15" s="9">
        <v>7428</v>
      </c>
      <c r="C15" s="10" t="s">
        <v>678</v>
      </c>
      <c r="D15" s="10" t="s">
        <v>1007</v>
      </c>
      <c r="E15" s="6">
        <v>5</v>
      </c>
      <c r="F15" s="6" t="s">
        <v>668</v>
      </c>
      <c r="G15" s="6" t="s">
        <v>679</v>
      </c>
      <c r="H15" s="6" t="s">
        <v>670</v>
      </c>
      <c r="I15" s="6" t="s">
        <v>670</v>
      </c>
      <c r="J15" s="6" t="s">
        <v>670</v>
      </c>
      <c r="K15" s="6" t="s">
        <v>671</v>
      </c>
      <c r="L15" s="6" t="s">
        <v>672</v>
      </c>
      <c r="M15" s="6" t="s">
        <v>673</v>
      </c>
      <c r="N15" s="6" t="s">
        <v>680</v>
      </c>
      <c r="O15" s="6" t="s">
        <v>668</v>
      </c>
      <c r="P15" s="7" t="e">
        <f>VLOOKUP(B15,Import!A$1:B$20000,2,FALSE)</f>
        <v>#N/A</v>
      </c>
      <c r="Q15" s="8" t="s">
        <v>675</v>
      </c>
      <c r="R15" s="11" t="e">
        <f>VLOOKUP(S15,Import!A$1:B$20000,2,FALSE)</f>
        <v>#N/A</v>
      </c>
      <c r="S15" s="12" t="str">
        <f t="shared" si="0"/>
        <v>5_A_B12_X_X_X_3P_N_V_M_A</v>
      </c>
      <c r="T15" s="6">
        <v>1000</v>
      </c>
    </row>
    <row r="16" spans="1:20" ht="12">
      <c r="A16" s="9">
        <f>IF(ISBLANK(Inm_7430),"",$T$16*Inm_7430)</f>
      </c>
      <c r="B16" s="9">
        <v>7430</v>
      </c>
      <c r="C16" s="10" t="s">
        <v>678</v>
      </c>
      <c r="D16" s="10" t="s">
        <v>1009</v>
      </c>
      <c r="E16" s="6">
        <v>4</v>
      </c>
      <c r="F16" s="6" t="s">
        <v>668</v>
      </c>
      <c r="G16" s="6" t="s">
        <v>679</v>
      </c>
      <c r="H16" s="6" t="s">
        <v>670</v>
      </c>
      <c r="I16" s="6" t="s">
        <v>670</v>
      </c>
      <c r="J16" s="6" t="s">
        <v>670</v>
      </c>
      <c r="K16" s="6" t="s">
        <v>671</v>
      </c>
      <c r="L16" s="6" t="s">
        <v>672</v>
      </c>
      <c r="M16" s="6" t="s">
        <v>673</v>
      </c>
      <c r="N16" s="6" t="s">
        <v>680</v>
      </c>
      <c r="O16" s="6" t="s">
        <v>668</v>
      </c>
      <c r="P16" s="7" t="e">
        <f>VLOOKUP(B16,Import!A$1:B$20000,2,FALSE)</f>
        <v>#N/A</v>
      </c>
      <c r="Q16" s="8" t="s">
        <v>675</v>
      </c>
      <c r="R16" s="11" t="e">
        <f>VLOOKUP(S16,Import!A$1:B$20000,2,FALSE)</f>
        <v>#N/A</v>
      </c>
      <c r="S16" s="12" t="str">
        <f t="shared" si="0"/>
        <v>4_A_B12_X_X_X_3P_N_V_M_A</v>
      </c>
      <c r="T16" s="6">
        <v>1000</v>
      </c>
    </row>
    <row r="17" spans="1:20" ht="12">
      <c r="A17" s="9">
        <f>IF(ISBLANK(Inm_7432),"",$T$17*Inm_7432)</f>
      </c>
      <c r="B17" s="9">
        <v>7432</v>
      </c>
      <c r="C17" s="10" t="s">
        <v>678</v>
      </c>
      <c r="D17" s="10" t="s">
        <v>1011</v>
      </c>
      <c r="E17" s="6">
        <v>3</v>
      </c>
      <c r="F17" s="6" t="s">
        <v>668</v>
      </c>
      <c r="G17" s="6" t="s">
        <v>679</v>
      </c>
      <c r="H17" s="6" t="s">
        <v>670</v>
      </c>
      <c r="I17" s="6" t="s">
        <v>670</v>
      </c>
      <c r="J17" s="6" t="s">
        <v>670</v>
      </c>
      <c r="K17" s="6" t="s">
        <v>671</v>
      </c>
      <c r="L17" s="6" t="s">
        <v>672</v>
      </c>
      <c r="M17" s="6" t="s">
        <v>673</v>
      </c>
      <c r="N17" s="6" t="s">
        <v>680</v>
      </c>
      <c r="O17" s="6" t="s">
        <v>668</v>
      </c>
      <c r="P17" s="7" t="e">
        <f>VLOOKUP(B17,Import!A$1:B$20000,2,FALSE)</f>
        <v>#N/A</v>
      </c>
      <c r="Q17" s="8" t="s">
        <v>675</v>
      </c>
      <c r="R17" s="11" t="e">
        <f>VLOOKUP(S17,Import!A$1:B$20000,2,FALSE)</f>
        <v>#N/A</v>
      </c>
      <c r="S17" s="12" t="str">
        <f t="shared" si="0"/>
        <v>3_A_B12_X_X_X_3P_N_V_M_A</v>
      </c>
      <c r="T17" s="6">
        <v>1000</v>
      </c>
    </row>
    <row r="18" spans="1:20" ht="12">
      <c r="A18" s="9">
        <f>IF(ISBLANK(Inm_7443),"",$T$18*Inm_7443)</f>
      </c>
      <c r="B18" s="9">
        <v>7443</v>
      </c>
      <c r="C18" s="10" t="s">
        <v>684</v>
      </c>
      <c r="D18" s="10" t="s">
        <v>5</v>
      </c>
      <c r="E18" s="6">
        <v>2</v>
      </c>
      <c r="F18" s="6" t="s">
        <v>668</v>
      </c>
      <c r="G18" s="6" t="s">
        <v>685</v>
      </c>
      <c r="H18" s="6" t="s">
        <v>670</v>
      </c>
      <c r="I18" s="6" t="s">
        <v>670</v>
      </c>
      <c r="J18" s="6" t="s">
        <v>670</v>
      </c>
      <c r="K18" s="6" t="s">
        <v>677</v>
      </c>
      <c r="L18" s="6" t="s">
        <v>672</v>
      </c>
      <c r="M18" s="6" t="s">
        <v>673</v>
      </c>
      <c r="N18" s="6" t="s">
        <v>680</v>
      </c>
      <c r="O18" s="6" t="s">
        <v>668</v>
      </c>
      <c r="P18" s="7" t="e">
        <f>VLOOKUP(B18,Import!A$1:B$20000,2,FALSE)</f>
        <v>#N/A</v>
      </c>
      <c r="Q18" s="8" t="s">
        <v>675</v>
      </c>
      <c r="R18" s="11" t="e">
        <f>VLOOKUP(S18,Import!A$1:B$20000,2,FALSE)</f>
        <v>#N/A</v>
      </c>
      <c r="S18" s="12" t="str">
        <f t="shared" si="0"/>
        <v>2_A_B13_X_X_X_5J_N_V_M_A</v>
      </c>
      <c r="T18" s="6">
        <v>1000</v>
      </c>
    </row>
    <row r="19" spans="1:20" ht="12">
      <c r="A19" s="9">
        <f>IF(ISBLANK(Inm_7437),"",$T$19*Inm_7437)</f>
      </c>
      <c r="B19" s="9">
        <v>7437</v>
      </c>
      <c r="C19" s="10" t="s">
        <v>684</v>
      </c>
      <c r="D19" s="10" t="s">
        <v>1016</v>
      </c>
      <c r="E19" s="6">
        <v>5</v>
      </c>
      <c r="F19" s="6" t="s">
        <v>668</v>
      </c>
      <c r="G19" s="6" t="s">
        <v>685</v>
      </c>
      <c r="H19" s="6" t="s">
        <v>670</v>
      </c>
      <c r="I19" s="6" t="s">
        <v>670</v>
      </c>
      <c r="J19" s="6" t="s">
        <v>670</v>
      </c>
      <c r="K19" s="6" t="s">
        <v>677</v>
      </c>
      <c r="L19" s="6" t="s">
        <v>672</v>
      </c>
      <c r="M19" s="6" t="s">
        <v>673</v>
      </c>
      <c r="N19" s="6" t="s">
        <v>680</v>
      </c>
      <c r="O19" s="6" t="s">
        <v>668</v>
      </c>
      <c r="P19" s="7" t="e">
        <f>VLOOKUP(B19,Import!A$1:B$20000,2,FALSE)</f>
        <v>#N/A</v>
      </c>
      <c r="Q19" s="8" t="s">
        <v>675</v>
      </c>
      <c r="R19" s="11" t="e">
        <f>VLOOKUP(S19,Import!A$1:B$20000,2,FALSE)</f>
        <v>#N/A</v>
      </c>
      <c r="S19" s="12" t="str">
        <f t="shared" si="0"/>
        <v>5_A_B13_X_X_X_5J_N_V_M_A</v>
      </c>
      <c r="T19" s="6">
        <v>1000</v>
      </c>
    </row>
    <row r="20" spans="1:20" ht="12">
      <c r="A20" s="9">
        <f>IF(ISBLANK(Inm_7439),"",$T$20*Inm_7439)</f>
      </c>
      <c r="B20" s="9">
        <v>7439</v>
      </c>
      <c r="C20" s="10" t="s">
        <v>684</v>
      </c>
      <c r="D20" s="10" t="s">
        <v>1</v>
      </c>
      <c r="E20" s="6">
        <v>4</v>
      </c>
      <c r="F20" s="6" t="s">
        <v>668</v>
      </c>
      <c r="G20" s="6" t="s">
        <v>685</v>
      </c>
      <c r="H20" s="6" t="s">
        <v>670</v>
      </c>
      <c r="I20" s="6" t="s">
        <v>670</v>
      </c>
      <c r="J20" s="6" t="s">
        <v>670</v>
      </c>
      <c r="K20" s="6" t="s">
        <v>677</v>
      </c>
      <c r="L20" s="6" t="s">
        <v>672</v>
      </c>
      <c r="M20" s="6" t="s">
        <v>673</v>
      </c>
      <c r="N20" s="6" t="s">
        <v>680</v>
      </c>
      <c r="O20" s="6" t="s">
        <v>668</v>
      </c>
      <c r="P20" s="7" t="e">
        <f>VLOOKUP(B20,Import!A$1:B$20000,2,FALSE)</f>
        <v>#N/A</v>
      </c>
      <c r="Q20" s="8" t="s">
        <v>675</v>
      </c>
      <c r="R20" s="11" t="e">
        <f>VLOOKUP(S20,Import!A$1:B$20000,2,FALSE)</f>
        <v>#N/A</v>
      </c>
      <c r="S20" s="12" t="str">
        <f t="shared" si="0"/>
        <v>4_A_B13_X_X_X_5J_N_V_M_A</v>
      </c>
      <c r="T20" s="6">
        <v>1000</v>
      </c>
    </row>
    <row r="21" spans="1:20" ht="12">
      <c r="A21" s="9">
        <f>IF(ISBLANK(Inm_7441),"",$T$21*Inm_7441)</f>
      </c>
      <c r="B21" s="9">
        <v>7441</v>
      </c>
      <c r="C21" s="10" t="s">
        <v>684</v>
      </c>
      <c r="D21" s="10" t="s">
        <v>3</v>
      </c>
      <c r="E21" s="6">
        <v>3</v>
      </c>
      <c r="F21" s="6" t="s">
        <v>668</v>
      </c>
      <c r="G21" s="6" t="s">
        <v>685</v>
      </c>
      <c r="H21" s="6" t="s">
        <v>670</v>
      </c>
      <c r="I21" s="6" t="s">
        <v>670</v>
      </c>
      <c r="J21" s="6" t="s">
        <v>670</v>
      </c>
      <c r="K21" s="6" t="s">
        <v>677</v>
      </c>
      <c r="L21" s="6" t="s">
        <v>672</v>
      </c>
      <c r="M21" s="6" t="s">
        <v>673</v>
      </c>
      <c r="N21" s="6" t="s">
        <v>680</v>
      </c>
      <c r="O21" s="6" t="s">
        <v>668</v>
      </c>
      <c r="P21" s="7" t="e">
        <f>VLOOKUP(B21,Import!A$1:B$20000,2,FALSE)</f>
        <v>#N/A</v>
      </c>
      <c r="Q21" s="8" t="s">
        <v>675</v>
      </c>
      <c r="R21" s="11" t="e">
        <f>VLOOKUP(S21,Import!A$1:B$20000,2,FALSE)</f>
        <v>#N/A</v>
      </c>
      <c r="S21" s="12" t="str">
        <f t="shared" si="0"/>
        <v>3_A_B13_X_X_X_5J_N_V_M_A</v>
      </c>
      <c r="T21" s="6">
        <v>1000</v>
      </c>
    </row>
    <row r="22" spans="1:20" ht="12">
      <c r="A22" s="9">
        <f>IF(ISBLANK(Inm_7442),"",$T$22*Inm_7442)</f>
      </c>
      <c r="B22" s="9">
        <v>7442</v>
      </c>
      <c r="C22" s="10" t="s">
        <v>684</v>
      </c>
      <c r="D22" s="10" t="s">
        <v>4</v>
      </c>
      <c r="E22" s="6">
        <v>2</v>
      </c>
      <c r="F22" s="6" t="s">
        <v>668</v>
      </c>
      <c r="G22" s="6" t="s">
        <v>685</v>
      </c>
      <c r="H22" s="6" t="s">
        <v>670</v>
      </c>
      <c r="I22" s="6" t="s">
        <v>670</v>
      </c>
      <c r="J22" s="6" t="s">
        <v>670</v>
      </c>
      <c r="K22" s="6" t="s">
        <v>671</v>
      </c>
      <c r="L22" s="6" t="s">
        <v>672</v>
      </c>
      <c r="M22" s="6" t="s">
        <v>673</v>
      </c>
      <c r="N22" s="6" t="s">
        <v>680</v>
      </c>
      <c r="O22" s="6" t="s">
        <v>668</v>
      </c>
      <c r="P22" s="7" t="e">
        <f>VLOOKUP(B22,Import!A$1:B$20000,2,FALSE)</f>
        <v>#N/A</v>
      </c>
      <c r="Q22" s="8" t="s">
        <v>675</v>
      </c>
      <c r="R22" s="11" t="e">
        <f>VLOOKUP(S22,Import!A$1:B$20000,2,FALSE)</f>
        <v>#N/A</v>
      </c>
      <c r="S22" s="12" t="str">
        <f t="shared" si="0"/>
        <v>2_A_B13_X_X_X_3P_N_V_M_A</v>
      </c>
      <c r="T22" s="6">
        <v>1000</v>
      </c>
    </row>
    <row r="23" spans="1:20" ht="12">
      <c r="A23" s="9">
        <f>IF(ISBLANK(Inm_7436),"",$T$23*Inm_7436)</f>
      </c>
      <c r="B23" s="9">
        <v>7436</v>
      </c>
      <c r="C23" s="10" t="s">
        <v>684</v>
      </c>
      <c r="D23" s="10" t="s">
        <v>1015</v>
      </c>
      <c r="E23" s="6">
        <v>5</v>
      </c>
      <c r="F23" s="6" t="s">
        <v>668</v>
      </c>
      <c r="G23" s="6" t="s">
        <v>685</v>
      </c>
      <c r="H23" s="6" t="s">
        <v>670</v>
      </c>
      <c r="I23" s="6" t="s">
        <v>670</v>
      </c>
      <c r="J23" s="6" t="s">
        <v>670</v>
      </c>
      <c r="K23" s="6" t="s">
        <v>671</v>
      </c>
      <c r="L23" s="6" t="s">
        <v>672</v>
      </c>
      <c r="M23" s="6" t="s">
        <v>673</v>
      </c>
      <c r="N23" s="6" t="s">
        <v>680</v>
      </c>
      <c r="O23" s="6" t="s">
        <v>668</v>
      </c>
      <c r="P23" s="7" t="e">
        <f>VLOOKUP(B23,Import!A$1:B$20000,2,FALSE)</f>
        <v>#N/A</v>
      </c>
      <c r="Q23" s="8" t="s">
        <v>675</v>
      </c>
      <c r="R23" s="11" t="e">
        <f>VLOOKUP(S23,Import!A$1:B$20000,2,FALSE)</f>
        <v>#N/A</v>
      </c>
      <c r="S23" s="12" t="str">
        <f t="shared" si="0"/>
        <v>5_A_B13_X_X_X_3P_N_V_M_A</v>
      </c>
      <c r="T23" s="6">
        <v>1000</v>
      </c>
    </row>
    <row r="24" spans="1:20" ht="12">
      <c r="A24" s="9">
        <f>IF(ISBLANK(Inm_7438),"",$T$24*Inm_7438)</f>
      </c>
      <c r="B24" s="9">
        <v>7438</v>
      </c>
      <c r="C24" s="10" t="s">
        <v>684</v>
      </c>
      <c r="D24" s="10" t="s">
        <v>0</v>
      </c>
      <c r="E24" s="6">
        <v>4</v>
      </c>
      <c r="F24" s="6" t="s">
        <v>668</v>
      </c>
      <c r="G24" s="6" t="s">
        <v>685</v>
      </c>
      <c r="H24" s="6" t="s">
        <v>670</v>
      </c>
      <c r="I24" s="6" t="s">
        <v>670</v>
      </c>
      <c r="J24" s="6" t="s">
        <v>670</v>
      </c>
      <c r="K24" s="6" t="s">
        <v>671</v>
      </c>
      <c r="L24" s="6" t="s">
        <v>672</v>
      </c>
      <c r="M24" s="6" t="s">
        <v>673</v>
      </c>
      <c r="N24" s="6" t="s">
        <v>680</v>
      </c>
      <c r="O24" s="6" t="s">
        <v>668</v>
      </c>
      <c r="P24" s="7" t="e">
        <f>VLOOKUP(B24,Import!A$1:B$20000,2,FALSE)</f>
        <v>#N/A</v>
      </c>
      <c r="Q24" s="8" t="s">
        <v>675</v>
      </c>
      <c r="R24" s="11" t="e">
        <f>VLOOKUP(S24,Import!A$1:B$20000,2,FALSE)</f>
        <v>#N/A</v>
      </c>
      <c r="S24" s="12" t="str">
        <f t="shared" si="0"/>
        <v>4_A_B13_X_X_X_3P_N_V_M_A</v>
      </c>
      <c r="T24" s="6">
        <v>1000</v>
      </c>
    </row>
    <row r="25" spans="1:20" ht="12">
      <c r="A25" s="9">
        <f>IF(ISBLANK(Inm_7440),"",$T$25*Inm_7440)</f>
      </c>
      <c r="B25" s="9">
        <v>7440</v>
      </c>
      <c r="C25" s="10" t="s">
        <v>684</v>
      </c>
      <c r="D25" s="10" t="s">
        <v>2</v>
      </c>
      <c r="E25" s="6">
        <v>3</v>
      </c>
      <c r="F25" s="6" t="s">
        <v>668</v>
      </c>
      <c r="G25" s="6" t="s">
        <v>685</v>
      </c>
      <c r="H25" s="6" t="s">
        <v>670</v>
      </c>
      <c r="I25" s="6" t="s">
        <v>670</v>
      </c>
      <c r="J25" s="6" t="s">
        <v>670</v>
      </c>
      <c r="K25" s="6" t="s">
        <v>671</v>
      </c>
      <c r="L25" s="6" t="s">
        <v>672</v>
      </c>
      <c r="M25" s="6" t="s">
        <v>673</v>
      </c>
      <c r="N25" s="6" t="s">
        <v>680</v>
      </c>
      <c r="O25" s="6" t="s">
        <v>668</v>
      </c>
      <c r="P25" s="7" t="e">
        <f>VLOOKUP(B25,Import!A$1:B$20000,2,FALSE)</f>
        <v>#N/A</v>
      </c>
      <c r="Q25" s="8" t="s">
        <v>675</v>
      </c>
      <c r="R25" s="11" t="e">
        <f>VLOOKUP(S25,Import!A$1:B$20000,2,FALSE)</f>
        <v>#N/A</v>
      </c>
      <c r="S25" s="12" t="str">
        <f t="shared" si="0"/>
        <v>3_A_B13_X_X_X_3P_N_V_M_A</v>
      </c>
      <c r="T25" s="6">
        <v>1000</v>
      </c>
    </row>
    <row r="26" spans="1:20" ht="12">
      <c r="A26" s="9">
        <f>IF(ISBLANK(Inm_7481),"",$T$26*Inm_7481)</f>
      </c>
      <c r="B26" s="9">
        <v>7481</v>
      </c>
      <c r="C26" s="10" t="s">
        <v>688</v>
      </c>
      <c r="D26" s="10" t="s">
        <v>43</v>
      </c>
      <c r="E26" s="6">
        <v>2</v>
      </c>
      <c r="F26" s="6" t="s">
        <v>668</v>
      </c>
      <c r="G26" s="6" t="s">
        <v>687</v>
      </c>
      <c r="H26" s="6" t="s">
        <v>670</v>
      </c>
      <c r="I26" s="6" t="s">
        <v>670</v>
      </c>
      <c r="J26" s="6" t="s">
        <v>670</v>
      </c>
      <c r="K26" s="6" t="s">
        <v>689</v>
      </c>
      <c r="L26" s="6" t="s">
        <v>690</v>
      </c>
      <c r="M26" s="6" t="s">
        <v>673</v>
      </c>
      <c r="N26" s="6" t="s">
        <v>680</v>
      </c>
      <c r="O26" s="6" t="s">
        <v>668</v>
      </c>
      <c r="P26" s="7" t="e">
        <f>VLOOKUP(B26,Import!A$1:B$20000,2,FALSE)</f>
        <v>#N/A</v>
      </c>
      <c r="Q26" s="8" t="s">
        <v>675</v>
      </c>
      <c r="R26" s="11" t="e">
        <f>VLOOKUP(S26,Import!A$1:B$20000,2,FALSE)</f>
        <v>#N/A</v>
      </c>
      <c r="S26" s="12" t="str">
        <f t="shared" si="0"/>
        <v>2_A_B14_X_X_X_1E_N21_V_M_A</v>
      </c>
      <c r="T26" s="6">
        <v>1000</v>
      </c>
    </row>
    <row r="27" spans="1:20" ht="12">
      <c r="A27" s="9">
        <f>IF(ISBLANK(Inm_7469),"",$T$27*Inm_7469)</f>
      </c>
      <c r="B27" s="9">
        <v>7469</v>
      </c>
      <c r="C27" s="10" t="s">
        <v>688</v>
      </c>
      <c r="D27" s="10" t="s">
        <v>31</v>
      </c>
      <c r="E27" s="6">
        <v>5</v>
      </c>
      <c r="F27" s="6" t="s">
        <v>668</v>
      </c>
      <c r="G27" s="6" t="s">
        <v>687</v>
      </c>
      <c r="H27" s="6" t="s">
        <v>670</v>
      </c>
      <c r="I27" s="6" t="s">
        <v>670</v>
      </c>
      <c r="J27" s="6" t="s">
        <v>670</v>
      </c>
      <c r="K27" s="6" t="s">
        <v>689</v>
      </c>
      <c r="L27" s="6" t="s">
        <v>690</v>
      </c>
      <c r="M27" s="6" t="s">
        <v>673</v>
      </c>
      <c r="N27" s="6" t="s">
        <v>680</v>
      </c>
      <c r="O27" s="6" t="s">
        <v>668</v>
      </c>
      <c r="P27" s="7" t="e">
        <f>VLOOKUP(B27,Import!A$1:B$20000,2,FALSE)</f>
        <v>#N/A</v>
      </c>
      <c r="Q27" s="8" t="s">
        <v>675</v>
      </c>
      <c r="R27" s="11" t="e">
        <f>VLOOKUP(S27,Import!A$1:B$20000,2,FALSE)</f>
        <v>#N/A</v>
      </c>
      <c r="S27" s="12" t="str">
        <f t="shared" si="0"/>
        <v>5_A_B14_X_X_X_1E_N21_V_M_A</v>
      </c>
      <c r="T27" s="6">
        <v>1000</v>
      </c>
    </row>
    <row r="28" spans="1:20" ht="12">
      <c r="A28" s="9">
        <f>IF(ISBLANK(Inm_7473),"",$T$28*Inm_7473)</f>
      </c>
      <c r="B28" s="9">
        <v>7473</v>
      </c>
      <c r="C28" s="10" t="s">
        <v>688</v>
      </c>
      <c r="D28" s="10" t="s">
        <v>35</v>
      </c>
      <c r="E28" s="6">
        <v>4</v>
      </c>
      <c r="F28" s="6" t="s">
        <v>668</v>
      </c>
      <c r="G28" s="6" t="s">
        <v>687</v>
      </c>
      <c r="H28" s="6" t="s">
        <v>670</v>
      </c>
      <c r="I28" s="6" t="s">
        <v>670</v>
      </c>
      <c r="J28" s="6" t="s">
        <v>670</v>
      </c>
      <c r="K28" s="6" t="s">
        <v>689</v>
      </c>
      <c r="L28" s="6" t="s">
        <v>690</v>
      </c>
      <c r="M28" s="6" t="s">
        <v>673</v>
      </c>
      <c r="N28" s="6" t="s">
        <v>680</v>
      </c>
      <c r="O28" s="6" t="s">
        <v>668</v>
      </c>
      <c r="P28" s="7" t="e">
        <f>VLOOKUP(B28,Import!A$1:B$20000,2,FALSE)</f>
        <v>#N/A</v>
      </c>
      <c r="Q28" s="8" t="s">
        <v>675</v>
      </c>
      <c r="R28" s="11" t="e">
        <f>VLOOKUP(S28,Import!A$1:B$20000,2,FALSE)</f>
        <v>#N/A</v>
      </c>
      <c r="S28" s="12" t="str">
        <f t="shared" si="0"/>
        <v>4_A_B14_X_X_X_1E_N21_V_M_A</v>
      </c>
      <c r="T28" s="6">
        <v>1000</v>
      </c>
    </row>
    <row r="29" spans="1:20" ht="12">
      <c r="A29" s="9">
        <f>IF(ISBLANK(Inm_7477),"",$T$29*Inm_7477)</f>
      </c>
      <c r="B29" s="9">
        <v>7477</v>
      </c>
      <c r="C29" s="10" t="s">
        <v>688</v>
      </c>
      <c r="D29" s="10" t="s">
        <v>39</v>
      </c>
      <c r="E29" s="6">
        <v>3</v>
      </c>
      <c r="F29" s="6" t="s">
        <v>668</v>
      </c>
      <c r="G29" s="6" t="s">
        <v>687</v>
      </c>
      <c r="H29" s="6" t="s">
        <v>670</v>
      </c>
      <c r="I29" s="6" t="s">
        <v>670</v>
      </c>
      <c r="J29" s="6" t="s">
        <v>670</v>
      </c>
      <c r="K29" s="6" t="s">
        <v>689</v>
      </c>
      <c r="L29" s="6" t="s">
        <v>690</v>
      </c>
      <c r="M29" s="6" t="s">
        <v>673</v>
      </c>
      <c r="N29" s="6" t="s">
        <v>680</v>
      </c>
      <c r="O29" s="6" t="s">
        <v>668</v>
      </c>
      <c r="P29" s="7" t="e">
        <f>VLOOKUP(B29,Import!A$1:B$20000,2,FALSE)</f>
        <v>#N/A</v>
      </c>
      <c r="Q29" s="8" t="s">
        <v>675</v>
      </c>
      <c r="R29" s="11" t="e">
        <f>VLOOKUP(S29,Import!A$1:B$20000,2,FALSE)</f>
        <v>#N/A</v>
      </c>
      <c r="S29" s="12" t="str">
        <f t="shared" si="0"/>
        <v>3_A_B14_X_X_X_1E_N21_V_M_A</v>
      </c>
      <c r="T29" s="6">
        <v>1000</v>
      </c>
    </row>
    <row r="30" spans="1:20" ht="12">
      <c r="A30" s="9">
        <f>IF(ISBLANK(Inm_7576),"",$T$30*Inm_7576)</f>
      </c>
      <c r="B30" s="9">
        <v>7576</v>
      </c>
      <c r="C30" s="10" t="s">
        <v>691</v>
      </c>
      <c r="D30" s="10" t="s">
        <v>138</v>
      </c>
      <c r="E30" s="6">
        <v>2</v>
      </c>
      <c r="F30" s="6" t="s">
        <v>668</v>
      </c>
      <c r="G30" s="6" t="s">
        <v>687</v>
      </c>
      <c r="H30" s="6" t="s">
        <v>670</v>
      </c>
      <c r="I30" s="6" t="s">
        <v>670</v>
      </c>
      <c r="J30" s="6" t="s">
        <v>670</v>
      </c>
      <c r="K30" s="6" t="s">
        <v>689</v>
      </c>
      <c r="L30" s="6" t="s">
        <v>692</v>
      </c>
      <c r="M30" s="6" t="s">
        <v>673</v>
      </c>
      <c r="N30" s="6" t="s">
        <v>680</v>
      </c>
      <c r="O30" s="6" t="s">
        <v>668</v>
      </c>
      <c r="P30" s="7" t="e">
        <f>VLOOKUP(B30,Import!A$1:B$20000,2,FALSE)</f>
        <v>#N/A</v>
      </c>
      <c r="Q30" s="8" t="s">
        <v>675</v>
      </c>
      <c r="R30" s="11" t="e">
        <f>VLOOKUP(S30,Import!A$1:B$20000,2,FALSE)</f>
        <v>#N/A</v>
      </c>
      <c r="S30" s="12" t="str">
        <f aca="true" t="shared" si="1" ref="S30:S57">CONCATENATE(E30,"_",F30,"_",G30,"_",H30,"_",I30,"_",J30,"_",K30,"_",L30,"_",M30,"_",N30,"_",O30)</f>
        <v>2_A_B14_X_X_X_1E_N12111_V_M_A</v>
      </c>
      <c r="T30" s="6">
        <v>1000</v>
      </c>
    </row>
    <row r="31" spans="1:20" ht="12">
      <c r="A31" s="9">
        <f>IF(ISBLANK(Inm_7570),"",$T$31*Inm_7570)</f>
      </c>
      <c r="B31" s="9">
        <v>7570</v>
      </c>
      <c r="C31" s="10" t="s">
        <v>691</v>
      </c>
      <c r="D31" s="10" t="s">
        <v>132</v>
      </c>
      <c r="E31" s="6">
        <v>5</v>
      </c>
      <c r="F31" s="6" t="s">
        <v>668</v>
      </c>
      <c r="G31" s="6" t="s">
        <v>687</v>
      </c>
      <c r="H31" s="6" t="s">
        <v>670</v>
      </c>
      <c r="I31" s="6" t="s">
        <v>670</v>
      </c>
      <c r="J31" s="6" t="s">
        <v>670</v>
      </c>
      <c r="K31" s="6" t="s">
        <v>689</v>
      </c>
      <c r="L31" s="6" t="s">
        <v>692</v>
      </c>
      <c r="M31" s="6" t="s">
        <v>673</v>
      </c>
      <c r="N31" s="6" t="s">
        <v>680</v>
      </c>
      <c r="O31" s="6" t="s">
        <v>668</v>
      </c>
      <c r="P31" s="7" t="e">
        <f>VLOOKUP(B31,Import!A$1:B$20000,2,FALSE)</f>
        <v>#N/A</v>
      </c>
      <c r="Q31" s="8" t="s">
        <v>675</v>
      </c>
      <c r="R31" s="11" t="e">
        <f>VLOOKUP(S31,Import!A$1:B$20000,2,FALSE)</f>
        <v>#N/A</v>
      </c>
      <c r="S31" s="12" t="str">
        <f t="shared" si="1"/>
        <v>5_A_B14_X_X_X_1E_N12111_V_M_A</v>
      </c>
      <c r="T31" s="6">
        <v>1000</v>
      </c>
    </row>
    <row r="32" spans="1:20" ht="12">
      <c r="A32" s="9">
        <f>IF(ISBLANK(Inm_7572),"",$T$32*Inm_7572)</f>
      </c>
      <c r="B32" s="9">
        <v>7572</v>
      </c>
      <c r="C32" s="10" t="s">
        <v>691</v>
      </c>
      <c r="D32" s="10" t="s">
        <v>134</v>
      </c>
      <c r="E32" s="6">
        <v>4</v>
      </c>
      <c r="F32" s="6" t="s">
        <v>668</v>
      </c>
      <c r="G32" s="6" t="s">
        <v>687</v>
      </c>
      <c r="H32" s="6" t="s">
        <v>670</v>
      </c>
      <c r="I32" s="6" t="s">
        <v>670</v>
      </c>
      <c r="J32" s="6" t="s">
        <v>670</v>
      </c>
      <c r="K32" s="6" t="s">
        <v>689</v>
      </c>
      <c r="L32" s="6" t="s">
        <v>692</v>
      </c>
      <c r="M32" s="6" t="s">
        <v>673</v>
      </c>
      <c r="N32" s="6" t="s">
        <v>680</v>
      </c>
      <c r="O32" s="6" t="s">
        <v>668</v>
      </c>
      <c r="P32" s="7" t="e">
        <f>VLOOKUP(B32,Import!A$1:B$20000,2,FALSE)</f>
        <v>#N/A</v>
      </c>
      <c r="Q32" s="8" t="s">
        <v>675</v>
      </c>
      <c r="R32" s="11" t="e">
        <f>VLOOKUP(S32,Import!A$1:B$20000,2,FALSE)</f>
        <v>#N/A</v>
      </c>
      <c r="S32" s="12" t="str">
        <f t="shared" si="1"/>
        <v>4_A_B14_X_X_X_1E_N12111_V_M_A</v>
      </c>
      <c r="T32" s="6">
        <v>1000</v>
      </c>
    </row>
    <row r="33" spans="1:20" ht="12">
      <c r="A33" s="9">
        <f>IF(ISBLANK(Inm_7574),"",$T$33*Inm_7574)</f>
      </c>
      <c r="B33" s="9">
        <v>7574</v>
      </c>
      <c r="C33" s="10" t="s">
        <v>691</v>
      </c>
      <c r="D33" s="10" t="s">
        <v>136</v>
      </c>
      <c r="E33" s="6">
        <v>3</v>
      </c>
      <c r="F33" s="6" t="s">
        <v>668</v>
      </c>
      <c r="G33" s="6" t="s">
        <v>687</v>
      </c>
      <c r="H33" s="6" t="s">
        <v>670</v>
      </c>
      <c r="I33" s="6" t="s">
        <v>670</v>
      </c>
      <c r="J33" s="6" t="s">
        <v>670</v>
      </c>
      <c r="K33" s="6" t="s">
        <v>689</v>
      </c>
      <c r="L33" s="6" t="s">
        <v>692</v>
      </c>
      <c r="M33" s="6" t="s">
        <v>673</v>
      </c>
      <c r="N33" s="6" t="s">
        <v>680</v>
      </c>
      <c r="O33" s="6" t="s">
        <v>668</v>
      </c>
      <c r="P33" s="7" t="e">
        <f>VLOOKUP(B33,Import!A$1:B$20000,2,FALSE)</f>
        <v>#N/A</v>
      </c>
      <c r="Q33" s="8" t="s">
        <v>675</v>
      </c>
      <c r="R33" s="11" t="e">
        <f>VLOOKUP(S33,Import!A$1:B$20000,2,FALSE)</f>
        <v>#N/A</v>
      </c>
      <c r="S33" s="12" t="str">
        <f t="shared" si="1"/>
        <v>3_A_B14_X_X_X_1E_N12111_V_M_A</v>
      </c>
      <c r="T33" s="6">
        <v>1000</v>
      </c>
    </row>
    <row r="34" spans="1:20" ht="12">
      <c r="A34" s="9">
        <f>IF(ISBLANK(Inm_7482),"",$T$34*Inm_7482)</f>
      </c>
      <c r="B34" s="9">
        <v>7482</v>
      </c>
      <c r="C34" s="10" t="s">
        <v>693</v>
      </c>
      <c r="D34" s="10" t="s">
        <v>44</v>
      </c>
      <c r="E34" s="6">
        <v>2</v>
      </c>
      <c r="F34" s="6" t="s">
        <v>668</v>
      </c>
      <c r="G34" s="6" t="s">
        <v>687</v>
      </c>
      <c r="H34" s="6" t="s">
        <v>670</v>
      </c>
      <c r="I34" s="6" t="s">
        <v>670</v>
      </c>
      <c r="J34" s="6" t="s">
        <v>670</v>
      </c>
      <c r="K34" s="6" t="s">
        <v>689</v>
      </c>
      <c r="L34" s="6" t="s">
        <v>694</v>
      </c>
      <c r="M34" s="6" t="s">
        <v>673</v>
      </c>
      <c r="N34" s="6" t="s">
        <v>680</v>
      </c>
      <c r="O34" s="6" t="s">
        <v>668</v>
      </c>
      <c r="P34" s="7" t="e">
        <f>VLOOKUP(B34,Import!A$1:B$20000,2,FALSE)</f>
        <v>#N/A</v>
      </c>
      <c r="Q34" s="8" t="s">
        <v>675</v>
      </c>
      <c r="R34" s="11" t="e">
        <f>VLOOKUP(S34,Import!A$1:B$20000,2,FALSE)</f>
        <v>#N/A</v>
      </c>
      <c r="S34" s="12" t="str">
        <f t="shared" si="1"/>
        <v>2_A_B14_X_X_X_1E_N121121_V_M_A</v>
      </c>
      <c r="T34" s="6">
        <v>1000</v>
      </c>
    </row>
    <row r="35" spans="1:20" ht="12">
      <c r="A35" s="9">
        <f>IF(ISBLANK(Inm_7470),"",$T$35*Inm_7470)</f>
      </c>
      <c r="B35" s="9">
        <v>7470</v>
      </c>
      <c r="C35" s="10" t="s">
        <v>693</v>
      </c>
      <c r="D35" s="10" t="s">
        <v>32</v>
      </c>
      <c r="E35" s="6">
        <v>5</v>
      </c>
      <c r="F35" s="6" t="s">
        <v>668</v>
      </c>
      <c r="G35" s="6" t="s">
        <v>687</v>
      </c>
      <c r="H35" s="6" t="s">
        <v>670</v>
      </c>
      <c r="I35" s="6" t="s">
        <v>670</v>
      </c>
      <c r="J35" s="6" t="s">
        <v>670</v>
      </c>
      <c r="K35" s="6" t="s">
        <v>689</v>
      </c>
      <c r="L35" s="6" t="s">
        <v>694</v>
      </c>
      <c r="M35" s="6" t="s">
        <v>673</v>
      </c>
      <c r="N35" s="6" t="s">
        <v>680</v>
      </c>
      <c r="O35" s="6" t="s">
        <v>668</v>
      </c>
      <c r="P35" s="7" t="e">
        <f>VLOOKUP(B35,Import!A$1:B$20000,2,FALSE)</f>
        <v>#N/A</v>
      </c>
      <c r="Q35" s="8" t="s">
        <v>675</v>
      </c>
      <c r="R35" s="11" t="e">
        <f>VLOOKUP(S35,Import!A$1:B$20000,2,FALSE)</f>
        <v>#N/A</v>
      </c>
      <c r="S35" s="12" t="str">
        <f t="shared" si="1"/>
        <v>5_A_B14_X_X_X_1E_N121121_V_M_A</v>
      </c>
      <c r="T35" s="6">
        <v>1000</v>
      </c>
    </row>
    <row r="36" spans="1:20" ht="12">
      <c r="A36" s="9">
        <f>IF(ISBLANK(Inm_7474),"",$T$36*Inm_7474)</f>
      </c>
      <c r="B36" s="9">
        <v>7474</v>
      </c>
      <c r="C36" s="10" t="s">
        <v>693</v>
      </c>
      <c r="D36" s="10" t="s">
        <v>36</v>
      </c>
      <c r="E36" s="6">
        <v>4</v>
      </c>
      <c r="F36" s="6" t="s">
        <v>668</v>
      </c>
      <c r="G36" s="6" t="s">
        <v>687</v>
      </c>
      <c r="H36" s="6" t="s">
        <v>670</v>
      </c>
      <c r="I36" s="6" t="s">
        <v>670</v>
      </c>
      <c r="J36" s="6" t="s">
        <v>670</v>
      </c>
      <c r="K36" s="6" t="s">
        <v>689</v>
      </c>
      <c r="L36" s="6" t="s">
        <v>694</v>
      </c>
      <c r="M36" s="6" t="s">
        <v>673</v>
      </c>
      <c r="N36" s="6" t="s">
        <v>680</v>
      </c>
      <c r="O36" s="6" t="s">
        <v>668</v>
      </c>
      <c r="P36" s="7" t="e">
        <f>VLOOKUP(B36,Import!A$1:B$20000,2,FALSE)</f>
        <v>#N/A</v>
      </c>
      <c r="Q36" s="8" t="s">
        <v>675</v>
      </c>
      <c r="R36" s="11" t="e">
        <f>VLOOKUP(S36,Import!A$1:B$20000,2,FALSE)</f>
        <v>#N/A</v>
      </c>
      <c r="S36" s="12" t="str">
        <f t="shared" si="1"/>
        <v>4_A_B14_X_X_X_1E_N121121_V_M_A</v>
      </c>
      <c r="T36" s="6">
        <v>1000</v>
      </c>
    </row>
    <row r="37" spans="1:20" ht="12">
      <c r="A37" s="9">
        <f>IF(ISBLANK(Inm_7478),"",$T$37*Inm_7478)</f>
      </c>
      <c r="B37" s="9">
        <v>7478</v>
      </c>
      <c r="C37" s="10" t="s">
        <v>693</v>
      </c>
      <c r="D37" s="10" t="s">
        <v>40</v>
      </c>
      <c r="E37" s="6">
        <v>3</v>
      </c>
      <c r="F37" s="6" t="s">
        <v>668</v>
      </c>
      <c r="G37" s="6" t="s">
        <v>687</v>
      </c>
      <c r="H37" s="6" t="s">
        <v>670</v>
      </c>
      <c r="I37" s="6" t="s">
        <v>670</v>
      </c>
      <c r="J37" s="6" t="s">
        <v>670</v>
      </c>
      <c r="K37" s="6" t="s">
        <v>689</v>
      </c>
      <c r="L37" s="6" t="s">
        <v>694</v>
      </c>
      <c r="M37" s="6" t="s">
        <v>673</v>
      </c>
      <c r="N37" s="6" t="s">
        <v>680</v>
      </c>
      <c r="O37" s="6" t="s">
        <v>668</v>
      </c>
      <c r="P37" s="7" t="e">
        <f>VLOOKUP(B37,Import!A$1:B$20000,2,FALSE)</f>
        <v>#N/A</v>
      </c>
      <c r="Q37" s="8" t="s">
        <v>675</v>
      </c>
      <c r="R37" s="11" t="e">
        <f>VLOOKUP(S37,Import!A$1:B$20000,2,FALSE)</f>
        <v>#N/A</v>
      </c>
      <c r="S37" s="12" t="str">
        <f t="shared" si="1"/>
        <v>3_A_B14_X_X_X_1E_N121121_V_M_A</v>
      </c>
      <c r="T37" s="6">
        <v>1000</v>
      </c>
    </row>
    <row r="38" spans="1:20" ht="12">
      <c r="A38" s="9">
        <f>IF(ISBLANK(Inm_7584),"",$T$38*Inm_7584)</f>
      </c>
      <c r="B38" s="9">
        <v>7584</v>
      </c>
      <c r="C38" s="10" t="s">
        <v>695</v>
      </c>
      <c r="D38" s="10" t="s">
        <v>146</v>
      </c>
      <c r="E38" s="6">
        <v>2</v>
      </c>
      <c r="F38" s="6" t="s">
        <v>668</v>
      </c>
      <c r="G38" s="6" t="s">
        <v>687</v>
      </c>
      <c r="H38" s="6" t="s">
        <v>670</v>
      </c>
      <c r="I38" s="6" t="s">
        <v>670</v>
      </c>
      <c r="J38" s="6" t="s">
        <v>670</v>
      </c>
      <c r="K38" s="6" t="s">
        <v>689</v>
      </c>
      <c r="L38" s="6" t="s">
        <v>696</v>
      </c>
      <c r="M38" s="6" t="s">
        <v>673</v>
      </c>
      <c r="N38" s="6" t="s">
        <v>680</v>
      </c>
      <c r="O38" s="6" t="s">
        <v>668</v>
      </c>
      <c r="P38" s="7" t="e">
        <f>VLOOKUP(B38,Import!A$1:B$20000,2,FALSE)</f>
        <v>#N/A</v>
      </c>
      <c r="Q38" s="8" t="s">
        <v>675</v>
      </c>
      <c r="R38" s="11" t="e">
        <f>VLOOKUP(S38,Import!A$1:B$20000,2,FALSE)</f>
        <v>#N/A</v>
      </c>
      <c r="S38" s="12" t="str">
        <f t="shared" si="1"/>
        <v>2_A_B14_X_X_X_1E_N12K_V_M_A</v>
      </c>
      <c r="T38" s="6">
        <v>1000</v>
      </c>
    </row>
    <row r="39" spans="1:20" ht="12">
      <c r="A39" s="9">
        <f>IF(ISBLANK(Inm_7578),"",$T$39*Inm_7578)</f>
      </c>
      <c r="B39" s="9">
        <v>7578</v>
      </c>
      <c r="C39" s="10" t="s">
        <v>695</v>
      </c>
      <c r="D39" s="10" t="s">
        <v>140</v>
      </c>
      <c r="E39" s="6">
        <v>5</v>
      </c>
      <c r="F39" s="6" t="s">
        <v>668</v>
      </c>
      <c r="G39" s="6" t="s">
        <v>687</v>
      </c>
      <c r="H39" s="6" t="s">
        <v>670</v>
      </c>
      <c r="I39" s="6" t="s">
        <v>670</v>
      </c>
      <c r="J39" s="6" t="s">
        <v>670</v>
      </c>
      <c r="K39" s="6" t="s">
        <v>689</v>
      </c>
      <c r="L39" s="6" t="s">
        <v>696</v>
      </c>
      <c r="M39" s="6" t="s">
        <v>673</v>
      </c>
      <c r="N39" s="6" t="s">
        <v>680</v>
      </c>
      <c r="O39" s="6" t="s">
        <v>668</v>
      </c>
      <c r="P39" s="7" t="e">
        <f>VLOOKUP(B39,Import!A$1:B$20000,2,FALSE)</f>
        <v>#N/A</v>
      </c>
      <c r="Q39" s="8" t="s">
        <v>675</v>
      </c>
      <c r="R39" s="11" t="e">
        <f>VLOOKUP(S39,Import!A$1:B$20000,2,FALSE)</f>
        <v>#N/A</v>
      </c>
      <c r="S39" s="12" t="str">
        <f t="shared" si="1"/>
        <v>5_A_B14_X_X_X_1E_N12K_V_M_A</v>
      </c>
      <c r="T39" s="6">
        <v>1000</v>
      </c>
    </row>
    <row r="40" spans="1:20" ht="12">
      <c r="A40" s="9">
        <f>IF(ISBLANK(Inm_7580),"",$T$40*Inm_7580)</f>
      </c>
      <c r="B40" s="9">
        <v>7580</v>
      </c>
      <c r="C40" s="10" t="s">
        <v>695</v>
      </c>
      <c r="D40" s="10" t="s">
        <v>142</v>
      </c>
      <c r="E40" s="6">
        <v>4</v>
      </c>
      <c r="F40" s="6" t="s">
        <v>668</v>
      </c>
      <c r="G40" s="6" t="s">
        <v>687</v>
      </c>
      <c r="H40" s="6" t="s">
        <v>670</v>
      </c>
      <c r="I40" s="6" t="s">
        <v>670</v>
      </c>
      <c r="J40" s="6" t="s">
        <v>670</v>
      </c>
      <c r="K40" s="6" t="s">
        <v>689</v>
      </c>
      <c r="L40" s="6" t="s">
        <v>696</v>
      </c>
      <c r="M40" s="6" t="s">
        <v>673</v>
      </c>
      <c r="N40" s="6" t="s">
        <v>680</v>
      </c>
      <c r="O40" s="6" t="s">
        <v>668</v>
      </c>
      <c r="P40" s="7" t="e">
        <f>VLOOKUP(B40,Import!A$1:B$20000,2,FALSE)</f>
        <v>#N/A</v>
      </c>
      <c r="Q40" s="8" t="s">
        <v>675</v>
      </c>
      <c r="R40" s="11" t="e">
        <f>VLOOKUP(S40,Import!A$1:B$20000,2,FALSE)</f>
        <v>#N/A</v>
      </c>
      <c r="S40" s="12" t="str">
        <f t="shared" si="1"/>
        <v>4_A_B14_X_X_X_1E_N12K_V_M_A</v>
      </c>
      <c r="T40" s="6">
        <v>1000</v>
      </c>
    </row>
    <row r="41" spans="1:20" ht="12">
      <c r="A41" s="9">
        <f>IF(ISBLANK(Inm_7582),"",$T$41*Inm_7582)</f>
      </c>
      <c r="B41" s="9">
        <v>7582</v>
      </c>
      <c r="C41" s="10" t="s">
        <v>695</v>
      </c>
      <c r="D41" s="10" t="s">
        <v>144</v>
      </c>
      <c r="E41" s="6">
        <v>3</v>
      </c>
      <c r="F41" s="6" t="s">
        <v>668</v>
      </c>
      <c r="G41" s="6" t="s">
        <v>687</v>
      </c>
      <c r="H41" s="6" t="s">
        <v>670</v>
      </c>
      <c r="I41" s="6" t="s">
        <v>670</v>
      </c>
      <c r="J41" s="6" t="s">
        <v>670</v>
      </c>
      <c r="K41" s="6" t="s">
        <v>689</v>
      </c>
      <c r="L41" s="6" t="s">
        <v>696</v>
      </c>
      <c r="M41" s="6" t="s">
        <v>673</v>
      </c>
      <c r="N41" s="6" t="s">
        <v>680</v>
      </c>
      <c r="O41" s="6" t="s">
        <v>668</v>
      </c>
      <c r="P41" s="7" t="e">
        <f>VLOOKUP(B41,Import!A$1:B$20000,2,FALSE)</f>
        <v>#N/A</v>
      </c>
      <c r="Q41" s="8" t="s">
        <v>675</v>
      </c>
      <c r="R41" s="11" t="e">
        <f>VLOOKUP(S41,Import!A$1:B$20000,2,FALSE)</f>
        <v>#N/A</v>
      </c>
      <c r="S41" s="12" t="str">
        <f t="shared" si="1"/>
        <v>3_A_B14_X_X_X_1E_N12K_V_M_A</v>
      </c>
      <c r="T41" s="6">
        <v>1000</v>
      </c>
    </row>
    <row r="42" spans="1:20" ht="12">
      <c r="A42" s="9">
        <f>IF(ISBLANK(Inm_7483),"",$T$42*Inm_7483)</f>
      </c>
      <c r="B42" s="9">
        <v>7483</v>
      </c>
      <c r="C42" s="10" t="s">
        <v>697</v>
      </c>
      <c r="D42" s="10" t="s">
        <v>45</v>
      </c>
      <c r="E42" s="6">
        <v>2</v>
      </c>
      <c r="F42" s="6" t="s">
        <v>668</v>
      </c>
      <c r="G42" s="6" t="s">
        <v>687</v>
      </c>
      <c r="H42" s="6" t="s">
        <v>670</v>
      </c>
      <c r="I42" s="6" t="s">
        <v>670</v>
      </c>
      <c r="J42" s="6" t="s">
        <v>670</v>
      </c>
      <c r="K42" s="6" t="s">
        <v>689</v>
      </c>
      <c r="L42" s="6" t="s">
        <v>698</v>
      </c>
      <c r="M42" s="6" t="s">
        <v>673</v>
      </c>
      <c r="N42" s="6" t="s">
        <v>680</v>
      </c>
      <c r="O42" s="6" t="s">
        <v>668</v>
      </c>
      <c r="P42" s="7" t="e">
        <f>VLOOKUP(B42,Import!A$1:B$20000,2,FALSE)</f>
        <v>#N/A</v>
      </c>
      <c r="Q42" s="8" t="s">
        <v>675</v>
      </c>
      <c r="R42" s="11" t="e">
        <f>VLOOKUP(S42,Import!A$1:B$20000,2,FALSE)</f>
        <v>#N/A</v>
      </c>
      <c r="S42" s="12" t="str">
        <f t="shared" si="1"/>
        <v>2_A_B14_X_X_X_1E_N11_V_M_A</v>
      </c>
      <c r="T42" s="6">
        <v>1000</v>
      </c>
    </row>
    <row r="43" spans="1:20" ht="12">
      <c r="A43" s="9">
        <f>IF(ISBLANK(Inm_7471),"",$T$43*Inm_7471)</f>
      </c>
      <c r="B43" s="9">
        <v>7471</v>
      </c>
      <c r="C43" s="10" t="s">
        <v>697</v>
      </c>
      <c r="D43" s="10" t="s">
        <v>33</v>
      </c>
      <c r="E43" s="6">
        <v>5</v>
      </c>
      <c r="F43" s="6" t="s">
        <v>668</v>
      </c>
      <c r="G43" s="6" t="s">
        <v>687</v>
      </c>
      <c r="H43" s="6" t="s">
        <v>670</v>
      </c>
      <c r="I43" s="6" t="s">
        <v>670</v>
      </c>
      <c r="J43" s="6" t="s">
        <v>670</v>
      </c>
      <c r="K43" s="6" t="s">
        <v>689</v>
      </c>
      <c r="L43" s="6" t="s">
        <v>698</v>
      </c>
      <c r="M43" s="6" t="s">
        <v>673</v>
      </c>
      <c r="N43" s="6" t="s">
        <v>680</v>
      </c>
      <c r="O43" s="6" t="s">
        <v>668</v>
      </c>
      <c r="P43" s="7" t="e">
        <f>VLOOKUP(B43,Import!A$1:B$20000,2,FALSE)</f>
        <v>#N/A</v>
      </c>
      <c r="Q43" s="8" t="s">
        <v>675</v>
      </c>
      <c r="R43" s="11" t="e">
        <f>VLOOKUP(S43,Import!A$1:B$20000,2,FALSE)</f>
        <v>#N/A</v>
      </c>
      <c r="S43" s="12" t="str">
        <f t="shared" si="1"/>
        <v>5_A_B14_X_X_X_1E_N11_V_M_A</v>
      </c>
      <c r="T43" s="6">
        <v>1000</v>
      </c>
    </row>
    <row r="44" spans="1:20" ht="12">
      <c r="A44" s="9">
        <f>IF(ISBLANK(Inm_7475),"",$T$44*Inm_7475)</f>
      </c>
      <c r="B44" s="9">
        <v>7475</v>
      </c>
      <c r="C44" s="10" t="s">
        <v>697</v>
      </c>
      <c r="D44" s="10" t="s">
        <v>37</v>
      </c>
      <c r="E44" s="6">
        <v>4</v>
      </c>
      <c r="F44" s="6" t="s">
        <v>668</v>
      </c>
      <c r="G44" s="6" t="s">
        <v>687</v>
      </c>
      <c r="H44" s="6" t="s">
        <v>670</v>
      </c>
      <c r="I44" s="6" t="s">
        <v>670</v>
      </c>
      <c r="J44" s="6" t="s">
        <v>670</v>
      </c>
      <c r="K44" s="6" t="s">
        <v>689</v>
      </c>
      <c r="L44" s="6" t="s">
        <v>698</v>
      </c>
      <c r="M44" s="6" t="s">
        <v>673</v>
      </c>
      <c r="N44" s="6" t="s">
        <v>680</v>
      </c>
      <c r="O44" s="6" t="s">
        <v>668</v>
      </c>
      <c r="P44" s="7" t="e">
        <f>VLOOKUP(B44,Import!A$1:B$20000,2,FALSE)</f>
        <v>#N/A</v>
      </c>
      <c r="Q44" s="8" t="s">
        <v>675</v>
      </c>
      <c r="R44" s="11" t="e">
        <f>VLOOKUP(S44,Import!A$1:B$20000,2,FALSE)</f>
        <v>#N/A</v>
      </c>
      <c r="S44" s="12" t="str">
        <f t="shared" si="1"/>
        <v>4_A_B14_X_X_X_1E_N11_V_M_A</v>
      </c>
      <c r="T44" s="6">
        <v>1000</v>
      </c>
    </row>
    <row r="45" spans="1:20" ht="12">
      <c r="A45" s="9">
        <f>IF(ISBLANK(Inm_7479),"",$T$45*Inm_7479)</f>
      </c>
      <c r="B45" s="9">
        <v>7479</v>
      </c>
      <c r="C45" s="10" t="s">
        <v>697</v>
      </c>
      <c r="D45" s="10" t="s">
        <v>41</v>
      </c>
      <c r="E45" s="6">
        <v>3</v>
      </c>
      <c r="F45" s="6" t="s">
        <v>668</v>
      </c>
      <c r="G45" s="6" t="s">
        <v>687</v>
      </c>
      <c r="H45" s="6" t="s">
        <v>670</v>
      </c>
      <c r="I45" s="6" t="s">
        <v>670</v>
      </c>
      <c r="J45" s="6" t="s">
        <v>670</v>
      </c>
      <c r="K45" s="6" t="s">
        <v>689</v>
      </c>
      <c r="L45" s="6" t="s">
        <v>698</v>
      </c>
      <c r="M45" s="6" t="s">
        <v>673</v>
      </c>
      <c r="N45" s="6" t="s">
        <v>680</v>
      </c>
      <c r="O45" s="6" t="s">
        <v>668</v>
      </c>
      <c r="P45" s="7" t="e">
        <f>VLOOKUP(B45,Import!A$1:B$20000,2,FALSE)</f>
        <v>#N/A</v>
      </c>
      <c r="Q45" s="8" t="s">
        <v>675</v>
      </c>
      <c r="R45" s="11" t="e">
        <f>VLOOKUP(S45,Import!A$1:B$20000,2,FALSE)</f>
        <v>#N/A</v>
      </c>
      <c r="S45" s="12" t="str">
        <f t="shared" si="1"/>
        <v>3_A_B14_X_X_X_1E_N11_V_M_A</v>
      </c>
      <c r="T45" s="6">
        <v>1000</v>
      </c>
    </row>
    <row r="46" spans="1:20" ht="12">
      <c r="A46" s="9">
        <f>IF(ISBLANK(Inm_7480),"",$T$46*Inm_7480)</f>
      </c>
      <c r="B46" s="9">
        <v>7480</v>
      </c>
      <c r="C46" s="10" t="s">
        <v>699</v>
      </c>
      <c r="D46" s="10" t="s">
        <v>42</v>
      </c>
      <c r="E46" s="6">
        <v>2</v>
      </c>
      <c r="F46" s="6" t="s">
        <v>668</v>
      </c>
      <c r="G46" s="6" t="s">
        <v>687</v>
      </c>
      <c r="H46" s="6" t="s">
        <v>670</v>
      </c>
      <c r="I46" s="6" t="s">
        <v>670</v>
      </c>
      <c r="J46" s="6" t="s">
        <v>670</v>
      </c>
      <c r="K46" s="6" t="s">
        <v>689</v>
      </c>
      <c r="L46" s="6" t="s">
        <v>700</v>
      </c>
      <c r="M46" s="6" t="s">
        <v>673</v>
      </c>
      <c r="N46" s="6" t="s">
        <v>680</v>
      </c>
      <c r="O46" s="6" t="s">
        <v>668</v>
      </c>
      <c r="P46" s="7" t="e">
        <f>VLOOKUP(B46,Import!A$1:B$20000,2,FALSE)</f>
        <v>#N/A</v>
      </c>
      <c r="Q46" s="8" t="s">
        <v>675</v>
      </c>
      <c r="R46" s="11" t="e">
        <f>VLOOKUP(S46,Import!A$1:B$20000,2,FALSE)</f>
        <v>#N/A</v>
      </c>
      <c r="S46" s="12" t="str">
        <f t="shared" si="1"/>
        <v>2_A_B14_X_X_X_1E_N23_V_M_A</v>
      </c>
      <c r="T46" s="6">
        <v>1000</v>
      </c>
    </row>
    <row r="47" spans="1:20" ht="12">
      <c r="A47" s="9">
        <f>IF(ISBLANK(Inm_7468),"",$T$47*Inm_7468)</f>
      </c>
      <c r="B47" s="9">
        <v>7468</v>
      </c>
      <c r="C47" s="10" t="s">
        <v>699</v>
      </c>
      <c r="D47" s="10" t="s">
        <v>30</v>
      </c>
      <c r="E47" s="6">
        <v>5</v>
      </c>
      <c r="F47" s="6" t="s">
        <v>668</v>
      </c>
      <c r="G47" s="6" t="s">
        <v>687</v>
      </c>
      <c r="H47" s="6" t="s">
        <v>670</v>
      </c>
      <c r="I47" s="6" t="s">
        <v>670</v>
      </c>
      <c r="J47" s="6" t="s">
        <v>670</v>
      </c>
      <c r="K47" s="6" t="s">
        <v>689</v>
      </c>
      <c r="L47" s="6" t="s">
        <v>700</v>
      </c>
      <c r="M47" s="6" t="s">
        <v>673</v>
      </c>
      <c r="N47" s="6" t="s">
        <v>680</v>
      </c>
      <c r="O47" s="6" t="s">
        <v>668</v>
      </c>
      <c r="P47" s="7" t="e">
        <f>VLOOKUP(B47,Import!A$1:B$20000,2,FALSE)</f>
        <v>#N/A</v>
      </c>
      <c r="Q47" s="8" t="s">
        <v>675</v>
      </c>
      <c r="R47" s="11" t="e">
        <f>VLOOKUP(S47,Import!A$1:B$20000,2,FALSE)</f>
        <v>#N/A</v>
      </c>
      <c r="S47" s="12" t="str">
        <f t="shared" si="1"/>
        <v>5_A_B14_X_X_X_1E_N23_V_M_A</v>
      </c>
      <c r="T47" s="6">
        <v>1000</v>
      </c>
    </row>
    <row r="48" spans="1:20" ht="12">
      <c r="A48" s="9">
        <f>IF(ISBLANK(Inm_7472),"",$T$48*Inm_7472)</f>
      </c>
      <c r="B48" s="9">
        <v>7472</v>
      </c>
      <c r="C48" s="10" t="s">
        <v>699</v>
      </c>
      <c r="D48" s="10" t="s">
        <v>34</v>
      </c>
      <c r="E48" s="6">
        <v>4</v>
      </c>
      <c r="F48" s="6" t="s">
        <v>668</v>
      </c>
      <c r="G48" s="6" t="s">
        <v>687</v>
      </c>
      <c r="H48" s="6" t="s">
        <v>670</v>
      </c>
      <c r="I48" s="6" t="s">
        <v>670</v>
      </c>
      <c r="J48" s="6" t="s">
        <v>670</v>
      </c>
      <c r="K48" s="6" t="s">
        <v>689</v>
      </c>
      <c r="L48" s="6" t="s">
        <v>700</v>
      </c>
      <c r="M48" s="6" t="s">
        <v>673</v>
      </c>
      <c r="N48" s="6" t="s">
        <v>680</v>
      </c>
      <c r="O48" s="6" t="s">
        <v>668</v>
      </c>
      <c r="P48" s="7" t="e">
        <f>VLOOKUP(B48,Import!A$1:B$20000,2,FALSE)</f>
        <v>#N/A</v>
      </c>
      <c r="Q48" s="8" t="s">
        <v>675</v>
      </c>
      <c r="R48" s="11" t="e">
        <f>VLOOKUP(S48,Import!A$1:B$20000,2,FALSE)</f>
        <v>#N/A</v>
      </c>
      <c r="S48" s="12" t="str">
        <f t="shared" si="1"/>
        <v>4_A_B14_X_X_X_1E_N23_V_M_A</v>
      </c>
      <c r="T48" s="6">
        <v>1000</v>
      </c>
    </row>
    <row r="49" spans="1:20" ht="12">
      <c r="A49" s="9">
        <f>IF(ISBLANK(Inm_7476),"",$T$49*Inm_7476)</f>
      </c>
      <c r="B49" s="9">
        <v>7476</v>
      </c>
      <c r="C49" s="10" t="s">
        <v>699</v>
      </c>
      <c r="D49" s="10" t="s">
        <v>38</v>
      </c>
      <c r="E49" s="6">
        <v>3</v>
      </c>
      <c r="F49" s="6" t="s">
        <v>668</v>
      </c>
      <c r="G49" s="6" t="s">
        <v>687</v>
      </c>
      <c r="H49" s="6" t="s">
        <v>670</v>
      </c>
      <c r="I49" s="6" t="s">
        <v>670</v>
      </c>
      <c r="J49" s="6" t="s">
        <v>670</v>
      </c>
      <c r="K49" s="6" t="s">
        <v>689</v>
      </c>
      <c r="L49" s="6" t="s">
        <v>700</v>
      </c>
      <c r="M49" s="6" t="s">
        <v>673</v>
      </c>
      <c r="N49" s="6" t="s">
        <v>680</v>
      </c>
      <c r="O49" s="6" t="s">
        <v>668</v>
      </c>
      <c r="P49" s="7" t="e">
        <f>VLOOKUP(B49,Import!A$1:B$20000,2,FALSE)</f>
        <v>#N/A</v>
      </c>
      <c r="Q49" s="8" t="s">
        <v>675</v>
      </c>
      <c r="R49" s="11" t="e">
        <f>VLOOKUP(S49,Import!A$1:B$20000,2,FALSE)</f>
        <v>#N/A</v>
      </c>
      <c r="S49" s="12" t="str">
        <f t="shared" si="1"/>
        <v>3_A_B14_X_X_X_1E_N23_V_M_A</v>
      </c>
      <c r="T49" s="6">
        <v>1000</v>
      </c>
    </row>
    <row r="50" spans="1:20" ht="12">
      <c r="A50" s="9">
        <f>IF(ISBLANK(Inm_7447),"",$T$50*Inm_7447)</f>
      </c>
      <c r="B50" s="9">
        <v>7447</v>
      </c>
      <c r="C50" s="10" t="s">
        <v>686</v>
      </c>
      <c r="D50" s="10" t="s">
        <v>9</v>
      </c>
      <c r="E50" s="6">
        <v>2</v>
      </c>
      <c r="F50" s="6" t="s">
        <v>668</v>
      </c>
      <c r="G50" s="6" t="s">
        <v>687</v>
      </c>
      <c r="H50" s="6" t="s">
        <v>670</v>
      </c>
      <c r="I50" s="6" t="s">
        <v>670</v>
      </c>
      <c r="J50" s="6" t="s">
        <v>670</v>
      </c>
      <c r="K50" s="6" t="s">
        <v>671</v>
      </c>
      <c r="L50" s="6" t="s">
        <v>672</v>
      </c>
      <c r="M50" s="6" t="s">
        <v>673</v>
      </c>
      <c r="N50" s="6" t="s">
        <v>680</v>
      </c>
      <c r="O50" s="6" t="s">
        <v>668</v>
      </c>
      <c r="P50" s="7" t="e">
        <f>VLOOKUP(B50,Import!A$1:B$20000,2,FALSE)</f>
        <v>#N/A</v>
      </c>
      <c r="Q50" s="8" t="s">
        <v>675</v>
      </c>
      <c r="R50" s="11" t="e">
        <f>VLOOKUP(S50,Import!A$1:B$20000,2,FALSE)</f>
        <v>#N/A</v>
      </c>
      <c r="S50" s="12" t="str">
        <f t="shared" si="1"/>
        <v>2_A_B14_X_X_X_3P_N_V_M_A</v>
      </c>
      <c r="T50" s="6">
        <v>1000</v>
      </c>
    </row>
    <row r="51" spans="1:20" ht="12">
      <c r="A51" s="9">
        <f>IF(ISBLANK(Inm_7444),"",$T$51*Inm_7444)</f>
      </c>
      <c r="B51" s="9">
        <v>7444</v>
      </c>
      <c r="C51" s="10" t="s">
        <v>686</v>
      </c>
      <c r="D51" s="10" t="s">
        <v>6</v>
      </c>
      <c r="E51" s="6">
        <v>5</v>
      </c>
      <c r="F51" s="6" t="s">
        <v>668</v>
      </c>
      <c r="G51" s="6" t="s">
        <v>687</v>
      </c>
      <c r="H51" s="6" t="s">
        <v>670</v>
      </c>
      <c r="I51" s="6" t="s">
        <v>670</v>
      </c>
      <c r="J51" s="6" t="s">
        <v>670</v>
      </c>
      <c r="K51" s="6" t="s">
        <v>671</v>
      </c>
      <c r="L51" s="6" t="s">
        <v>672</v>
      </c>
      <c r="M51" s="6" t="s">
        <v>673</v>
      </c>
      <c r="N51" s="6" t="s">
        <v>680</v>
      </c>
      <c r="O51" s="6" t="s">
        <v>668</v>
      </c>
      <c r="P51" s="7" t="e">
        <f>VLOOKUP(B51,Import!A$1:B$20000,2,FALSE)</f>
        <v>#N/A</v>
      </c>
      <c r="Q51" s="8" t="s">
        <v>675</v>
      </c>
      <c r="R51" s="11" t="e">
        <f>VLOOKUP(S51,Import!A$1:B$20000,2,FALSE)</f>
        <v>#N/A</v>
      </c>
      <c r="S51" s="12" t="str">
        <f t="shared" si="1"/>
        <v>5_A_B14_X_X_X_3P_N_V_M_A</v>
      </c>
      <c r="T51" s="6">
        <v>1000</v>
      </c>
    </row>
    <row r="52" spans="1:20" ht="12">
      <c r="A52" s="9">
        <f>IF(ISBLANK(Inm_7445),"",$T$52*Inm_7445)</f>
      </c>
      <c r="B52" s="9">
        <v>7445</v>
      </c>
      <c r="C52" s="10" t="s">
        <v>686</v>
      </c>
      <c r="D52" s="10" t="s">
        <v>7</v>
      </c>
      <c r="E52" s="6">
        <v>4</v>
      </c>
      <c r="F52" s="6" t="s">
        <v>668</v>
      </c>
      <c r="G52" s="6" t="s">
        <v>687</v>
      </c>
      <c r="H52" s="6" t="s">
        <v>670</v>
      </c>
      <c r="I52" s="6" t="s">
        <v>670</v>
      </c>
      <c r="J52" s="6" t="s">
        <v>670</v>
      </c>
      <c r="K52" s="6" t="s">
        <v>671</v>
      </c>
      <c r="L52" s="6" t="s">
        <v>672</v>
      </c>
      <c r="M52" s="6" t="s">
        <v>673</v>
      </c>
      <c r="N52" s="6" t="s">
        <v>680</v>
      </c>
      <c r="O52" s="6" t="s">
        <v>668</v>
      </c>
      <c r="P52" s="7" t="e">
        <f>VLOOKUP(B52,Import!A$1:B$20000,2,FALSE)</f>
        <v>#N/A</v>
      </c>
      <c r="Q52" s="8" t="s">
        <v>675</v>
      </c>
      <c r="R52" s="11" t="e">
        <f>VLOOKUP(S52,Import!A$1:B$20000,2,FALSE)</f>
        <v>#N/A</v>
      </c>
      <c r="S52" s="12" t="str">
        <f t="shared" si="1"/>
        <v>4_A_B14_X_X_X_3P_N_V_M_A</v>
      </c>
      <c r="T52" s="6">
        <v>1000</v>
      </c>
    </row>
    <row r="53" spans="1:20" ht="12">
      <c r="A53" s="9">
        <f>IF(ISBLANK(Inm_7446),"",$T$53*Inm_7446)</f>
      </c>
      <c r="B53" s="9">
        <v>7446</v>
      </c>
      <c r="C53" s="10" t="s">
        <v>686</v>
      </c>
      <c r="D53" s="10" t="s">
        <v>8</v>
      </c>
      <c r="E53" s="6">
        <v>3</v>
      </c>
      <c r="F53" s="6" t="s">
        <v>668</v>
      </c>
      <c r="G53" s="6" t="s">
        <v>687</v>
      </c>
      <c r="H53" s="6" t="s">
        <v>670</v>
      </c>
      <c r="I53" s="6" t="s">
        <v>670</v>
      </c>
      <c r="J53" s="6" t="s">
        <v>670</v>
      </c>
      <c r="K53" s="6" t="s">
        <v>671</v>
      </c>
      <c r="L53" s="6" t="s">
        <v>672</v>
      </c>
      <c r="M53" s="6" t="s">
        <v>673</v>
      </c>
      <c r="N53" s="6" t="s">
        <v>680</v>
      </c>
      <c r="O53" s="6" t="s">
        <v>668</v>
      </c>
      <c r="P53" s="7" t="e">
        <f>VLOOKUP(B53,Import!A$1:B$20000,2,FALSE)</f>
        <v>#N/A</v>
      </c>
      <c r="Q53" s="8" t="s">
        <v>675</v>
      </c>
      <c r="R53" s="11" t="e">
        <f>VLOOKUP(S53,Import!A$1:B$20000,2,FALSE)</f>
        <v>#N/A</v>
      </c>
      <c r="S53" s="12" t="str">
        <f t="shared" si="1"/>
        <v>3_A_B14_X_X_X_3P_N_V_M_A</v>
      </c>
      <c r="T53" s="6">
        <v>1000</v>
      </c>
    </row>
    <row r="54" spans="1:20" ht="12">
      <c r="A54" s="9">
        <f>IF(ISBLANK(Inm_7465),"",$T$54*Inm_7465)</f>
      </c>
      <c r="B54" s="9">
        <v>7465</v>
      </c>
      <c r="C54" s="10" t="s">
        <v>703</v>
      </c>
      <c r="D54" s="10" t="s">
        <v>27</v>
      </c>
      <c r="E54" s="6">
        <v>2</v>
      </c>
      <c r="F54" s="6" t="s">
        <v>668</v>
      </c>
      <c r="G54" s="6" t="s">
        <v>702</v>
      </c>
      <c r="H54" s="6" t="s">
        <v>670</v>
      </c>
      <c r="I54" s="6" t="s">
        <v>670</v>
      </c>
      <c r="J54" s="6" t="s">
        <v>670</v>
      </c>
      <c r="K54" s="6" t="s">
        <v>689</v>
      </c>
      <c r="L54" s="6" t="s">
        <v>690</v>
      </c>
      <c r="M54" s="6" t="s">
        <v>673</v>
      </c>
      <c r="N54" s="6" t="s">
        <v>680</v>
      </c>
      <c r="O54" s="6" t="s">
        <v>668</v>
      </c>
      <c r="P54" s="7" t="e">
        <f>VLOOKUP(B54,Import!A$1:B$20000,2,FALSE)</f>
        <v>#N/A</v>
      </c>
      <c r="Q54" s="8" t="s">
        <v>675</v>
      </c>
      <c r="R54" s="11" t="e">
        <f>VLOOKUP(S54,Import!A$1:B$20000,2,FALSE)</f>
        <v>#N/A</v>
      </c>
      <c r="S54" s="12" t="str">
        <f t="shared" si="1"/>
        <v>2_A_B15_X_X_X_1E_N21_V_M_A</v>
      </c>
      <c r="T54" s="6">
        <v>1000</v>
      </c>
    </row>
    <row r="55" spans="1:20" ht="12">
      <c r="A55" s="9">
        <f>IF(ISBLANK(Inm_7453),"",$T$55*Inm_7453)</f>
      </c>
      <c r="B55" s="9">
        <v>7453</v>
      </c>
      <c r="C55" s="10" t="s">
        <v>703</v>
      </c>
      <c r="D55" s="10" t="s">
        <v>15</v>
      </c>
      <c r="E55" s="6">
        <v>5</v>
      </c>
      <c r="F55" s="6" t="s">
        <v>668</v>
      </c>
      <c r="G55" s="6" t="s">
        <v>702</v>
      </c>
      <c r="H55" s="6" t="s">
        <v>670</v>
      </c>
      <c r="I55" s="6" t="s">
        <v>670</v>
      </c>
      <c r="J55" s="6" t="s">
        <v>670</v>
      </c>
      <c r="K55" s="6" t="s">
        <v>689</v>
      </c>
      <c r="L55" s="6" t="s">
        <v>690</v>
      </c>
      <c r="M55" s="6" t="s">
        <v>673</v>
      </c>
      <c r="N55" s="6" t="s">
        <v>680</v>
      </c>
      <c r="O55" s="6" t="s">
        <v>668</v>
      </c>
      <c r="P55" s="7" t="e">
        <f>VLOOKUP(B55,Import!A$1:B$20000,2,FALSE)</f>
        <v>#N/A</v>
      </c>
      <c r="Q55" s="8" t="s">
        <v>675</v>
      </c>
      <c r="R55" s="11" t="e">
        <f>VLOOKUP(S55,Import!A$1:B$20000,2,FALSE)</f>
        <v>#N/A</v>
      </c>
      <c r="S55" s="12" t="str">
        <f t="shared" si="1"/>
        <v>5_A_B15_X_X_X_1E_N21_V_M_A</v>
      </c>
      <c r="T55" s="6">
        <v>1000</v>
      </c>
    </row>
    <row r="56" spans="1:20" ht="12">
      <c r="A56" s="9">
        <f>IF(ISBLANK(Inm_7457),"",$T$56*Inm_7457)</f>
      </c>
      <c r="B56" s="9">
        <v>7457</v>
      </c>
      <c r="C56" s="10" t="s">
        <v>703</v>
      </c>
      <c r="D56" s="10" t="s">
        <v>19</v>
      </c>
      <c r="E56" s="6">
        <v>4</v>
      </c>
      <c r="F56" s="6" t="s">
        <v>668</v>
      </c>
      <c r="G56" s="6" t="s">
        <v>702</v>
      </c>
      <c r="H56" s="6" t="s">
        <v>670</v>
      </c>
      <c r="I56" s="6" t="s">
        <v>670</v>
      </c>
      <c r="J56" s="6" t="s">
        <v>670</v>
      </c>
      <c r="K56" s="6" t="s">
        <v>689</v>
      </c>
      <c r="L56" s="6" t="s">
        <v>690</v>
      </c>
      <c r="M56" s="6" t="s">
        <v>673</v>
      </c>
      <c r="N56" s="6" t="s">
        <v>680</v>
      </c>
      <c r="O56" s="6" t="s">
        <v>668</v>
      </c>
      <c r="P56" s="7" t="e">
        <f>VLOOKUP(B56,Import!A$1:B$20000,2,FALSE)</f>
        <v>#N/A</v>
      </c>
      <c r="Q56" s="8" t="s">
        <v>675</v>
      </c>
      <c r="R56" s="11" t="e">
        <f>VLOOKUP(S56,Import!A$1:B$20000,2,FALSE)</f>
        <v>#N/A</v>
      </c>
      <c r="S56" s="12" t="str">
        <f t="shared" si="1"/>
        <v>4_A_B15_X_X_X_1E_N21_V_M_A</v>
      </c>
      <c r="T56" s="6">
        <v>1000</v>
      </c>
    </row>
    <row r="57" spans="1:20" ht="12">
      <c r="A57" s="9">
        <f>IF(ISBLANK(Inm_7461),"",$T$57*Inm_7461)</f>
      </c>
      <c r="B57" s="9">
        <v>7461</v>
      </c>
      <c r="C57" s="10" t="s">
        <v>703</v>
      </c>
      <c r="D57" s="10" t="s">
        <v>23</v>
      </c>
      <c r="E57" s="6">
        <v>3</v>
      </c>
      <c r="F57" s="6" t="s">
        <v>668</v>
      </c>
      <c r="G57" s="6" t="s">
        <v>702</v>
      </c>
      <c r="H57" s="6" t="s">
        <v>670</v>
      </c>
      <c r="I57" s="6" t="s">
        <v>670</v>
      </c>
      <c r="J57" s="6" t="s">
        <v>670</v>
      </c>
      <c r="K57" s="6" t="s">
        <v>689</v>
      </c>
      <c r="L57" s="6" t="s">
        <v>690</v>
      </c>
      <c r="M57" s="6" t="s">
        <v>673</v>
      </c>
      <c r="N57" s="6" t="s">
        <v>680</v>
      </c>
      <c r="O57" s="6" t="s">
        <v>668</v>
      </c>
      <c r="P57" s="7" t="e">
        <f>VLOOKUP(B57,Import!A$1:B$20000,2,FALSE)</f>
        <v>#N/A</v>
      </c>
      <c r="Q57" s="8" t="s">
        <v>675</v>
      </c>
      <c r="R57" s="11" t="e">
        <f>VLOOKUP(S57,Import!A$1:B$20000,2,FALSE)</f>
        <v>#N/A</v>
      </c>
      <c r="S57" s="12" t="str">
        <f t="shared" si="1"/>
        <v>3_A_B15_X_X_X_1E_N21_V_M_A</v>
      </c>
      <c r="T57" s="6">
        <v>1000</v>
      </c>
    </row>
    <row r="58" spans="1:20" ht="12">
      <c r="A58" s="9">
        <f>IF(ISBLANK(Inm_7575),"",$T$58*Inm_7575)</f>
      </c>
      <c r="B58" s="9">
        <v>7575</v>
      </c>
      <c r="C58" s="10" t="s">
        <v>704</v>
      </c>
      <c r="D58" s="10" t="s">
        <v>137</v>
      </c>
      <c r="E58" s="6">
        <v>2</v>
      </c>
      <c r="F58" s="6" t="s">
        <v>668</v>
      </c>
      <c r="G58" s="6" t="s">
        <v>702</v>
      </c>
      <c r="H58" s="6" t="s">
        <v>670</v>
      </c>
      <c r="I58" s="6" t="s">
        <v>670</v>
      </c>
      <c r="J58" s="6" t="s">
        <v>670</v>
      </c>
      <c r="K58" s="6" t="s">
        <v>689</v>
      </c>
      <c r="L58" s="6" t="s">
        <v>692</v>
      </c>
      <c r="M58" s="6" t="s">
        <v>673</v>
      </c>
      <c r="N58" s="6" t="s">
        <v>680</v>
      </c>
      <c r="O58" s="6" t="s">
        <v>668</v>
      </c>
      <c r="P58" s="7" t="e">
        <f>VLOOKUP(B58,Import!A$1:B$20000,2,FALSE)</f>
        <v>#N/A</v>
      </c>
      <c r="Q58" s="8" t="s">
        <v>675</v>
      </c>
      <c r="R58" s="11" t="e">
        <f>VLOOKUP(S58,Import!A$1:B$20000,2,FALSE)</f>
        <v>#N/A</v>
      </c>
      <c r="S58" s="12" t="str">
        <f aca="true" t="shared" si="2" ref="S58:S89">CONCATENATE(E58,"_",F58,"_",G58,"_",H58,"_",I58,"_",J58,"_",K58,"_",L58,"_",M58,"_",N58,"_",O58)</f>
        <v>2_A_B15_X_X_X_1E_N12111_V_M_A</v>
      </c>
      <c r="T58" s="6">
        <v>1000</v>
      </c>
    </row>
    <row r="59" spans="1:20" ht="12">
      <c r="A59" s="9">
        <f>IF(ISBLANK(Inm_7569),"",$T$59*Inm_7569)</f>
      </c>
      <c r="B59" s="9">
        <v>7569</v>
      </c>
      <c r="C59" s="10" t="s">
        <v>704</v>
      </c>
      <c r="D59" s="10" t="s">
        <v>131</v>
      </c>
      <c r="E59" s="6">
        <v>5</v>
      </c>
      <c r="F59" s="6" t="s">
        <v>668</v>
      </c>
      <c r="G59" s="6" t="s">
        <v>702</v>
      </c>
      <c r="H59" s="6" t="s">
        <v>670</v>
      </c>
      <c r="I59" s="6" t="s">
        <v>670</v>
      </c>
      <c r="J59" s="6" t="s">
        <v>670</v>
      </c>
      <c r="K59" s="6" t="s">
        <v>689</v>
      </c>
      <c r="L59" s="6" t="s">
        <v>692</v>
      </c>
      <c r="M59" s="6" t="s">
        <v>673</v>
      </c>
      <c r="N59" s="6" t="s">
        <v>680</v>
      </c>
      <c r="O59" s="6" t="s">
        <v>668</v>
      </c>
      <c r="P59" s="7" t="e">
        <f>VLOOKUP(B59,Import!A$1:B$20000,2,FALSE)</f>
        <v>#N/A</v>
      </c>
      <c r="Q59" s="8" t="s">
        <v>675</v>
      </c>
      <c r="R59" s="11" t="e">
        <f>VLOOKUP(S59,Import!A$1:B$20000,2,FALSE)</f>
        <v>#N/A</v>
      </c>
      <c r="S59" s="12" t="str">
        <f t="shared" si="2"/>
        <v>5_A_B15_X_X_X_1E_N12111_V_M_A</v>
      </c>
      <c r="T59" s="6">
        <v>1000</v>
      </c>
    </row>
    <row r="60" spans="1:20" ht="12">
      <c r="A60" s="9">
        <f>IF(ISBLANK(Inm_7571),"",$T$60*Inm_7571)</f>
      </c>
      <c r="B60" s="9">
        <v>7571</v>
      </c>
      <c r="C60" s="10" t="s">
        <v>704</v>
      </c>
      <c r="D60" s="10" t="s">
        <v>133</v>
      </c>
      <c r="E60" s="6">
        <v>4</v>
      </c>
      <c r="F60" s="6" t="s">
        <v>668</v>
      </c>
      <c r="G60" s="6" t="s">
        <v>702</v>
      </c>
      <c r="H60" s="6" t="s">
        <v>670</v>
      </c>
      <c r="I60" s="6" t="s">
        <v>670</v>
      </c>
      <c r="J60" s="6" t="s">
        <v>670</v>
      </c>
      <c r="K60" s="6" t="s">
        <v>689</v>
      </c>
      <c r="L60" s="6" t="s">
        <v>692</v>
      </c>
      <c r="M60" s="6" t="s">
        <v>673</v>
      </c>
      <c r="N60" s="6" t="s">
        <v>680</v>
      </c>
      <c r="O60" s="6" t="s">
        <v>668</v>
      </c>
      <c r="P60" s="7" t="e">
        <f>VLOOKUP(B60,Import!A$1:B$20000,2,FALSE)</f>
        <v>#N/A</v>
      </c>
      <c r="Q60" s="8" t="s">
        <v>675</v>
      </c>
      <c r="R60" s="11" t="e">
        <f>VLOOKUP(S60,Import!A$1:B$20000,2,FALSE)</f>
        <v>#N/A</v>
      </c>
      <c r="S60" s="12" t="str">
        <f t="shared" si="2"/>
        <v>4_A_B15_X_X_X_1E_N12111_V_M_A</v>
      </c>
      <c r="T60" s="6">
        <v>1000</v>
      </c>
    </row>
    <row r="61" spans="1:20" ht="12">
      <c r="A61" s="9">
        <f>IF(ISBLANK(Inm_7573),"",$T$61*Inm_7573)</f>
      </c>
      <c r="B61" s="9">
        <v>7573</v>
      </c>
      <c r="C61" s="10" t="s">
        <v>704</v>
      </c>
      <c r="D61" s="10" t="s">
        <v>135</v>
      </c>
      <c r="E61" s="6">
        <v>3</v>
      </c>
      <c r="F61" s="6" t="s">
        <v>668</v>
      </c>
      <c r="G61" s="6" t="s">
        <v>702</v>
      </c>
      <c r="H61" s="6" t="s">
        <v>670</v>
      </c>
      <c r="I61" s="6" t="s">
        <v>670</v>
      </c>
      <c r="J61" s="6" t="s">
        <v>670</v>
      </c>
      <c r="K61" s="6" t="s">
        <v>689</v>
      </c>
      <c r="L61" s="6" t="s">
        <v>692</v>
      </c>
      <c r="M61" s="6" t="s">
        <v>673</v>
      </c>
      <c r="N61" s="6" t="s">
        <v>680</v>
      </c>
      <c r="O61" s="6" t="s">
        <v>668</v>
      </c>
      <c r="P61" s="7" t="e">
        <f>VLOOKUP(B61,Import!A$1:B$20000,2,FALSE)</f>
        <v>#N/A</v>
      </c>
      <c r="Q61" s="8" t="s">
        <v>675</v>
      </c>
      <c r="R61" s="11" t="e">
        <f>VLOOKUP(S61,Import!A$1:B$20000,2,FALSE)</f>
        <v>#N/A</v>
      </c>
      <c r="S61" s="12" t="str">
        <f t="shared" si="2"/>
        <v>3_A_B15_X_X_X_1E_N12111_V_M_A</v>
      </c>
      <c r="T61" s="6">
        <v>1000</v>
      </c>
    </row>
    <row r="62" spans="1:20" ht="12">
      <c r="A62" s="9">
        <f>IF(ISBLANK(Inm_7466),"",$T$62*Inm_7466)</f>
      </c>
      <c r="B62" s="9">
        <v>7466</v>
      </c>
      <c r="C62" s="10" t="s">
        <v>705</v>
      </c>
      <c r="D62" s="10" t="s">
        <v>28</v>
      </c>
      <c r="E62" s="6">
        <v>2</v>
      </c>
      <c r="F62" s="6" t="s">
        <v>668</v>
      </c>
      <c r="G62" s="6" t="s">
        <v>702</v>
      </c>
      <c r="H62" s="6" t="s">
        <v>670</v>
      </c>
      <c r="I62" s="6" t="s">
        <v>670</v>
      </c>
      <c r="J62" s="6" t="s">
        <v>670</v>
      </c>
      <c r="K62" s="6" t="s">
        <v>689</v>
      </c>
      <c r="L62" s="6" t="s">
        <v>694</v>
      </c>
      <c r="M62" s="6" t="s">
        <v>673</v>
      </c>
      <c r="N62" s="6" t="s">
        <v>680</v>
      </c>
      <c r="O62" s="6" t="s">
        <v>668</v>
      </c>
      <c r="P62" s="7" t="e">
        <f>VLOOKUP(B62,Import!A$1:B$20000,2,FALSE)</f>
        <v>#N/A</v>
      </c>
      <c r="Q62" s="8" t="s">
        <v>675</v>
      </c>
      <c r="R62" s="11" t="e">
        <f>VLOOKUP(S62,Import!A$1:B$20000,2,FALSE)</f>
        <v>#N/A</v>
      </c>
      <c r="S62" s="12" t="str">
        <f t="shared" si="2"/>
        <v>2_A_B15_X_X_X_1E_N121121_V_M_A</v>
      </c>
      <c r="T62" s="6">
        <v>1000</v>
      </c>
    </row>
    <row r="63" spans="1:20" ht="12">
      <c r="A63" s="9">
        <f>IF(ISBLANK(Inm_7454),"",$T$63*Inm_7454)</f>
      </c>
      <c r="B63" s="9">
        <v>7454</v>
      </c>
      <c r="C63" s="10" t="s">
        <v>705</v>
      </c>
      <c r="D63" s="10" t="s">
        <v>16</v>
      </c>
      <c r="E63" s="6">
        <v>5</v>
      </c>
      <c r="F63" s="6" t="s">
        <v>668</v>
      </c>
      <c r="G63" s="6" t="s">
        <v>702</v>
      </c>
      <c r="H63" s="6" t="s">
        <v>670</v>
      </c>
      <c r="I63" s="6" t="s">
        <v>670</v>
      </c>
      <c r="J63" s="6" t="s">
        <v>670</v>
      </c>
      <c r="K63" s="6" t="s">
        <v>689</v>
      </c>
      <c r="L63" s="6" t="s">
        <v>694</v>
      </c>
      <c r="M63" s="6" t="s">
        <v>673</v>
      </c>
      <c r="N63" s="6" t="s">
        <v>680</v>
      </c>
      <c r="O63" s="6" t="s">
        <v>668</v>
      </c>
      <c r="P63" s="7" t="e">
        <f>VLOOKUP(B63,Import!A$1:B$20000,2,FALSE)</f>
        <v>#N/A</v>
      </c>
      <c r="Q63" s="8" t="s">
        <v>675</v>
      </c>
      <c r="R63" s="11" t="e">
        <f>VLOOKUP(S63,Import!A$1:B$20000,2,FALSE)</f>
        <v>#N/A</v>
      </c>
      <c r="S63" s="12" t="str">
        <f t="shared" si="2"/>
        <v>5_A_B15_X_X_X_1E_N121121_V_M_A</v>
      </c>
      <c r="T63" s="6">
        <v>1000</v>
      </c>
    </row>
    <row r="64" spans="1:20" ht="12">
      <c r="A64" s="9">
        <f>IF(ISBLANK(Inm_7458),"",$T$64*Inm_7458)</f>
      </c>
      <c r="B64" s="9">
        <v>7458</v>
      </c>
      <c r="C64" s="10" t="s">
        <v>705</v>
      </c>
      <c r="D64" s="10" t="s">
        <v>20</v>
      </c>
      <c r="E64" s="6">
        <v>4</v>
      </c>
      <c r="F64" s="6" t="s">
        <v>668</v>
      </c>
      <c r="G64" s="6" t="s">
        <v>702</v>
      </c>
      <c r="H64" s="6" t="s">
        <v>670</v>
      </c>
      <c r="I64" s="6" t="s">
        <v>670</v>
      </c>
      <c r="J64" s="6" t="s">
        <v>670</v>
      </c>
      <c r="K64" s="6" t="s">
        <v>689</v>
      </c>
      <c r="L64" s="6" t="s">
        <v>694</v>
      </c>
      <c r="M64" s="6" t="s">
        <v>673</v>
      </c>
      <c r="N64" s="6" t="s">
        <v>680</v>
      </c>
      <c r="O64" s="6" t="s">
        <v>668</v>
      </c>
      <c r="P64" s="7" t="e">
        <f>VLOOKUP(B64,Import!A$1:B$20000,2,FALSE)</f>
        <v>#N/A</v>
      </c>
      <c r="Q64" s="8" t="s">
        <v>675</v>
      </c>
      <c r="R64" s="11" t="e">
        <f>VLOOKUP(S64,Import!A$1:B$20000,2,FALSE)</f>
        <v>#N/A</v>
      </c>
      <c r="S64" s="12" t="str">
        <f t="shared" si="2"/>
        <v>4_A_B15_X_X_X_1E_N121121_V_M_A</v>
      </c>
      <c r="T64" s="6">
        <v>1000</v>
      </c>
    </row>
    <row r="65" spans="1:20" ht="12">
      <c r="A65" s="9">
        <f>IF(ISBLANK(Inm_7462),"",$T$65*Inm_7462)</f>
      </c>
      <c r="B65" s="9">
        <v>7462</v>
      </c>
      <c r="C65" s="10" t="s">
        <v>705</v>
      </c>
      <c r="D65" s="10" t="s">
        <v>24</v>
      </c>
      <c r="E65" s="6">
        <v>3</v>
      </c>
      <c r="F65" s="6" t="s">
        <v>668</v>
      </c>
      <c r="G65" s="6" t="s">
        <v>702</v>
      </c>
      <c r="H65" s="6" t="s">
        <v>670</v>
      </c>
      <c r="I65" s="6" t="s">
        <v>670</v>
      </c>
      <c r="J65" s="6" t="s">
        <v>670</v>
      </c>
      <c r="K65" s="6" t="s">
        <v>689</v>
      </c>
      <c r="L65" s="6" t="s">
        <v>694</v>
      </c>
      <c r="M65" s="6" t="s">
        <v>673</v>
      </c>
      <c r="N65" s="6" t="s">
        <v>680</v>
      </c>
      <c r="O65" s="6" t="s">
        <v>668</v>
      </c>
      <c r="P65" s="7" t="e">
        <f>VLOOKUP(B65,Import!A$1:B$20000,2,FALSE)</f>
        <v>#N/A</v>
      </c>
      <c r="Q65" s="8" t="s">
        <v>675</v>
      </c>
      <c r="R65" s="11" t="e">
        <f>VLOOKUP(S65,Import!A$1:B$20000,2,FALSE)</f>
        <v>#N/A</v>
      </c>
      <c r="S65" s="12" t="str">
        <f t="shared" si="2"/>
        <v>3_A_B15_X_X_X_1E_N121121_V_M_A</v>
      </c>
      <c r="T65" s="6">
        <v>1000</v>
      </c>
    </row>
    <row r="66" spans="1:20" ht="12">
      <c r="A66" s="9">
        <f>IF(ISBLANK(Inm_7583),"",$T$66*Inm_7583)</f>
      </c>
      <c r="B66" s="9">
        <v>7583</v>
      </c>
      <c r="C66" s="10" t="s">
        <v>706</v>
      </c>
      <c r="D66" s="10" t="s">
        <v>145</v>
      </c>
      <c r="E66" s="6">
        <v>2</v>
      </c>
      <c r="F66" s="6" t="s">
        <v>668</v>
      </c>
      <c r="G66" s="6" t="s">
        <v>702</v>
      </c>
      <c r="H66" s="6" t="s">
        <v>670</v>
      </c>
      <c r="I66" s="6" t="s">
        <v>670</v>
      </c>
      <c r="J66" s="6" t="s">
        <v>670</v>
      </c>
      <c r="K66" s="6" t="s">
        <v>689</v>
      </c>
      <c r="L66" s="6" t="s">
        <v>696</v>
      </c>
      <c r="M66" s="6" t="s">
        <v>673</v>
      </c>
      <c r="N66" s="6" t="s">
        <v>680</v>
      </c>
      <c r="O66" s="6" t="s">
        <v>668</v>
      </c>
      <c r="P66" s="7" t="e">
        <f>VLOOKUP(B66,Import!A$1:B$20000,2,FALSE)</f>
        <v>#N/A</v>
      </c>
      <c r="Q66" s="8" t="s">
        <v>675</v>
      </c>
      <c r="R66" s="11" t="e">
        <f>VLOOKUP(S66,Import!A$1:B$20000,2,FALSE)</f>
        <v>#N/A</v>
      </c>
      <c r="S66" s="12" t="str">
        <f t="shared" si="2"/>
        <v>2_A_B15_X_X_X_1E_N12K_V_M_A</v>
      </c>
      <c r="T66" s="6">
        <v>1000</v>
      </c>
    </row>
    <row r="67" spans="1:20" ht="12">
      <c r="A67" s="9">
        <f>IF(ISBLANK(Inm_7577),"",$T$67*Inm_7577)</f>
      </c>
      <c r="B67" s="9">
        <v>7577</v>
      </c>
      <c r="C67" s="10" t="s">
        <v>706</v>
      </c>
      <c r="D67" s="10" t="s">
        <v>139</v>
      </c>
      <c r="E67" s="6">
        <v>5</v>
      </c>
      <c r="F67" s="6" t="s">
        <v>668</v>
      </c>
      <c r="G67" s="6" t="s">
        <v>702</v>
      </c>
      <c r="H67" s="6" t="s">
        <v>670</v>
      </c>
      <c r="I67" s="6" t="s">
        <v>670</v>
      </c>
      <c r="J67" s="6" t="s">
        <v>670</v>
      </c>
      <c r="K67" s="6" t="s">
        <v>689</v>
      </c>
      <c r="L67" s="6" t="s">
        <v>696</v>
      </c>
      <c r="M67" s="6" t="s">
        <v>673</v>
      </c>
      <c r="N67" s="6" t="s">
        <v>680</v>
      </c>
      <c r="O67" s="6" t="s">
        <v>668</v>
      </c>
      <c r="P67" s="7" t="e">
        <f>VLOOKUP(B67,Import!A$1:B$20000,2,FALSE)</f>
        <v>#N/A</v>
      </c>
      <c r="Q67" s="8" t="s">
        <v>675</v>
      </c>
      <c r="R67" s="11" t="e">
        <f>VLOOKUP(S67,Import!A$1:B$20000,2,FALSE)</f>
        <v>#N/A</v>
      </c>
      <c r="S67" s="12" t="str">
        <f t="shared" si="2"/>
        <v>5_A_B15_X_X_X_1E_N12K_V_M_A</v>
      </c>
      <c r="T67" s="6">
        <v>1000</v>
      </c>
    </row>
    <row r="68" spans="1:20" ht="12">
      <c r="A68" s="9">
        <f>IF(ISBLANK(Inm_7579),"",$T$68*Inm_7579)</f>
      </c>
      <c r="B68" s="9">
        <v>7579</v>
      </c>
      <c r="C68" s="10" t="s">
        <v>706</v>
      </c>
      <c r="D68" s="10" t="s">
        <v>141</v>
      </c>
      <c r="E68" s="6">
        <v>4</v>
      </c>
      <c r="F68" s="6" t="s">
        <v>668</v>
      </c>
      <c r="G68" s="6" t="s">
        <v>702</v>
      </c>
      <c r="H68" s="6" t="s">
        <v>670</v>
      </c>
      <c r="I68" s="6" t="s">
        <v>670</v>
      </c>
      <c r="J68" s="6" t="s">
        <v>670</v>
      </c>
      <c r="K68" s="6" t="s">
        <v>689</v>
      </c>
      <c r="L68" s="6" t="s">
        <v>696</v>
      </c>
      <c r="M68" s="6" t="s">
        <v>673</v>
      </c>
      <c r="N68" s="6" t="s">
        <v>680</v>
      </c>
      <c r="O68" s="6" t="s">
        <v>668</v>
      </c>
      <c r="P68" s="7" t="e">
        <f>VLOOKUP(B68,Import!A$1:B$20000,2,FALSE)</f>
        <v>#N/A</v>
      </c>
      <c r="Q68" s="8" t="s">
        <v>675</v>
      </c>
      <c r="R68" s="11" t="e">
        <f>VLOOKUP(S68,Import!A$1:B$20000,2,FALSE)</f>
        <v>#N/A</v>
      </c>
      <c r="S68" s="12" t="str">
        <f t="shared" si="2"/>
        <v>4_A_B15_X_X_X_1E_N12K_V_M_A</v>
      </c>
      <c r="T68" s="6">
        <v>1000</v>
      </c>
    </row>
    <row r="69" spans="1:20" ht="12">
      <c r="A69" s="9">
        <f>IF(ISBLANK(Inm_7581),"",$T$69*Inm_7581)</f>
      </c>
      <c r="B69" s="9">
        <v>7581</v>
      </c>
      <c r="C69" s="10" t="s">
        <v>706</v>
      </c>
      <c r="D69" s="10" t="s">
        <v>143</v>
      </c>
      <c r="E69" s="6">
        <v>3</v>
      </c>
      <c r="F69" s="6" t="s">
        <v>668</v>
      </c>
      <c r="G69" s="6" t="s">
        <v>702</v>
      </c>
      <c r="H69" s="6" t="s">
        <v>670</v>
      </c>
      <c r="I69" s="6" t="s">
        <v>670</v>
      </c>
      <c r="J69" s="6" t="s">
        <v>670</v>
      </c>
      <c r="K69" s="6" t="s">
        <v>689</v>
      </c>
      <c r="L69" s="6" t="s">
        <v>696</v>
      </c>
      <c r="M69" s="6" t="s">
        <v>673</v>
      </c>
      <c r="N69" s="6" t="s">
        <v>680</v>
      </c>
      <c r="O69" s="6" t="s">
        <v>668</v>
      </c>
      <c r="P69" s="7" t="e">
        <f>VLOOKUP(B69,Import!A$1:B$20000,2,FALSE)</f>
        <v>#N/A</v>
      </c>
      <c r="Q69" s="8" t="s">
        <v>675</v>
      </c>
      <c r="R69" s="11" t="e">
        <f>VLOOKUP(S69,Import!A$1:B$20000,2,FALSE)</f>
        <v>#N/A</v>
      </c>
      <c r="S69" s="12" t="str">
        <f t="shared" si="2"/>
        <v>3_A_B15_X_X_X_1E_N12K_V_M_A</v>
      </c>
      <c r="T69" s="6">
        <v>1000</v>
      </c>
    </row>
    <row r="70" spans="1:20" ht="12">
      <c r="A70" s="9">
        <f>IF(ISBLANK(Inm_7467),"",$T$70*Inm_7467)</f>
      </c>
      <c r="B70" s="9">
        <v>7467</v>
      </c>
      <c r="C70" s="10" t="s">
        <v>707</v>
      </c>
      <c r="D70" s="10" t="s">
        <v>29</v>
      </c>
      <c r="E70" s="6">
        <v>2</v>
      </c>
      <c r="F70" s="6" t="s">
        <v>668</v>
      </c>
      <c r="G70" s="6" t="s">
        <v>702</v>
      </c>
      <c r="H70" s="6" t="s">
        <v>670</v>
      </c>
      <c r="I70" s="6" t="s">
        <v>670</v>
      </c>
      <c r="J70" s="6" t="s">
        <v>670</v>
      </c>
      <c r="K70" s="6" t="s">
        <v>689</v>
      </c>
      <c r="L70" s="6" t="s">
        <v>698</v>
      </c>
      <c r="M70" s="6" t="s">
        <v>673</v>
      </c>
      <c r="N70" s="6" t="s">
        <v>680</v>
      </c>
      <c r="O70" s="6" t="s">
        <v>668</v>
      </c>
      <c r="P70" s="7" t="e">
        <f>VLOOKUP(B70,Import!A$1:B$20000,2,FALSE)</f>
        <v>#N/A</v>
      </c>
      <c r="Q70" s="8" t="s">
        <v>675</v>
      </c>
      <c r="R70" s="11" t="e">
        <f>VLOOKUP(S70,Import!A$1:B$20000,2,FALSE)</f>
        <v>#N/A</v>
      </c>
      <c r="S70" s="12" t="str">
        <f t="shared" si="2"/>
        <v>2_A_B15_X_X_X_1E_N11_V_M_A</v>
      </c>
      <c r="T70" s="6">
        <v>1000</v>
      </c>
    </row>
    <row r="71" spans="1:20" ht="12">
      <c r="A71" s="9">
        <f>IF(ISBLANK(Inm_7455),"",$T$71*Inm_7455)</f>
      </c>
      <c r="B71" s="9">
        <v>7455</v>
      </c>
      <c r="C71" s="10" t="s">
        <v>707</v>
      </c>
      <c r="D71" s="10" t="s">
        <v>17</v>
      </c>
      <c r="E71" s="6">
        <v>5</v>
      </c>
      <c r="F71" s="6" t="s">
        <v>668</v>
      </c>
      <c r="G71" s="6" t="s">
        <v>702</v>
      </c>
      <c r="H71" s="6" t="s">
        <v>670</v>
      </c>
      <c r="I71" s="6" t="s">
        <v>670</v>
      </c>
      <c r="J71" s="6" t="s">
        <v>670</v>
      </c>
      <c r="K71" s="6" t="s">
        <v>689</v>
      </c>
      <c r="L71" s="6" t="s">
        <v>698</v>
      </c>
      <c r="M71" s="6" t="s">
        <v>673</v>
      </c>
      <c r="N71" s="6" t="s">
        <v>680</v>
      </c>
      <c r="O71" s="6" t="s">
        <v>668</v>
      </c>
      <c r="P71" s="7" t="e">
        <f>VLOOKUP(B71,Import!A$1:B$20000,2,FALSE)</f>
        <v>#N/A</v>
      </c>
      <c r="Q71" s="8" t="s">
        <v>675</v>
      </c>
      <c r="R71" s="11" t="e">
        <f>VLOOKUP(S71,Import!A$1:B$20000,2,FALSE)</f>
        <v>#N/A</v>
      </c>
      <c r="S71" s="12" t="str">
        <f t="shared" si="2"/>
        <v>5_A_B15_X_X_X_1E_N11_V_M_A</v>
      </c>
      <c r="T71" s="6">
        <v>1000</v>
      </c>
    </row>
    <row r="72" spans="1:20" ht="12">
      <c r="A72" s="9">
        <f>IF(ISBLANK(Inm_7459),"",$T$72*Inm_7459)</f>
      </c>
      <c r="B72" s="9">
        <v>7459</v>
      </c>
      <c r="C72" s="10" t="s">
        <v>707</v>
      </c>
      <c r="D72" s="10" t="s">
        <v>21</v>
      </c>
      <c r="E72" s="6">
        <v>4</v>
      </c>
      <c r="F72" s="6" t="s">
        <v>668</v>
      </c>
      <c r="G72" s="6" t="s">
        <v>702</v>
      </c>
      <c r="H72" s="6" t="s">
        <v>670</v>
      </c>
      <c r="I72" s="6" t="s">
        <v>670</v>
      </c>
      <c r="J72" s="6" t="s">
        <v>670</v>
      </c>
      <c r="K72" s="6" t="s">
        <v>689</v>
      </c>
      <c r="L72" s="6" t="s">
        <v>698</v>
      </c>
      <c r="M72" s="6" t="s">
        <v>673</v>
      </c>
      <c r="N72" s="6" t="s">
        <v>680</v>
      </c>
      <c r="O72" s="6" t="s">
        <v>668</v>
      </c>
      <c r="P72" s="7" t="e">
        <f>VLOOKUP(B72,Import!A$1:B$20000,2,FALSE)</f>
        <v>#N/A</v>
      </c>
      <c r="Q72" s="8" t="s">
        <v>675</v>
      </c>
      <c r="R72" s="11" t="e">
        <f>VLOOKUP(S72,Import!A$1:B$20000,2,FALSE)</f>
        <v>#N/A</v>
      </c>
      <c r="S72" s="12" t="str">
        <f t="shared" si="2"/>
        <v>4_A_B15_X_X_X_1E_N11_V_M_A</v>
      </c>
      <c r="T72" s="6">
        <v>1000</v>
      </c>
    </row>
    <row r="73" spans="1:20" ht="12">
      <c r="A73" s="9">
        <f>IF(ISBLANK(Inm_7463),"",$T$73*Inm_7463)</f>
      </c>
      <c r="B73" s="9">
        <v>7463</v>
      </c>
      <c r="C73" s="10" t="s">
        <v>707</v>
      </c>
      <c r="D73" s="10" t="s">
        <v>25</v>
      </c>
      <c r="E73" s="6">
        <v>3</v>
      </c>
      <c r="F73" s="6" t="s">
        <v>668</v>
      </c>
      <c r="G73" s="6" t="s">
        <v>702</v>
      </c>
      <c r="H73" s="6" t="s">
        <v>670</v>
      </c>
      <c r="I73" s="6" t="s">
        <v>670</v>
      </c>
      <c r="J73" s="6" t="s">
        <v>670</v>
      </c>
      <c r="K73" s="6" t="s">
        <v>689</v>
      </c>
      <c r="L73" s="6" t="s">
        <v>698</v>
      </c>
      <c r="M73" s="6" t="s">
        <v>673</v>
      </c>
      <c r="N73" s="6" t="s">
        <v>680</v>
      </c>
      <c r="O73" s="6" t="s">
        <v>668</v>
      </c>
      <c r="P73" s="7" t="e">
        <f>VLOOKUP(B73,Import!A$1:B$20000,2,FALSE)</f>
        <v>#N/A</v>
      </c>
      <c r="Q73" s="8" t="s">
        <v>675</v>
      </c>
      <c r="R73" s="11" t="e">
        <f>VLOOKUP(S73,Import!A$1:B$20000,2,FALSE)</f>
        <v>#N/A</v>
      </c>
      <c r="S73" s="12" t="str">
        <f t="shared" si="2"/>
        <v>3_A_B15_X_X_X_1E_N11_V_M_A</v>
      </c>
      <c r="T73" s="6">
        <v>1000</v>
      </c>
    </row>
    <row r="74" spans="1:20" ht="12">
      <c r="A74" s="9">
        <f>IF(ISBLANK(Inm_7464),"",$T$74*Inm_7464)</f>
      </c>
      <c r="B74" s="9">
        <v>7464</v>
      </c>
      <c r="C74" s="10" t="s">
        <v>708</v>
      </c>
      <c r="D74" s="10" t="s">
        <v>26</v>
      </c>
      <c r="E74" s="6">
        <v>2</v>
      </c>
      <c r="F74" s="6" t="s">
        <v>668</v>
      </c>
      <c r="G74" s="6" t="s">
        <v>702</v>
      </c>
      <c r="H74" s="6" t="s">
        <v>670</v>
      </c>
      <c r="I74" s="6" t="s">
        <v>670</v>
      </c>
      <c r="J74" s="6" t="s">
        <v>670</v>
      </c>
      <c r="K74" s="6" t="s">
        <v>689</v>
      </c>
      <c r="L74" s="6" t="s">
        <v>700</v>
      </c>
      <c r="M74" s="6" t="s">
        <v>673</v>
      </c>
      <c r="N74" s="6" t="s">
        <v>680</v>
      </c>
      <c r="O74" s="6" t="s">
        <v>668</v>
      </c>
      <c r="P74" s="7" t="e">
        <f>VLOOKUP(B74,Import!A$1:B$20000,2,FALSE)</f>
        <v>#N/A</v>
      </c>
      <c r="Q74" s="8" t="s">
        <v>675</v>
      </c>
      <c r="R74" s="11" t="e">
        <f>VLOOKUP(S74,Import!A$1:B$20000,2,FALSE)</f>
        <v>#N/A</v>
      </c>
      <c r="S74" s="12" t="str">
        <f t="shared" si="2"/>
        <v>2_A_B15_X_X_X_1E_N23_V_M_A</v>
      </c>
      <c r="T74" s="6">
        <v>1000</v>
      </c>
    </row>
    <row r="75" spans="1:20" ht="12">
      <c r="A75" s="9">
        <f>IF(ISBLANK(Inm_7452),"",$T$75*Inm_7452)</f>
      </c>
      <c r="B75" s="9">
        <v>7452</v>
      </c>
      <c r="C75" s="10" t="s">
        <v>708</v>
      </c>
      <c r="D75" s="10" t="s">
        <v>14</v>
      </c>
      <c r="E75" s="6">
        <v>5</v>
      </c>
      <c r="F75" s="6" t="s">
        <v>668</v>
      </c>
      <c r="G75" s="6" t="s">
        <v>702</v>
      </c>
      <c r="H75" s="6" t="s">
        <v>670</v>
      </c>
      <c r="I75" s="6" t="s">
        <v>670</v>
      </c>
      <c r="J75" s="6" t="s">
        <v>670</v>
      </c>
      <c r="K75" s="6" t="s">
        <v>689</v>
      </c>
      <c r="L75" s="6" t="s">
        <v>700</v>
      </c>
      <c r="M75" s="6" t="s">
        <v>673</v>
      </c>
      <c r="N75" s="6" t="s">
        <v>680</v>
      </c>
      <c r="O75" s="6" t="s">
        <v>668</v>
      </c>
      <c r="P75" s="7" t="e">
        <f>VLOOKUP(B75,Import!A$1:B$20000,2,FALSE)</f>
        <v>#N/A</v>
      </c>
      <c r="Q75" s="8" t="s">
        <v>675</v>
      </c>
      <c r="R75" s="11" t="e">
        <f>VLOOKUP(S75,Import!A$1:B$20000,2,FALSE)</f>
        <v>#N/A</v>
      </c>
      <c r="S75" s="12" t="str">
        <f t="shared" si="2"/>
        <v>5_A_B15_X_X_X_1E_N23_V_M_A</v>
      </c>
      <c r="T75" s="6">
        <v>1000</v>
      </c>
    </row>
    <row r="76" spans="1:20" ht="12">
      <c r="A76" s="9">
        <f>IF(ISBLANK(Inm_7456),"",$T$76*Inm_7456)</f>
      </c>
      <c r="B76" s="9">
        <v>7456</v>
      </c>
      <c r="C76" s="10" t="s">
        <v>708</v>
      </c>
      <c r="D76" s="10" t="s">
        <v>18</v>
      </c>
      <c r="E76" s="6">
        <v>4</v>
      </c>
      <c r="F76" s="6" t="s">
        <v>668</v>
      </c>
      <c r="G76" s="6" t="s">
        <v>702</v>
      </c>
      <c r="H76" s="6" t="s">
        <v>670</v>
      </c>
      <c r="I76" s="6" t="s">
        <v>670</v>
      </c>
      <c r="J76" s="6" t="s">
        <v>670</v>
      </c>
      <c r="K76" s="6" t="s">
        <v>689</v>
      </c>
      <c r="L76" s="6" t="s">
        <v>700</v>
      </c>
      <c r="M76" s="6" t="s">
        <v>673</v>
      </c>
      <c r="N76" s="6" t="s">
        <v>680</v>
      </c>
      <c r="O76" s="6" t="s">
        <v>668</v>
      </c>
      <c r="P76" s="7" t="e">
        <f>VLOOKUP(B76,Import!A$1:B$20000,2,FALSE)</f>
        <v>#N/A</v>
      </c>
      <c r="Q76" s="8" t="s">
        <v>675</v>
      </c>
      <c r="R76" s="11" t="e">
        <f>VLOOKUP(S76,Import!A$1:B$20000,2,FALSE)</f>
        <v>#N/A</v>
      </c>
      <c r="S76" s="12" t="str">
        <f t="shared" si="2"/>
        <v>4_A_B15_X_X_X_1E_N23_V_M_A</v>
      </c>
      <c r="T76" s="6">
        <v>1000</v>
      </c>
    </row>
    <row r="77" spans="1:20" ht="12">
      <c r="A77" s="9">
        <f>IF(ISBLANK(Inm_7460),"",$T$77*Inm_7460)</f>
      </c>
      <c r="B77" s="9">
        <v>7460</v>
      </c>
      <c r="C77" s="10" t="s">
        <v>708</v>
      </c>
      <c r="D77" s="10" t="s">
        <v>22</v>
      </c>
      <c r="E77" s="6">
        <v>3</v>
      </c>
      <c r="F77" s="6" t="s">
        <v>668</v>
      </c>
      <c r="G77" s="6" t="s">
        <v>702</v>
      </c>
      <c r="H77" s="6" t="s">
        <v>670</v>
      </c>
      <c r="I77" s="6" t="s">
        <v>670</v>
      </c>
      <c r="J77" s="6" t="s">
        <v>670</v>
      </c>
      <c r="K77" s="6" t="s">
        <v>689</v>
      </c>
      <c r="L77" s="6" t="s">
        <v>700</v>
      </c>
      <c r="M77" s="6" t="s">
        <v>673</v>
      </c>
      <c r="N77" s="6" t="s">
        <v>680</v>
      </c>
      <c r="O77" s="6" t="s">
        <v>668</v>
      </c>
      <c r="P77" s="7" t="e">
        <f>VLOOKUP(B77,Import!A$1:B$20000,2,FALSE)</f>
        <v>#N/A</v>
      </c>
      <c r="Q77" s="8" t="s">
        <v>675</v>
      </c>
      <c r="R77" s="11" t="e">
        <f>VLOOKUP(S77,Import!A$1:B$20000,2,FALSE)</f>
        <v>#N/A</v>
      </c>
      <c r="S77" s="12" t="str">
        <f t="shared" si="2"/>
        <v>3_A_B15_X_X_X_1E_N23_V_M_A</v>
      </c>
      <c r="T77" s="6">
        <v>1000</v>
      </c>
    </row>
    <row r="78" spans="1:20" ht="12">
      <c r="A78" s="9">
        <f>IF(ISBLANK(Inm_7451),"",$T$78*Inm_7451)</f>
      </c>
      <c r="B78" s="9">
        <v>7451</v>
      </c>
      <c r="C78" s="10" t="s">
        <v>701</v>
      </c>
      <c r="D78" s="10" t="s">
        <v>13</v>
      </c>
      <c r="E78" s="6">
        <v>2</v>
      </c>
      <c r="F78" s="6" t="s">
        <v>668</v>
      </c>
      <c r="G78" s="6" t="s">
        <v>702</v>
      </c>
      <c r="H78" s="6" t="s">
        <v>670</v>
      </c>
      <c r="I78" s="6" t="s">
        <v>670</v>
      </c>
      <c r="J78" s="6" t="s">
        <v>670</v>
      </c>
      <c r="K78" s="6" t="s">
        <v>671</v>
      </c>
      <c r="L78" s="6" t="s">
        <v>672</v>
      </c>
      <c r="M78" s="6" t="s">
        <v>673</v>
      </c>
      <c r="N78" s="6" t="s">
        <v>680</v>
      </c>
      <c r="O78" s="6" t="s">
        <v>668</v>
      </c>
      <c r="P78" s="7" t="e">
        <f>VLOOKUP(B78,Import!A$1:B$20000,2,FALSE)</f>
        <v>#N/A</v>
      </c>
      <c r="Q78" s="8" t="s">
        <v>675</v>
      </c>
      <c r="R78" s="11" t="e">
        <f>VLOOKUP(S78,Import!A$1:B$20000,2,FALSE)</f>
        <v>#N/A</v>
      </c>
      <c r="S78" s="12" t="str">
        <f t="shared" si="2"/>
        <v>2_A_B15_X_X_X_3P_N_V_M_A</v>
      </c>
      <c r="T78" s="6">
        <v>1000</v>
      </c>
    </row>
    <row r="79" spans="1:20" ht="12">
      <c r="A79" s="9">
        <f>IF(ISBLANK(Inm_7448),"",$T$79*Inm_7448)</f>
      </c>
      <c r="B79" s="9">
        <v>7448</v>
      </c>
      <c r="C79" s="10" t="s">
        <v>701</v>
      </c>
      <c r="D79" s="10" t="s">
        <v>10</v>
      </c>
      <c r="E79" s="6">
        <v>5</v>
      </c>
      <c r="F79" s="6" t="s">
        <v>668</v>
      </c>
      <c r="G79" s="6" t="s">
        <v>702</v>
      </c>
      <c r="H79" s="6" t="s">
        <v>670</v>
      </c>
      <c r="I79" s="6" t="s">
        <v>670</v>
      </c>
      <c r="J79" s="6" t="s">
        <v>670</v>
      </c>
      <c r="K79" s="6" t="s">
        <v>671</v>
      </c>
      <c r="L79" s="6" t="s">
        <v>672</v>
      </c>
      <c r="M79" s="6" t="s">
        <v>673</v>
      </c>
      <c r="N79" s="6" t="s">
        <v>680</v>
      </c>
      <c r="O79" s="6" t="s">
        <v>668</v>
      </c>
      <c r="P79" s="7" t="e">
        <f>VLOOKUP(B79,Import!A$1:B$20000,2,FALSE)</f>
        <v>#N/A</v>
      </c>
      <c r="Q79" s="8" t="s">
        <v>675</v>
      </c>
      <c r="R79" s="11" t="e">
        <f>VLOOKUP(S79,Import!A$1:B$20000,2,FALSE)</f>
        <v>#N/A</v>
      </c>
      <c r="S79" s="12" t="str">
        <f t="shared" si="2"/>
        <v>5_A_B15_X_X_X_3P_N_V_M_A</v>
      </c>
      <c r="T79" s="6">
        <v>1000</v>
      </c>
    </row>
    <row r="80" spans="1:20" ht="12">
      <c r="A80" s="9">
        <f>IF(ISBLANK(Inm_7449),"",$T$80*Inm_7449)</f>
      </c>
      <c r="B80" s="9">
        <v>7449</v>
      </c>
      <c r="C80" s="10" t="s">
        <v>701</v>
      </c>
      <c r="D80" s="10" t="s">
        <v>11</v>
      </c>
      <c r="E80" s="6">
        <v>4</v>
      </c>
      <c r="F80" s="6" t="s">
        <v>668</v>
      </c>
      <c r="G80" s="6" t="s">
        <v>702</v>
      </c>
      <c r="H80" s="6" t="s">
        <v>670</v>
      </c>
      <c r="I80" s="6" t="s">
        <v>670</v>
      </c>
      <c r="J80" s="6" t="s">
        <v>670</v>
      </c>
      <c r="K80" s="6" t="s">
        <v>671</v>
      </c>
      <c r="L80" s="6" t="s">
        <v>672</v>
      </c>
      <c r="M80" s="6" t="s">
        <v>673</v>
      </c>
      <c r="N80" s="6" t="s">
        <v>680</v>
      </c>
      <c r="O80" s="6" t="s">
        <v>668</v>
      </c>
      <c r="P80" s="7" t="e">
        <f>VLOOKUP(B80,Import!A$1:B$20000,2,FALSE)</f>
        <v>#N/A</v>
      </c>
      <c r="Q80" s="8" t="s">
        <v>675</v>
      </c>
      <c r="R80" s="11" t="e">
        <f>VLOOKUP(S80,Import!A$1:B$20000,2,FALSE)</f>
        <v>#N/A</v>
      </c>
      <c r="S80" s="12" t="str">
        <f t="shared" si="2"/>
        <v>4_A_B15_X_X_X_3P_N_V_M_A</v>
      </c>
      <c r="T80" s="6">
        <v>1000</v>
      </c>
    </row>
    <row r="81" spans="1:20" ht="12">
      <c r="A81" s="9">
        <f>IF(ISBLANK(Inm_7450),"",$T$81*Inm_7450)</f>
      </c>
      <c r="B81" s="9">
        <v>7450</v>
      </c>
      <c r="C81" s="10" t="s">
        <v>701</v>
      </c>
      <c r="D81" s="10" t="s">
        <v>12</v>
      </c>
      <c r="E81" s="6">
        <v>3</v>
      </c>
      <c r="F81" s="6" t="s">
        <v>668</v>
      </c>
      <c r="G81" s="6" t="s">
        <v>702</v>
      </c>
      <c r="H81" s="6" t="s">
        <v>670</v>
      </c>
      <c r="I81" s="6" t="s">
        <v>670</v>
      </c>
      <c r="J81" s="6" t="s">
        <v>670</v>
      </c>
      <c r="K81" s="6" t="s">
        <v>671</v>
      </c>
      <c r="L81" s="6" t="s">
        <v>672</v>
      </c>
      <c r="M81" s="6" t="s">
        <v>673</v>
      </c>
      <c r="N81" s="6" t="s">
        <v>680</v>
      </c>
      <c r="O81" s="6" t="s">
        <v>668</v>
      </c>
      <c r="P81" s="7" t="e">
        <f>VLOOKUP(B81,Import!A$1:B$20000,2,FALSE)</f>
        <v>#N/A</v>
      </c>
      <c r="Q81" s="8" t="s">
        <v>675</v>
      </c>
      <c r="R81" s="11" t="e">
        <f>VLOOKUP(S81,Import!A$1:B$20000,2,FALSE)</f>
        <v>#N/A</v>
      </c>
      <c r="S81" s="12" t="str">
        <f t="shared" si="2"/>
        <v>3_A_B15_X_X_X_3P_N_V_M_A</v>
      </c>
      <c r="T81" s="6">
        <v>1000</v>
      </c>
    </row>
    <row r="82" spans="1:20" ht="12">
      <c r="A82" s="9">
        <f>IF(ISBLANK(Inm_7491),"",$T$82*Inm_7491)</f>
      </c>
      <c r="B82" s="9">
        <v>7491</v>
      </c>
      <c r="C82" s="10" t="s">
        <v>709</v>
      </c>
      <c r="D82" s="10" t="s">
        <v>53</v>
      </c>
      <c r="E82" s="6">
        <v>2</v>
      </c>
      <c r="F82" s="6" t="s">
        <v>668</v>
      </c>
      <c r="G82" s="6" t="s">
        <v>710</v>
      </c>
      <c r="H82" s="6" t="s">
        <v>670</v>
      </c>
      <c r="I82" s="6" t="s">
        <v>670</v>
      </c>
      <c r="J82" s="6" t="s">
        <v>670</v>
      </c>
      <c r="K82" s="6" t="s">
        <v>677</v>
      </c>
      <c r="L82" s="6" t="s">
        <v>672</v>
      </c>
      <c r="M82" s="6" t="s">
        <v>673</v>
      </c>
      <c r="N82" s="6" t="s">
        <v>672</v>
      </c>
      <c r="O82" s="6" t="s">
        <v>668</v>
      </c>
      <c r="P82" s="7" t="e">
        <f>VLOOKUP(B82,Import!A$1:B$20000,2,FALSE)</f>
        <v>#N/A</v>
      </c>
      <c r="Q82" s="8" t="s">
        <v>675</v>
      </c>
      <c r="R82" s="11" t="e">
        <f>VLOOKUP(S82,Import!A$1:B$20000,2,FALSE)</f>
        <v>#N/A</v>
      </c>
      <c r="S82" s="12" t="str">
        <f t="shared" si="2"/>
        <v>2_A_B161_X_X_X_5J_N_V_N_A</v>
      </c>
      <c r="T82" s="6">
        <v>1000</v>
      </c>
    </row>
    <row r="83" spans="1:20" ht="12">
      <c r="A83" s="9">
        <f>IF(ISBLANK(Inm_7485),"",$T$83*Inm_7485)</f>
      </c>
      <c r="B83" s="9">
        <v>7485</v>
      </c>
      <c r="C83" s="10" t="s">
        <v>709</v>
      </c>
      <c r="D83" s="10" t="s">
        <v>47</v>
      </c>
      <c r="E83" s="6">
        <v>5</v>
      </c>
      <c r="F83" s="6" t="s">
        <v>668</v>
      </c>
      <c r="G83" s="6" t="s">
        <v>710</v>
      </c>
      <c r="H83" s="6" t="s">
        <v>670</v>
      </c>
      <c r="I83" s="6" t="s">
        <v>670</v>
      </c>
      <c r="J83" s="6" t="s">
        <v>670</v>
      </c>
      <c r="K83" s="6" t="s">
        <v>677</v>
      </c>
      <c r="L83" s="6" t="s">
        <v>672</v>
      </c>
      <c r="M83" s="6" t="s">
        <v>673</v>
      </c>
      <c r="N83" s="6" t="s">
        <v>672</v>
      </c>
      <c r="O83" s="6" t="s">
        <v>668</v>
      </c>
      <c r="P83" s="7" t="e">
        <f>VLOOKUP(B83,Import!A$1:B$20000,2,FALSE)</f>
        <v>#N/A</v>
      </c>
      <c r="Q83" s="8" t="s">
        <v>675</v>
      </c>
      <c r="R83" s="11" t="e">
        <f>VLOOKUP(S83,Import!A$1:B$20000,2,FALSE)</f>
        <v>#N/A</v>
      </c>
      <c r="S83" s="12" t="str">
        <f t="shared" si="2"/>
        <v>5_A_B161_X_X_X_5J_N_V_N_A</v>
      </c>
      <c r="T83" s="6">
        <v>1000</v>
      </c>
    </row>
    <row r="84" spans="1:20" ht="12">
      <c r="A84" s="9">
        <f>IF(ISBLANK(Inm_7487),"",$T$84*Inm_7487)</f>
      </c>
      <c r="B84" s="9">
        <v>7487</v>
      </c>
      <c r="C84" s="10" t="s">
        <v>709</v>
      </c>
      <c r="D84" s="10" t="s">
        <v>49</v>
      </c>
      <c r="E84" s="6">
        <v>4</v>
      </c>
      <c r="F84" s="6" t="s">
        <v>668</v>
      </c>
      <c r="G84" s="6" t="s">
        <v>710</v>
      </c>
      <c r="H84" s="6" t="s">
        <v>670</v>
      </c>
      <c r="I84" s="6" t="s">
        <v>670</v>
      </c>
      <c r="J84" s="6" t="s">
        <v>670</v>
      </c>
      <c r="K84" s="6" t="s">
        <v>677</v>
      </c>
      <c r="L84" s="6" t="s">
        <v>672</v>
      </c>
      <c r="M84" s="6" t="s">
        <v>673</v>
      </c>
      <c r="N84" s="6" t="s">
        <v>672</v>
      </c>
      <c r="O84" s="6" t="s">
        <v>668</v>
      </c>
      <c r="P84" s="7" t="e">
        <f>VLOOKUP(B84,Import!A$1:B$20000,2,FALSE)</f>
        <v>#N/A</v>
      </c>
      <c r="Q84" s="8" t="s">
        <v>675</v>
      </c>
      <c r="R84" s="11" t="e">
        <f>VLOOKUP(S84,Import!A$1:B$20000,2,FALSE)</f>
        <v>#N/A</v>
      </c>
      <c r="S84" s="12" t="str">
        <f t="shared" si="2"/>
        <v>4_A_B161_X_X_X_5J_N_V_N_A</v>
      </c>
      <c r="T84" s="6">
        <v>1000</v>
      </c>
    </row>
    <row r="85" spans="1:20" ht="12">
      <c r="A85" s="9">
        <f>IF(ISBLANK(Inm_7489),"",$T$85*Inm_7489)</f>
      </c>
      <c r="B85" s="9">
        <v>7489</v>
      </c>
      <c r="C85" s="10" t="s">
        <v>709</v>
      </c>
      <c r="D85" s="10" t="s">
        <v>51</v>
      </c>
      <c r="E85" s="6">
        <v>3</v>
      </c>
      <c r="F85" s="6" t="s">
        <v>668</v>
      </c>
      <c r="G85" s="6" t="s">
        <v>710</v>
      </c>
      <c r="H85" s="6" t="s">
        <v>670</v>
      </c>
      <c r="I85" s="6" t="s">
        <v>670</v>
      </c>
      <c r="J85" s="6" t="s">
        <v>670</v>
      </c>
      <c r="K85" s="6" t="s">
        <v>677</v>
      </c>
      <c r="L85" s="6" t="s">
        <v>672</v>
      </c>
      <c r="M85" s="6" t="s">
        <v>673</v>
      </c>
      <c r="N85" s="6" t="s">
        <v>672</v>
      </c>
      <c r="O85" s="6" t="s">
        <v>668</v>
      </c>
      <c r="P85" s="7" t="e">
        <f>VLOOKUP(B85,Import!A$1:B$20000,2,FALSE)</f>
        <v>#N/A</v>
      </c>
      <c r="Q85" s="8" t="s">
        <v>675</v>
      </c>
      <c r="R85" s="11" t="e">
        <f>VLOOKUP(S85,Import!A$1:B$20000,2,FALSE)</f>
        <v>#N/A</v>
      </c>
      <c r="S85" s="12" t="str">
        <f t="shared" si="2"/>
        <v>3_A_B161_X_X_X_5J_N_V_N_A</v>
      </c>
      <c r="T85" s="6">
        <v>1000</v>
      </c>
    </row>
    <row r="86" spans="1:20" ht="12">
      <c r="A86" s="9">
        <f>IF(ISBLANK(Inm_7490),"",$T$86*Inm_7490)</f>
      </c>
      <c r="B86" s="9">
        <v>7490</v>
      </c>
      <c r="C86" s="10" t="s">
        <v>709</v>
      </c>
      <c r="D86" s="10" t="s">
        <v>52</v>
      </c>
      <c r="E86" s="6">
        <v>2</v>
      </c>
      <c r="F86" s="6" t="s">
        <v>668</v>
      </c>
      <c r="G86" s="6" t="s">
        <v>710</v>
      </c>
      <c r="H86" s="6" t="s">
        <v>670</v>
      </c>
      <c r="I86" s="6" t="s">
        <v>670</v>
      </c>
      <c r="J86" s="6" t="s">
        <v>670</v>
      </c>
      <c r="K86" s="6" t="s">
        <v>671</v>
      </c>
      <c r="L86" s="6" t="s">
        <v>672</v>
      </c>
      <c r="M86" s="6" t="s">
        <v>673</v>
      </c>
      <c r="N86" s="6" t="s">
        <v>672</v>
      </c>
      <c r="O86" s="6" t="s">
        <v>668</v>
      </c>
      <c r="P86" s="7" t="e">
        <f>VLOOKUP(B86,Import!A$1:B$20000,2,FALSE)</f>
        <v>#N/A</v>
      </c>
      <c r="Q86" s="8" t="s">
        <v>675</v>
      </c>
      <c r="R86" s="11" t="e">
        <f>VLOOKUP(S86,Import!A$1:B$20000,2,FALSE)</f>
        <v>#N/A</v>
      </c>
      <c r="S86" s="12" t="str">
        <f t="shared" si="2"/>
        <v>2_A_B161_X_X_X_3P_N_V_N_A</v>
      </c>
      <c r="T86" s="6">
        <v>1000</v>
      </c>
    </row>
    <row r="87" spans="1:20" ht="12">
      <c r="A87" s="9">
        <f>IF(ISBLANK(Inm_7484),"",$T$87*Inm_7484)</f>
      </c>
      <c r="B87" s="9">
        <v>7484</v>
      </c>
      <c r="C87" s="10" t="s">
        <v>709</v>
      </c>
      <c r="D87" s="10" t="s">
        <v>46</v>
      </c>
      <c r="E87" s="6">
        <v>5</v>
      </c>
      <c r="F87" s="6" t="s">
        <v>668</v>
      </c>
      <c r="G87" s="6" t="s">
        <v>710</v>
      </c>
      <c r="H87" s="6" t="s">
        <v>670</v>
      </c>
      <c r="I87" s="6" t="s">
        <v>670</v>
      </c>
      <c r="J87" s="6" t="s">
        <v>670</v>
      </c>
      <c r="K87" s="6" t="s">
        <v>671</v>
      </c>
      <c r="L87" s="6" t="s">
        <v>672</v>
      </c>
      <c r="M87" s="6" t="s">
        <v>673</v>
      </c>
      <c r="N87" s="6" t="s">
        <v>672</v>
      </c>
      <c r="O87" s="6" t="s">
        <v>668</v>
      </c>
      <c r="P87" s="7" t="e">
        <f>VLOOKUP(B87,Import!A$1:B$20000,2,FALSE)</f>
        <v>#N/A</v>
      </c>
      <c r="Q87" s="8" t="s">
        <v>675</v>
      </c>
      <c r="R87" s="11" t="e">
        <f>VLOOKUP(S87,Import!A$1:B$20000,2,FALSE)</f>
        <v>#N/A</v>
      </c>
      <c r="S87" s="12" t="str">
        <f t="shared" si="2"/>
        <v>5_A_B161_X_X_X_3P_N_V_N_A</v>
      </c>
      <c r="T87" s="6">
        <v>1000</v>
      </c>
    </row>
    <row r="88" spans="1:20" ht="12">
      <c r="A88" s="9">
        <f>IF(ISBLANK(Inm_7486),"",$T$88*Inm_7486)</f>
      </c>
      <c r="B88" s="9">
        <v>7486</v>
      </c>
      <c r="C88" s="10" t="s">
        <v>709</v>
      </c>
      <c r="D88" s="10" t="s">
        <v>48</v>
      </c>
      <c r="E88" s="6">
        <v>4</v>
      </c>
      <c r="F88" s="6" t="s">
        <v>668</v>
      </c>
      <c r="G88" s="6" t="s">
        <v>710</v>
      </c>
      <c r="H88" s="6" t="s">
        <v>670</v>
      </c>
      <c r="I88" s="6" t="s">
        <v>670</v>
      </c>
      <c r="J88" s="6" t="s">
        <v>670</v>
      </c>
      <c r="K88" s="6" t="s">
        <v>671</v>
      </c>
      <c r="L88" s="6" t="s">
        <v>672</v>
      </c>
      <c r="M88" s="6" t="s">
        <v>673</v>
      </c>
      <c r="N88" s="6" t="s">
        <v>672</v>
      </c>
      <c r="O88" s="6" t="s">
        <v>668</v>
      </c>
      <c r="P88" s="7" t="e">
        <f>VLOOKUP(B88,Import!A$1:B$20000,2,FALSE)</f>
        <v>#N/A</v>
      </c>
      <c r="Q88" s="8" t="s">
        <v>675</v>
      </c>
      <c r="R88" s="11" t="e">
        <f>VLOOKUP(S88,Import!A$1:B$20000,2,FALSE)</f>
        <v>#N/A</v>
      </c>
      <c r="S88" s="12" t="str">
        <f t="shared" si="2"/>
        <v>4_A_B161_X_X_X_3P_N_V_N_A</v>
      </c>
      <c r="T88" s="6">
        <v>1000</v>
      </c>
    </row>
    <row r="89" spans="1:20" ht="12">
      <c r="A89" s="9">
        <f>IF(ISBLANK(Inm_7488),"",$T$89*Inm_7488)</f>
      </c>
      <c r="B89" s="9">
        <v>7488</v>
      </c>
      <c r="C89" s="10" t="s">
        <v>709</v>
      </c>
      <c r="D89" s="10" t="s">
        <v>50</v>
      </c>
      <c r="E89" s="6">
        <v>3</v>
      </c>
      <c r="F89" s="6" t="s">
        <v>668</v>
      </c>
      <c r="G89" s="6" t="s">
        <v>710</v>
      </c>
      <c r="H89" s="6" t="s">
        <v>670</v>
      </c>
      <c r="I89" s="6" t="s">
        <v>670</v>
      </c>
      <c r="J89" s="6" t="s">
        <v>670</v>
      </c>
      <c r="K89" s="6" t="s">
        <v>671</v>
      </c>
      <c r="L89" s="6" t="s">
        <v>672</v>
      </c>
      <c r="M89" s="6" t="s">
        <v>673</v>
      </c>
      <c r="N89" s="6" t="s">
        <v>672</v>
      </c>
      <c r="O89" s="6" t="s">
        <v>668</v>
      </c>
      <c r="P89" s="7" t="e">
        <f>VLOOKUP(B89,Import!A$1:B$20000,2,FALSE)</f>
        <v>#N/A</v>
      </c>
      <c r="Q89" s="8" t="s">
        <v>675</v>
      </c>
      <c r="R89" s="11" t="e">
        <f>VLOOKUP(S89,Import!A$1:B$20000,2,FALSE)</f>
        <v>#N/A</v>
      </c>
      <c r="S89" s="12" t="str">
        <f t="shared" si="2"/>
        <v>3_A_B161_X_X_X_3P_N_V_N_A</v>
      </c>
      <c r="T89" s="6">
        <v>1000</v>
      </c>
    </row>
    <row r="90" spans="1:20" ht="12">
      <c r="A90" s="9">
        <f>IF(ISBLANK(Inm_7499),"",$T$90*Inm_7499)</f>
      </c>
      <c r="B90" s="9">
        <v>7499</v>
      </c>
      <c r="C90" s="10" t="s">
        <v>711</v>
      </c>
      <c r="D90" s="10" t="s">
        <v>61</v>
      </c>
      <c r="E90" s="6">
        <v>2</v>
      </c>
      <c r="F90" s="6" t="s">
        <v>668</v>
      </c>
      <c r="G90" s="6" t="s">
        <v>712</v>
      </c>
      <c r="H90" s="6" t="s">
        <v>670</v>
      </c>
      <c r="I90" s="6" t="s">
        <v>670</v>
      </c>
      <c r="J90" s="6" t="s">
        <v>670</v>
      </c>
      <c r="K90" s="6" t="s">
        <v>677</v>
      </c>
      <c r="L90" s="6" t="s">
        <v>672</v>
      </c>
      <c r="M90" s="6" t="s">
        <v>673</v>
      </c>
      <c r="N90" s="6" t="s">
        <v>672</v>
      </c>
      <c r="O90" s="6" t="s">
        <v>668</v>
      </c>
      <c r="P90" s="7" t="e">
        <f>VLOOKUP(B90,Import!A$1:B$20000,2,FALSE)</f>
        <v>#N/A</v>
      </c>
      <c r="Q90" s="8" t="s">
        <v>675</v>
      </c>
      <c r="R90" s="11" t="e">
        <f>VLOOKUP(S90,Import!A$1:B$20000,2,FALSE)</f>
        <v>#N/A</v>
      </c>
      <c r="S90" s="12" t="str">
        <f aca="true" t="shared" si="3" ref="S90:S121">CONCATENATE(E90,"_",F90,"_",G90,"_",H90,"_",I90,"_",J90,"_",K90,"_",L90,"_",M90,"_",N90,"_",O90)</f>
        <v>2_A_B162_X_X_X_5J_N_V_N_A</v>
      </c>
      <c r="T90" s="6">
        <v>1000</v>
      </c>
    </row>
    <row r="91" spans="1:20" ht="12">
      <c r="A91" s="9">
        <f>IF(ISBLANK(Inm_7493),"",$T$91*Inm_7493)</f>
      </c>
      <c r="B91" s="9">
        <v>7493</v>
      </c>
      <c r="C91" s="10" t="s">
        <v>711</v>
      </c>
      <c r="D91" s="10" t="s">
        <v>55</v>
      </c>
      <c r="E91" s="6">
        <v>5</v>
      </c>
      <c r="F91" s="6" t="s">
        <v>668</v>
      </c>
      <c r="G91" s="6" t="s">
        <v>712</v>
      </c>
      <c r="H91" s="6" t="s">
        <v>670</v>
      </c>
      <c r="I91" s="6" t="s">
        <v>670</v>
      </c>
      <c r="J91" s="6" t="s">
        <v>670</v>
      </c>
      <c r="K91" s="6" t="s">
        <v>677</v>
      </c>
      <c r="L91" s="6" t="s">
        <v>672</v>
      </c>
      <c r="M91" s="6" t="s">
        <v>673</v>
      </c>
      <c r="N91" s="6" t="s">
        <v>672</v>
      </c>
      <c r="O91" s="6" t="s">
        <v>668</v>
      </c>
      <c r="P91" s="7" t="e">
        <f>VLOOKUP(B91,Import!A$1:B$20000,2,FALSE)</f>
        <v>#N/A</v>
      </c>
      <c r="Q91" s="8" t="s">
        <v>675</v>
      </c>
      <c r="R91" s="11" t="e">
        <f>VLOOKUP(S91,Import!A$1:B$20000,2,FALSE)</f>
        <v>#N/A</v>
      </c>
      <c r="S91" s="12" t="str">
        <f t="shared" si="3"/>
        <v>5_A_B162_X_X_X_5J_N_V_N_A</v>
      </c>
      <c r="T91" s="6">
        <v>1000</v>
      </c>
    </row>
    <row r="92" spans="1:20" ht="12">
      <c r="A92" s="9">
        <f>IF(ISBLANK(Inm_7495),"",$T$92*Inm_7495)</f>
      </c>
      <c r="B92" s="9">
        <v>7495</v>
      </c>
      <c r="C92" s="10" t="s">
        <v>711</v>
      </c>
      <c r="D92" s="10" t="s">
        <v>57</v>
      </c>
      <c r="E92" s="6">
        <v>4</v>
      </c>
      <c r="F92" s="6" t="s">
        <v>668</v>
      </c>
      <c r="G92" s="6" t="s">
        <v>712</v>
      </c>
      <c r="H92" s="6" t="s">
        <v>670</v>
      </c>
      <c r="I92" s="6" t="s">
        <v>670</v>
      </c>
      <c r="J92" s="6" t="s">
        <v>670</v>
      </c>
      <c r="K92" s="6" t="s">
        <v>677</v>
      </c>
      <c r="L92" s="6" t="s">
        <v>672</v>
      </c>
      <c r="M92" s="6" t="s">
        <v>673</v>
      </c>
      <c r="N92" s="6" t="s">
        <v>672</v>
      </c>
      <c r="O92" s="6" t="s">
        <v>668</v>
      </c>
      <c r="P92" s="7" t="e">
        <f>VLOOKUP(B92,Import!A$1:B$20000,2,FALSE)</f>
        <v>#N/A</v>
      </c>
      <c r="Q92" s="8" t="s">
        <v>675</v>
      </c>
      <c r="R92" s="11" t="e">
        <f>VLOOKUP(S92,Import!A$1:B$20000,2,FALSE)</f>
        <v>#N/A</v>
      </c>
      <c r="S92" s="12" t="str">
        <f t="shared" si="3"/>
        <v>4_A_B162_X_X_X_5J_N_V_N_A</v>
      </c>
      <c r="T92" s="6">
        <v>1000</v>
      </c>
    </row>
    <row r="93" spans="1:20" ht="12">
      <c r="A93" s="9">
        <f>IF(ISBLANK(Inm_7497),"",$T$93*Inm_7497)</f>
      </c>
      <c r="B93" s="9">
        <v>7497</v>
      </c>
      <c r="C93" s="10" t="s">
        <v>711</v>
      </c>
      <c r="D93" s="10" t="s">
        <v>59</v>
      </c>
      <c r="E93" s="6">
        <v>3</v>
      </c>
      <c r="F93" s="6" t="s">
        <v>668</v>
      </c>
      <c r="G93" s="6" t="s">
        <v>712</v>
      </c>
      <c r="H93" s="6" t="s">
        <v>670</v>
      </c>
      <c r="I93" s="6" t="s">
        <v>670</v>
      </c>
      <c r="J93" s="6" t="s">
        <v>670</v>
      </c>
      <c r="K93" s="6" t="s">
        <v>677</v>
      </c>
      <c r="L93" s="6" t="s">
        <v>672</v>
      </c>
      <c r="M93" s="6" t="s">
        <v>673</v>
      </c>
      <c r="N93" s="6" t="s">
        <v>672</v>
      </c>
      <c r="O93" s="6" t="s">
        <v>668</v>
      </c>
      <c r="P93" s="7" t="e">
        <f>VLOOKUP(B93,Import!A$1:B$20000,2,FALSE)</f>
        <v>#N/A</v>
      </c>
      <c r="Q93" s="8" t="s">
        <v>675</v>
      </c>
      <c r="R93" s="11" t="e">
        <f>VLOOKUP(S93,Import!A$1:B$20000,2,FALSE)</f>
        <v>#N/A</v>
      </c>
      <c r="S93" s="12" t="str">
        <f t="shared" si="3"/>
        <v>3_A_B162_X_X_X_5J_N_V_N_A</v>
      </c>
      <c r="T93" s="6">
        <v>1000</v>
      </c>
    </row>
    <row r="94" spans="1:20" ht="12">
      <c r="A94" s="9">
        <f>IF(ISBLANK(Inm_7498),"",$T$94*Inm_7498)</f>
      </c>
      <c r="B94" s="9">
        <v>7498</v>
      </c>
      <c r="C94" s="10" t="s">
        <v>711</v>
      </c>
      <c r="D94" s="10" t="s">
        <v>60</v>
      </c>
      <c r="E94" s="6">
        <v>2</v>
      </c>
      <c r="F94" s="6" t="s">
        <v>668</v>
      </c>
      <c r="G94" s="6" t="s">
        <v>712</v>
      </c>
      <c r="H94" s="6" t="s">
        <v>670</v>
      </c>
      <c r="I94" s="6" t="s">
        <v>670</v>
      </c>
      <c r="J94" s="6" t="s">
        <v>670</v>
      </c>
      <c r="K94" s="6" t="s">
        <v>671</v>
      </c>
      <c r="L94" s="6" t="s">
        <v>672</v>
      </c>
      <c r="M94" s="6" t="s">
        <v>673</v>
      </c>
      <c r="N94" s="6" t="s">
        <v>672</v>
      </c>
      <c r="O94" s="6" t="s">
        <v>668</v>
      </c>
      <c r="P94" s="7" t="e">
        <f>VLOOKUP(B94,Import!A$1:B$20000,2,FALSE)</f>
        <v>#N/A</v>
      </c>
      <c r="Q94" s="8" t="s">
        <v>675</v>
      </c>
      <c r="R94" s="11" t="e">
        <f>VLOOKUP(S94,Import!A$1:B$20000,2,FALSE)</f>
        <v>#N/A</v>
      </c>
      <c r="S94" s="12" t="str">
        <f t="shared" si="3"/>
        <v>2_A_B162_X_X_X_3P_N_V_N_A</v>
      </c>
      <c r="T94" s="6">
        <v>1000</v>
      </c>
    </row>
    <row r="95" spans="1:20" ht="12">
      <c r="A95" s="9">
        <f>IF(ISBLANK(Inm_7492),"",$T$95*Inm_7492)</f>
      </c>
      <c r="B95" s="9">
        <v>7492</v>
      </c>
      <c r="C95" s="10" t="s">
        <v>711</v>
      </c>
      <c r="D95" s="10" t="s">
        <v>54</v>
      </c>
      <c r="E95" s="6">
        <v>5</v>
      </c>
      <c r="F95" s="6" t="s">
        <v>668</v>
      </c>
      <c r="G95" s="6" t="s">
        <v>712</v>
      </c>
      <c r="H95" s="6" t="s">
        <v>670</v>
      </c>
      <c r="I95" s="6" t="s">
        <v>670</v>
      </c>
      <c r="J95" s="6" t="s">
        <v>670</v>
      </c>
      <c r="K95" s="6" t="s">
        <v>671</v>
      </c>
      <c r="L95" s="6" t="s">
        <v>672</v>
      </c>
      <c r="M95" s="6" t="s">
        <v>673</v>
      </c>
      <c r="N95" s="6" t="s">
        <v>672</v>
      </c>
      <c r="O95" s="6" t="s">
        <v>668</v>
      </c>
      <c r="P95" s="7" t="e">
        <f>VLOOKUP(B95,Import!A$1:B$20000,2,FALSE)</f>
        <v>#N/A</v>
      </c>
      <c r="Q95" s="8" t="s">
        <v>675</v>
      </c>
      <c r="R95" s="11" t="e">
        <f>VLOOKUP(S95,Import!A$1:B$20000,2,FALSE)</f>
        <v>#N/A</v>
      </c>
      <c r="S95" s="12" t="str">
        <f t="shared" si="3"/>
        <v>5_A_B162_X_X_X_3P_N_V_N_A</v>
      </c>
      <c r="T95" s="6">
        <v>1000</v>
      </c>
    </row>
    <row r="96" spans="1:20" ht="12">
      <c r="A96" s="9">
        <f>IF(ISBLANK(Inm_7494),"",$T$96*Inm_7494)</f>
      </c>
      <c r="B96" s="9">
        <v>7494</v>
      </c>
      <c r="C96" s="10" t="s">
        <v>711</v>
      </c>
      <c r="D96" s="10" t="s">
        <v>56</v>
      </c>
      <c r="E96" s="6">
        <v>4</v>
      </c>
      <c r="F96" s="6" t="s">
        <v>668</v>
      </c>
      <c r="G96" s="6" t="s">
        <v>712</v>
      </c>
      <c r="H96" s="6" t="s">
        <v>670</v>
      </c>
      <c r="I96" s="6" t="s">
        <v>670</v>
      </c>
      <c r="J96" s="6" t="s">
        <v>670</v>
      </c>
      <c r="K96" s="6" t="s">
        <v>671</v>
      </c>
      <c r="L96" s="6" t="s">
        <v>672</v>
      </c>
      <c r="M96" s="6" t="s">
        <v>673</v>
      </c>
      <c r="N96" s="6" t="s">
        <v>672</v>
      </c>
      <c r="O96" s="6" t="s">
        <v>668</v>
      </c>
      <c r="P96" s="7" t="e">
        <f>VLOOKUP(B96,Import!A$1:B$20000,2,FALSE)</f>
        <v>#N/A</v>
      </c>
      <c r="Q96" s="8" t="s">
        <v>675</v>
      </c>
      <c r="R96" s="11" t="e">
        <f>VLOOKUP(S96,Import!A$1:B$20000,2,FALSE)</f>
        <v>#N/A</v>
      </c>
      <c r="S96" s="12" t="str">
        <f t="shared" si="3"/>
        <v>4_A_B162_X_X_X_3P_N_V_N_A</v>
      </c>
      <c r="T96" s="6">
        <v>1000</v>
      </c>
    </row>
    <row r="97" spans="1:20" ht="12">
      <c r="A97" s="9">
        <f>IF(ISBLANK(Inm_7496),"",$T$97*Inm_7496)</f>
      </c>
      <c r="B97" s="9">
        <v>7496</v>
      </c>
      <c r="C97" s="10" t="s">
        <v>711</v>
      </c>
      <c r="D97" s="10" t="s">
        <v>58</v>
      </c>
      <c r="E97" s="6">
        <v>3</v>
      </c>
      <c r="F97" s="6" t="s">
        <v>668</v>
      </c>
      <c r="G97" s="6" t="s">
        <v>712</v>
      </c>
      <c r="H97" s="6" t="s">
        <v>670</v>
      </c>
      <c r="I97" s="6" t="s">
        <v>670</v>
      </c>
      <c r="J97" s="6" t="s">
        <v>670</v>
      </c>
      <c r="K97" s="6" t="s">
        <v>671</v>
      </c>
      <c r="L97" s="6" t="s">
        <v>672</v>
      </c>
      <c r="M97" s="6" t="s">
        <v>673</v>
      </c>
      <c r="N97" s="6" t="s">
        <v>672</v>
      </c>
      <c r="O97" s="6" t="s">
        <v>668</v>
      </c>
      <c r="P97" s="7" t="e">
        <f>VLOOKUP(B97,Import!A$1:B$20000,2,FALSE)</f>
        <v>#N/A</v>
      </c>
      <c r="Q97" s="8" t="s">
        <v>675</v>
      </c>
      <c r="R97" s="11" t="e">
        <f>VLOOKUP(S97,Import!A$1:B$20000,2,FALSE)</f>
        <v>#N/A</v>
      </c>
      <c r="S97" s="12" t="str">
        <f t="shared" si="3"/>
        <v>3_A_B162_X_X_X_3P_N_V_N_A</v>
      </c>
      <c r="T97" s="6">
        <v>1000</v>
      </c>
    </row>
    <row r="98" spans="1:20" ht="12">
      <c r="A98" s="9">
        <f>IF(ISBLANK(Inm_7503),"",$T$98*Inm_7503)</f>
      </c>
      <c r="B98" s="9">
        <v>7503</v>
      </c>
      <c r="C98" s="10" t="s">
        <v>713</v>
      </c>
      <c r="D98" s="10" t="s">
        <v>65</v>
      </c>
      <c r="E98" s="6">
        <v>2</v>
      </c>
      <c r="F98" s="6" t="s">
        <v>668</v>
      </c>
      <c r="G98" s="6" t="s">
        <v>714</v>
      </c>
      <c r="H98" s="6" t="s">
        <v>670</v>
      </c>
      <c r="I98" s="6" t="s">
        <v>670</v>
      </c>
      <c r="J98" s="6" t="s">
        <v>670</v>
      </c>
      <c r="K98" s="6" t="s">
        <v>671</v>
      </c>
      <c r="L98" s="6" t="s">
        <v>715</v>
      </c>
      <c r="M98" s="6" t="s">
        <v>673</v>
      </c>
      <c r="N98" s="6" t="s">
        <v>672</v>
      </c>
      <c r="O98" s="6" t="s">
        <v>668</v>
      </c>
      <c r="P98" s="7" t="e">
        <f>VLOOKUP(B98,Import!A$1:B$20000,2,FALSE)</f>
        <v>#N/A</v>
      </c>
      <c r="Q98" s="8" t="s">
        <v>675</v>
      </c>
      <c r="R98" s="11" t="e">
        <f>VLOOKUP(S98,Import!A$1:B$20000,2,FALSE)</f>
        <v>#N/A</v>
      </c>
      <c r="S98" s="12" t="str">
        <f t="shared" si="3"/>
        <v>2_A_B16_X_X_X_3P_N1A_V_N_A</v>
      </c>
      <c r="T98" s="6">
        <v>1000</v>
      </c>
    </row>
    <row r="99" spans="1:20" ht="12">
      <c r="A99" s="9">
        <f>IF(ISBLANK(Inm_7500),"",$T$99*Inm_7500)</f>
      </c>
      <c r="B99" s="9">
        <v>7500</v>
      </c>
      <c r="C99" s="10" t="s">
        <v>713</v>
      </c>
      <c r="D99" s="10" t="s">
        <v>62</v>
      </c>
      <c r="E99" s="6">
        <v>5</v>
      </c>
      <c r="F99" s="6" t="s">
        <v>668</v>
      </c>
      <c r="G99" s="6" t="s">
        <v>714</v>
      </c>
      <c r="H99" s="6" t="s">
        <v>670</v>
      </c>
      <c r="I99" s="6" t="s">
        <v>670</v>
      </c>
      <c r="J99" s="6" t="s">
        <v>670</v>
      </c>
      <c r="K99" s="6" t="s">
        <v>671</v>
      </c>
      <c r="L99" s="6" t="s">
        <v>715</v>
      </c>
      <c r="M99" s="6" t="s">
        <v>673</v>
      </c>
      <c r="N99" s="6" t="s">
        <v>672</v>
      </c>
      <c r="O99" s="6" t="s">
        <v>668</v>
      </c>
      <c r="P99" s="7" t="e">
        <f>VLOOKUP(B99,Import!A$1:B$20000,2,FALSE)</f>
        <v>#N/A</v>
      </c>
      <c r="Q99" s="8" t="s">
        <v>675</v>
      </c>
      <c r="R99" s="11" t="e">
        <f>VLOOKUP(S99,Import!A$1:B$20000,2,FALSE)</f>
        <v>#N/A</v>
      </c>
      <c r="S99" s="12" t="str">
        <f t="shared" si="3"/>
        <v>5_A_B16_X_X_X_3P_N1A_V_N_A</v>
      </c>
      <c r="T99" s="6">
        <v>1000</v>
      </c>
    </row>
    <row r="100" spans="1:20" ht="12">
      <c r="A100" s="9">
        <f>IF(ISBLANK(Inm_7501),"",$T$100*Inm_7501)</f>
      </c>
      <c r="B100" s="9">
        <v>7501</v>
      </c>
      <c r="C100" s="10" t="s">
        <v>713</v>
      </c>
      <c r="D100" s="10" t="s">
        <v>63</v>
      </c>
      <c r="E100" s="6">
        <v>4</v>
      </c>
      <c r="F100" s="6" t="s">
        <v>668</v>
      </c>
      <c r="G100" s="6" t="s">
        <v>714</v>
      </c>
      <c r="H100" s="6" t="s">
        <v>670</v>
      </c>
      <c r="I100" s="6" t="s">
        <v>670</v>
      </c>
      <c r="J100" s="6" t="s">
        <v>670</v>
      </c>
      <c r="K100" s="6" t="s">
        <v>671</v>
      </c>
      <c r="L100" s="6" t="s">
        <v>715</v>
      </c>
      <c r="M100" s="6" t="s">
        <v>673</v>
      </c>
      <c r="N100" s="6" t="s">
        <v>672</v>
      </c>
      <c r="O100" s="6" t="s">
        <v>668</v>
      </c>
      <c r="P100" s="7" t="e">
        <f>VLOOKUP(B100,Import!A$1:B$20000,2,FALSE)</f>
        <v>#N/A</v>
      </c>
      <c r="Q100" s="8" t="s">
        <v>675</v>
      </c>
      <c r="R100" s="11" t="e">
        <f>VLOOKUP(S100,Import!A$1:B$20000,2,FALSE)</f>
        <v>#N/A</v>
      </c>
      <c r="S100" s="12" t="str">
        <f t="shared" si="3"/>
        <v>4_A_B16_X_X_X_3P_N1A_V_N_A</v>
      </c>
      <c r="T100" s="6">
        <v>1000</v>
      </c>
    </row>
    <row r="101" spans="1:20" ht="12">
      <c r="A101" s="9">
        <f>IF(ISBLANK(Inm_7502),"",$T$101*Inm_7502)</f>
      </c>
      <c r="B101" s="9">
        <v>7502</v>
      </c>
      <c r="C101" s="10" t="s">
        <v>713</v>
      </c>
      <c r="D101" s="10" t="s">
        <v>64</v>
      </c>
      <c r="E101" s="6">
        <v>3</v>
      </c>
      <c r="F101" s="6" t="s">
        <v>668</v>
      </c>
      <c r="G101" s="6" t="s">
        <v>714</v>
      </c>
      <c r="H101" s="6" t="s">
        <v>670</v>
      </c>
      <c r="I101" s="6" t="s">
        <v>670</v>
      </c>
      <c r="J101" s="6" t="s">
        <v>670</v>
      </c>
      <c r="K101" s="6" t="s">
        <v>671</v>
      </c>
      <c r="L101" s="6" t="s">
        <v>715</v>
      </c>
      <c r="M101" s="6" t="s">
        <v>673</v>
      </c>
      <c r="N101" s="6" t="s">
        <v>672</v>
      </c>
      <c r="O101" s="6" t="s">
        <v>668</v>
      </c>
      <c r="P101" s="7" t="e">
        <f>VLOOKUP(B101,Import!A$1:B$20000,2,FALSE)</f>
        <v>#N/A</v>
      </c>
      <c r="Q101" s="8" t="s">
        <v>675</v>
      </c>
      <c r="R101" s="11" t="e">
        <f>VLOOKUP(S101,Import!A$1:B$20000,2,FALSE)</f>
        <v>#N/A</v>
      </c>
      <c r="S101" s="12" t="str">
        <f t="shared" si="3"/>
        <v>3_A_B16_X_X_X_3P_N1A_V_N_A</v>
      </c>
      <c r="T101" s="6">
        <v>1000</v>
      </c>
    </row>
    <row r="102" spans="1:20" ht="12">
      <c r="A102" s="9">
        <f>IF(ISBLANK(Inm_7525),"",$T$102*Inm_7525)</f>
      </c>
      <c r="B102" s="9">
        <v>7525</v>
      </c>
      <c r="C102" s="10" t="s">
        <v>684</v>
      </c>
      <c r="D102" s="10" t="s">
        <v>87</v>
      </c>
      <c r="E102" s="6">
        <v>2</v>
      </c>
      <c r="F102" s="6" t="s">
        <v>716</v>
      </c>
      <c r="G102" s="6" t="s">
        <v>717</v>
      </c>
      <c r="H102" s="6" t="s">
        <v>670</v>
      </c>
      <c r="I102" s="6" t="s">
        <v>670</v>
      </c>
      <c r="J102" s="6" t="s">
        <v>670</v>
      </c>
      <c r="K102" s="6" t="s">
        <v>677</v>
      </c>
      <c r="L102" s="6" t="s">
        <v>672</v>
      </c>
      <c r="M102" s="6" t="s">
        <v>673</v>
      </c>
      <c r="N102" s="6" t="s">
        <v>680</v>
      </c>
      <c r="O102" s="6" t="s">
        <v>668</v>
      </c>
      <c r="P102" s="7" t="e">
        <f>VLOOKUP(B102,Import!A$1:B$20000,2,FALSE)</f>
        <v>#N/A</v>
      </c>
      <c r="Q102" s="8" t="s">
        <v>675</v>
      </c>
      <c r="R102" s="11" t="e">
        <f>VLOOKUP(S102,Import!A$1:B$20000,2,FALSE)</f>
        <v>#N/A</v>
      </c>
      <c r="S102" s="12" t="str">
        <f t="shared" si="3"/>
        <v>2_L_B21_X_X_X_5J_N_V_M_A</v>
      </c>
      <c r="T102" s="6">
        <v>1000</v>
      </c>
    </row>
    <row r="103" spans="1:20" ht="12">
      <c r="A103" s="9">
        <f>IF(ISBLANK(Inm_7519),"",$T$103*Inm_7519)</f>
      </c>
      <c r="B103" s="9">
        <v>7519</v>
      </c>
      <c r="C103" s="10" t="s">
        <v>684</v>
      </c>
      <c r="D103" s="10" t="s">
        <v>81</v>
      </c>
      <c r="E103" s="6">
        <v>5</v>
      </c>
      <c r="F103" s="6" t="s">
        <v>716</v>
      </c>
      <c r="G103" s="6" t="s">
        <v>717</v>
      </c>
      <c r="H103" s="6" t="s">
        <v>670</v>
      </c>
      <c r="I103" s="6" t="s">
        <v>670</v>
      </c>
      <c r="J103" s="6" t="s">
        <v>670</v>
      </c>
      <c r="K103" s="6" t="s">
        <v>677</v>
      </c>
      <c r="L103" s="6" t="s">
        <v>672</v>
      </c>
      <c r="M103" s="6" t="s">
        <v>673</v>
      </c>
      <c r="N103" s="6" t="s">
        <v>680</v>
      </c>
      <c r="O103" s="6" t="s">
        <v>668</v>
      </c>
      <c r="P103" s="7" t="e">
        <f>VLOOKUP(B103,Import!A$1:B$20000,2,FALSE)</f>
        <v>#N/A</v>
      </c>
      <c r="Q103" s="8" t="s">
        <v>675</v>
      </c>
      <c r="R103" s="11" t="e">
        <f>VLOOKUP(S103,Import!A$1:B$20000,2,FALSE)</f>
        <v>#N/A</v>
      </c>
      <c r="S103" s="12" t="str">
        <f t="shared" si="3"/>
        <v>5_L_B21_X_X_X_5J_N_V_M_A</v>
      </c>
      <c r="T103" s="6">
        <v>1000</v>
      </c>
    </row>
    <row r="104" spans="1:20" ht="12">
      <c r="A104" s="9">
        <f>IF(ISBLANK(Inm_7521),"",$T$104*Inm_7521)</f>
      </c>
      <c r="B104" s="9">
        <v>7521</v>
      </c>
      <c r="C104" s="10" t="s">
        <v>684</v>
      </c>
      <c r="D104" s="10" t="s">
        <v>83</v>
      </c>
      <c r="E104" s="6">
        <v>4</v>
      </c>
      <c r="F104" s="6" t="s">
        <v>716</v>
      </c>
      <c r="G104" s="6" t="s">
        <v>717</v>
      </c>
      <c r="H104" s="6" t="s">
        <v>670</v>
      </c>
      <c r="I104" s="6" t="s">
        <v>670</v>
      </c>
      <c r="J104" s="6" t="s">
        <v>670</v>
      </c>
      <c r="K104" s="6" t="s">
        <v>677</v>
      </c>
      <c r="L104" s="6" t="s">
        <v>672</v>
      </c>
      <c r="M104" s="6" t="s">
        <v>673</v>
      </c>
      <c r="N104" s="6" t="s">
        <v>680</v>
      </c>
      <c r="O104" s="6" t="s">
        <v>668</v>
      </c>
      <c r="P104" s="7" t="e">
        <f>VLOOKUP(B104,Import!A$1:B$20000,2,FALSE)</f>
        <v>#N/A</v>
      </c>
      <c r="Q104" s="8" t="s">
        <v>675</v>
      </c>
      <c r="R104" s="11" t="e">
        <f>VLOOKUP(S104,Import!A$1:B$20000,2,FALSE)</f>
        <v>#N/A</v>
      </c>
      <c r="S104" s="12" t="str">
        <f t="shared" si="3"/>
        <v>4_L_B21_X_X_X_5J_N_V_M_A</v>
      </c>
      <c r="T104" s="6">
        <v>1000</v>
      </c>
    </row>
    <row r="105" spans="1:20" ht="12">
      <c r="A105" s="9">
        <f>IF(ISBLANK(Inm_7523),"",$T$105*Inm_7523)</f>
      </c>
      <c r="B105" s="9">
        <v>7523</v>
      </c>
      <c r="C105" s="10" t="s">
        <v>684</v>
      </c>
      <c r="D105" s="10" t="s">
        <v>85</v>
      </c>
      <c r="E105" s="6">
        <v>3</v>
      </c>
      <c r="F105" s="6" t="s">
        <v>716</v>
      </c>
      <c r="G105" s="6" t="s">
        <v>717</v>
      </c>
      <c r="H105" s="6" t="s">
        <v>670</v>
      </c>
      <c r="I105" s="6" t="s">
        <v>670</v>
      </c>
      <c r="J105" s="6" t="s">
        <v>670</v>
      </c>
      <c r="K105" s="6" t="s">
        <v>677</v>
      </c>
      <c r="L105" s="6" t="s">
        <v>672</v>
      </c>
      <c r="M105" s="6" t="s">
        <v>673</v>
      </c>
      <c r="N105" s="6" t="s">
        <v>680</v>
      </c>
      <c r="O105" s="6" t="s">
        <v>668</v>
      </c>
      <c r="P105" s="7" t="e">
        <f>VLOOKUP(B105,Import!A$1:B$20000,2,FALSE)</f>
        <v>#N/A</v>
      </c>
      <c r="Q105" s="8" t="s">
        <v>675</v>
      </c>
      <c r="R105" s="11" t="e">
        <f>VLOOKUP(S105,Import!A$1:B$20000,2,FALSE)</f>
        <v>#N/A</v>
      </c>
      <c r="S105" s="12" t="str">
        <f t="shared" si="3"/>
        <v>3_L_B21_X_X_X_5J_N_V_M_A</v>
      </c>
      <c r="T105" s="6">
        <v>1000</v>
      </c>
    </row>
    <row r="106" spans="1:20" ht="12">
      <c r="A106" s="9">
        <f>IF(ISBLANK(Inm_7524),"",$T$106*Inm_7524)</f>
      </c>
      <c r="B106" s="9">
        <v>7524</v>
      </c>
      <c r="C106" s="10" t="s">
        <v>684</v>
      </c>
      <c r="D106" s="10" t="s">
        <v>86</v>
      </c>
      <c r="E106" s="6">
        <v>2</v>
      </c>
      <c r="F106" s="6" t="s">
        <v>716</v>
      </c>
      <c r="G106" s="6" t="s">
        <v>717</v>
      </c>
      <c r="H106" s="6" t="s">
        <v>670</v>
      </c>
      <c r="I106" s="6" t="s">
        <v>670</v>
      </c>
      <c r="J106" s="6" t="s">
        <v>670</v>
      </c>
      <c r="K106" s="6" t="s">
        <v>671</v>
      </c>
      <c r="L106" s="6" t="s">
        <v>672</v>
      </c>
      <c r="M106" s="6" t="s">
        <v>673</v>
      </c>
      <c r="N106" s="6" t="s">
        <v>680</v>
      </c>
      <c r="O106" s="6" t="s">
        <v>668</v>
      </c>
      <c r="P106" s="7" t="e">
        <f>VLOOKUP(B106,Import!A$1:B$20000,2,FALSE)</f>
        <v>#N/A</v>
      </c>
      <c r="Q106" s="8" t="s">
        <v>675</v>
      </c>
      <c r="R106" s="11" t="e">
        <f>VLOOKUP(S106,Import!A$1:B$20000,2,FALSE)</f>
        <v>#N/A</v>
      </c>
      <c r="S106" s="12" t="str">
        <f t="shared" si="3"/>
        <v>2_L_B21_X_X_X_3P_N_V_M_A</v>
      </c>
      <c r="T106" s="6">
        <v>1000</v>
      </c>
    </row>
    <row r="107" spans="1:20" ht="12">
      <c r="A107" s="9">
        <f>IF(ISBLANK(Inm_7518),"",$T$107*Inm_7518)</f>
      </c>
      <c r="B107" s="9">
        <v>7518</v>
      </c>
      <c r="C107" s="10" t="s">
        <v>684</v>
      </c>
      <c r="D107" s="10" t="s">
        <v>80</v>
      </c>
      <c r="E107" s="6">
        <v>5</v>
      </c>
      <c r="F107" s="6" t="s">
        <v>716</v>
      </c>
      <c r="G107" s="6" t="s">
        <v>717</v>
      </c>
      <c r="H107" s="6" t="s">
        <v>670</v>
      </c>
      <c r="I107" s="6" t="s">
        <v>670</v>
      </c>
      <c r="J107" s="6" t="s">
        <v>670</v>
      </c>
      <c r="K107" s="6" t="s">
        <v>671</v>
      </c>
      <c r="L107" s="6" t="s">
        <v>672</v>
      </c>
      <c r="M107" s="6" t="s">
        <v>673</v>
      </c>
      <c r="N107" s="6" t="s">
        <v>680</v>
      </c>
      <c r="O107" s="6" t="s">
        <v>668</v>
      </c>
      <c r="P107" s="7" t="e">
        <f>VLOOKUP(B107,Import!A$1:B$20000,2,FALSE)</f>
        <v>#N/A</v>
      </c>
      <c r="Q107" s="8" t="s">
        <v>675</v>
      </c>
      <c r="R107" s="11" t="e">
        <f>VLOOKUP(S107,Import!A$1:B$20000,2,FALSE)</f>
        <v>#N/A</v>
      </c>
      <c r="S107" s="12" t="str">
        <f t="shared" si="3"/>
        <v>5_L_B21_X_X_X_3P_N_V_M_A</v>
      </c>
      <c r="T107" s="6">
        <v>1000</v>
      </c>
    </row>
    <row r="108" spans="1:20" ht="12">
      <c r="A108" s="9">
        <f>IF(ISBLANK(Inm_7520),"",$T$108*Inm_7520)</f>
      </c>
      <c r="B108" s="9">
        <v>7520</v>
      </c>
      <c r="C108" s="10" t="s">
        <v>684</v>
      </c>
      <c r="D108" s="10" t="s">
        <v>82</v>
      </c>
      <c r="E108" s="6">
        <v>4</v>
      </c>
      <c r="F108" s="6" t="s">
        <v>716</v>
      </c>
      <c r="G108" s="6" t="s">
        <v>717</v>
      </c>
      <c r="H108" s="6" t="s">
        <v>670</v>
      </c>
      <c r="I108" s="6" t="s">
        <v>670</v>
      </c>
      <c r="J108" s="6" t="s">
        <v>670</v>
      </c>
      <c r="K108" s="6" t="s">
        <v>671</v>
      </c>
      <c r="L108" s="6" t="s">
        <v>672</v>
      </c>
      <c r="M108" s="6" t="s">
        <v>673</v>
      </c>
      <c r="N108" s="6" t="s">
        <v>680</v>
      </c>
      <c r="O108" s="6" t="s">
        <v>668</v>
      </c>
      <c r="P108" s="7" t="e">
        <f>VLOOKUP(B108,Import!A$1:B$20000,2,FALSE)</f>
        <v>#N/A</v>
      </c>
      <c r="Q108" s="8" t="s">
        <v>675</v>
      </c>
      <c r="R108" s="11" t="e">
        <f>VLOOKUP(S108,Import!A$1:B$20000,2,FALSE)</f>
        <v>#N/A</v>
      </c>
      <c r="S108" s="12" t="str">
        <f t="shared" si="3"/>
        <v>4_L_B21_X_X_X_3P_N_V_M_A</v>
      </c>
      <c r="T108" s="6">
        <v>1000</v>
      </c>
    </row>
    <row r="109" spans="1:20" ht="12">
      <c r="A109" s="9">
        <f>IF(ISBLANK(Inm_7522),"",$T$109*Inm_7522)</f>
      </c>
      <c r="B109" s="9">
        <v>7522</v>
      </c>
      <c r="C109" s="10" t="s">
        <v>684</v>
      </c>
      <c r="D109" s="10" t="s">
        <v>84</v>
      </c>
      <c r="E109" s="6">
        <v>3</v>
      </c>
      <c r="F109" s="6" t="s">
        <v>716</v>
      </c>
      <c r="G109" s="6" t="s">
        <v>717</v>
      </c>
      <c r="H109" s="6" t="s">
        <v>670</v>
      </c>
      <c r="I109" s="6" t="s">
        <v>670</v>
      </c>
      <c r="J109" s="6" t="s">
        <v>670</v>
      </c>
      <c r="K109" s="6" t="s">
        <v>671</v>
      </c>
      <c r="L109" s="6" t="s">
        <v>672</v>
      </c>
      <c r="M109" s="6" t="s">
        <v>673</v>
      </c>
      <c r="N109" s="6" t="s">
        <v>680</v>
      </c>
      <c r="O109" s="6" t="s">
        <v>668</v>
      </c>
      <c r="P109" s="7" t="e">
        <f>VLOOKUP(B109,Import!A$1:B$20000,2,FALSE)</f>
        <v>#N/A</v>
      </c>
      <c r="Q109" s="8" t="s">
        <v>675</v>
      </c>
      <c r="R109" s="11" t="e">
        <f>VLOOKUP(S109,Import!A$1:B$20000,2,FALSE)</f>
        <v>#N/A</v>
      </c>
      <c r="S109" s="12" t="str">
        <f t="shared" si="3"/>
        <v>3_L_B21_X_X_X_3P_N_V_M_A</v>
      </c>
      <c r="T109" s="6">
        <v>1000</v>
      </c>
    </row>
    <row r="110" spans="1:20" ht="12">
      <c r="A110" s="9">
        <f>IF(ISBLANK(Inm_7533),"",$T$110*Inm_7533)</f>
      </c>
      <c r="B110" s="9">
        <v>7533</v>
      </c>
      <c r="C110" s="10" t="s">
        <v>686</v>
      </c>
      <c r="D110" s="10" t="s">
        <v>95</v>
      </c>
      <c r="E110" s="6">
        <v>2</v>
      </c>
      <c r="F110" s="6" t="s">
        <v>716</v>
      </c>
      <c r="G110" s="6" t="s">
        <v>718</v>
      </c>
      <c r="H110" s="6" t="s">
        <v>670</v>
      </c>
      <c r="I110" s="6" t="s">
        <v>670</v>
      </c>
      <c r="J110" s="6" t="s">
        <v>670</v>
      </c>
      <c r="K110" s="6" t="s">
        <v>677</v>
      </c>
      <c r="L110" s="6" t="s">
        <v>672</v>
      </c>
      <c r="M110" s="6" t="s">
        <v>673</v>
      </c>
      <c r="N110" s="6" t="s">
        <v>680</v>
      </c>
      <c r="O110" s="6" t="s">
        <v>668</v>
      </c>
      <c r="P110" s="7" t="e">
        <f>VLOOKUP(B110,Import!A$1:B$20000,2,FALSE)</f>
        <v>#N/A</v>
      </c>
      <c r="Q110" s="8" t="s">
        <v>675</v>
      </c>
      <c r="R110" s="11" t="e">
        <f>VLOOKUP(S110,Import!A$1:B$20000,2,FALSE)</f>
        <v>#N/A</v>
      </c>
      <c r="S110" s="12" t="str">
        <f t="shared" si="3"/>
        <v>2_L_B22_X_X_X_5J_N_V_M_A</v>
      </c>
      <c r="T110" s="6">
        <v>1000</v>
      </c>
    </row>
    <row r="111" spans="1:20" ht="12">
      <c r="A111" s="9">
        <f>IF(ISBLANK(Inm_7527),"",$T$111*Inm_7527)</f>
      </c>
      <c r="B111" s="9">
        <v>7527</v>
      </c>
      <c r="C111" s="10" t="s">
        <v>686</v>
      </c>
      <c r="D111" s="10" t="s">
        <v>89</v>
      </c>
      <c r="E111" s="6">
        <v>5</v>
      </c>
      <c r="F111" s="6" t="s">
        <v>716</v>
      </c>
      <c r="G111" s="6" t="s">
        <v>718</v>
      </c>
      <c r="H111" s="6" t="s">
        <v>670</v>
      </c>
      <c r="I111" s="6" t="s">
        <v>670</v>
      </c>
      <c r="J111" s="6" t="s">
        <v>670</v>
      </c>
      <c r="K111" s="6" t="s">
        <v>677</v>
      </c>
      <c r="L111" s="6" t="s">
        <v>672</v>
      </c>
      <c r="M111" s="6" t="s">
        <v>673</v>
      </c>
      <c r="N111" s="6" t="s">
        <v>680</v>
      </c>
      <c r="O111" s="6" t="s">
        <v>668</v>
      </c>
      <c r="P111" s="7" t="e">
        <f>VLOOKUP(B111,Import!A$1:B$20000,2,FALSE)</f>
        <v>#N/A</v>
      </c>
      <c r="Q111" s="8" t="s">
        <v>675</v>
      </c>
      <c r="R111" s="11" t="e">
        <f>VLOOKUP(S111,Import!A$1:B$20000,2,FALSE)</f>
        <v>#N/A</v>
      </c>
      <c r="S111" s="12" t="str">
        <f t="shared" si="3"/>
        <v>5_L_B22_X_X_X_5J_N_V_M_A</v>
      </c>
      <c r="T111" s="6">
        <v>1000</v>
      </c>
    </row>
    <row r="112" spans="1:20" ht="12">
      <c r="A112" s="9">
        <f>IF(ISBLANK(Inm_7529),"",$T$112*Inm_7529)</f>
      </c>
      <c r="B112" s="9">
        <v>7529</v>
      </c>
      <c r="C112" s="10" t="s">
        <v>686</v>
      </c>
      <c r="D112" s="10" t="s">
        <v>91</v>
      </c>
      <c r="E112" s="6">
        <v>4</v>
      </c>
      <c r="F112" s="6" t="s">
        <v>716</v>
      </c>
      <c r="G112" s="6" t="s">
        <v>718</v>
      </c>
      <c r="H112" s="6" t="s">
        <v>670</v>
      </c>
      <c r="I112" s="6" t="s">
        <v>670</v>
      </c>
      <c r="J112" s="6" t="s">
        <v>670</v>
      </c>
      <c r="K112" s="6" t="s">
        <v>677</v>
      </c>
      <c r="L112" s="6" t="s">
        <v>672</v>
      </c>
      <c r="M112" s="6" t="s">
        <v>673</v>
      </c>
      <c r="N112" s="6" t="s">
        <v>680</v>
      </c>
      <c r="O112" s="6" t="s">
        <v>668</v>
      </c>
      <c r="P112" s="7" t="e">
        <f>VLOOKUP(B112,Import!A$1:B$20000,2,FALSE)</f>
        <v>#N/A</v>
      </c>
      <c r="Q112" s="8" t="s">
        <v>675</v>
      </c>
      <c r="R112" s="11" t="e">
        <f>VLOOKUP(S112,Import!A$1:B$20000,2,FALSE)</f>
        <v>#N/A</v>
      </c>
      <c r="S112" s="12" t="str">
        <f t="shared" si="3"/>
        <v>4_L_B22_X_X_X_5J_N_V_M_A</v>
      </c>
      <c r="T112" s="6">
        <v>1000</v>
      </c>
    </row>
    <row r="113" spans="1:20" ht="12">
      <c r="A113" s="9">
        <f>IF(ISBLANK(Inm_7531),"",$T$113*Inm_7531)</f>
      </c>
      <c r="B113" s="9">
        <v>7531</v>
      </c>
      <c r="C113" s="10" t="s">
        <v>686</v>
      </c>
      <c r="D113" s="10" t="s">
        <v>93</v>
      </c>
      <c r="E113" s="6">
        <v>3</v>
      </c>
      <c r="F113" s="6" t="s">
        <v>716</v>
      </c>
      <c r="G113" s="6" t="s">
        <v>718</v>
      </c>
      <c r="H113" s="6" t="s">
        <v>670</v>
      </c>
      <c r="I113" s="6" t="s">
        <v>670</v>
      </c>
      <c r="J113" s="6" t="s">
        <v>670</v>
      </c>
      <c r="K113" s="6" t="s">
        <v>677</v>
      </c>
      <c r="L113" s="6" t="s">
        <v>672</v>
      </c>
      <c r="M113" s="6" t="s">
        <v>673</v>
      </c>
      <c r="N113" s="6" t="s">
        <v>680</v>
      </c>
      <c r="O113" s="6" t="s">
        <v>668</v>
      </c>
      <c r="P113" s="7" t="e">
        <f>VLOOKUP(B113,Import!A$1:B$20000,2,FALSE)</f>
        <v>#N/A</v>
      </c>
      <c r="Q113" s="8" t="s">
        <v>675</v>
      </c>
      <c r="R113" s="11" t="e">
        <f>VLOOKUP(S113,Import!A$1:B$20000,2,FALSE)</f>
        <v>#N/A</v>
      </c>
      <c r="S113" s="12" t="str">
        <f t="shared" si="3"/>
        <v>3_L_B22_X_X_X_5J_N_V_M_A</v>
      </c>
      <c r="T113" s="6">
        <v>1000</v>
      </c>
    </row>
    <row r="114" spans="1:20" ht="12">
      <c r="A114" s="9">
        <f>IF(ISBLANK(Inm_7532),"",$T$114*Inm_7532)</f>
      </c>
      <c r="B114" s="9">
        <v>7532</v>
      </c>
      <c r="C114" s="10" t="s">
        <v>686</v>
      </c>
      <c r="D114" s="10" t="s">
        <v>94</v>
      </c>
      <c r="E114" s="6">
        <v>2</v>
      </c>
      <c r="F114" s="6" t="s">
        <v>716</v>
      </c>
      <c r="G114" s="6" t="s">
        <v>718</v>
      </c>
      <c r="H114" s="6" t="s">
        <v>670</v>
      </c>
      <c r="I114" s="6" t="s">
        <v>670</v>
      </c>
      <c r="J114" s="6" t="s">
        <v>670</v>
      </c>
      <c r="K114" s="6" t="s">
        <v>671</v>
      </c>
      <c r="L114" s="6" t="s">
        <v>672</v>
      </c>
      <c r="M114" s="6" t="s">
        <v>673</v>
      </c>
      <c r="N114" s="6" t="s">
        <v>680</v>
      </c>
      <c r="O114" s="6" t="s">
        <v>668</v>
      </c>
      <c r="P114" s="7" t="e">
        <f>VLOOKUP(B114,Import!A$1:B$20000,2,FALSE)</f>
        <v>#N/A</v>
      </c>
      <c r="Q114" s="8" t="s">
        <v>675</v>
      </c>
      <c r="R114" s="11" t="e">
        <f>VLOOKUP(S114,Import!A$1:B$20000,2,FALSE)</f>
        <v>#N/A</v>
      </c>
      <c r="S114" s="12" t="str">
        <f t="shared" si="3"/>
        <v>2_L_B22_X_X_X_3P_N_V_M_A</v>
      </c>
      <c r="T114" s="6">
        <v>1000</v>
      </c>
    </row>
    <row r="115" spans="1:20" ht="12">
      <c r="A115" s="9">
        <f>IF(ISBLANK(Inm_7526),"",$T$115*Inm_7526)</f>
      </c>
      <c r="B115" s="9">
        <v>7526</v>
      </c>
      <c r="C115" s="10" t="s">
        <v>686</v>
      </c>
      <c r="D115" s="10" t="s">
        <v>88</v>
      </c>
      <c r="E115" s="6">
        <v>5</v>
      </c>
      <c r="F115" s="6" t="s">
        <v>716</v>
      </c>
      <c r="G115" s="6" t="s">
        <v>718</v>
      </c>
      <c r="H115" s="6" t="s">
        <v>670</v>
      </c>
      <c r="I115" s="6" t="s">
        <v>670</v>
      </c>
      <c r="J115" s="6" t="s">
        <v>670</v>
      </c>
      <c r="K115" s="6" t="s">
        <v>671</v>
      </c>
      <c r="L115" s="6" t="s">
        <v>672</v>
      </c>
      <c r="M115" s="6" t="s">
        <v>673</v>
      </c>
      <c r="N115" s="6" t="s">
        <v>680</v>
      </c>
      <c r="O115" s="6" t="s">
        <v>668</v>
      </c>
      <c r="P115" s="7" t="e">
        <f>VLOOKUP(B115,Import!A$1:B$20000,2,FALSE)</f>
        <v>#N/A</v>
      </c>
      <c r="Q115" s="8" t="s">
        <v>675</v>
      </c>
      <c r="R115" s="11" t="e">
        <f>VLOOKUP(S115,Import!A$1:B$20000,2,FALSE)</f>
        <v>#N/A</v>
      </c>
      <c r="S115" s="12" t="str">
        <f t="shared" si="3"/>
        <v>5_L_B22_X_X_X_3P_N_V_M_A</v>
      </c>
      <c r="T115" s="6">
        <v>1000</v>
      </c>
    </row>
    <row r="116" spans="1:20" ht="12">
      <c r="A116" s="9">
        <f>IF(ISBLANK(Inm_7528),"",$T$116*Inm_7528)</f>
      </c>
      <c r="B116" s="9">
        <v>7528</v>
      </c>
      <c r="C116" s="10" t="s">
        <v>686</v>
      </c>
      <c r="D116" s="10" t="s">
        <v>90</v>
      </c>
      <c r="E116" s="6">
        <v>4</v>
      </c>
      <c r="F116" s="6" t="s">
        <v>716</v>
      </c>
      <c r="G116" s="6" t="s">
        <v>718</v>
      </c>
      <c r="H116" s="6" t="s">
        <v>670</v>
      </c>
      <c r="I116" s="6" t="s">
        <v>670</v>
      </c>
      <c r="J116" s="6" t="s">
        <v>670</v>
      </c>
      <c r="K116" s="6" t="s">
        <v>671</v>
      </c>
      <c r="L116" s="6" t="s">
        <v>672</v>
      </c>
      <c r="M116" s="6" t="s">
        <v>673</v>
      </c>
      <c r="N116" s="6" t="s">
        <v>680</v>
      </c>
      <c r="O116" s="6" t="s">
        <v>668</v>
      </c>
      <c r="P116" s="7" t="e">
        <f>VLOOKUP(B116,Import!A$1:B$20000,2,FALSE)</f>
        <v>#N/A</v>
      </c>
      <c r="Q116" s="8" t="s">
        <v>675</v>
      </c>
      <c r="R116" s="11" t="e">
        <f>VLOOKUP(S116,Import!A$1:B$20000,2,FALSE)</f>
        <v>#N/A</v>
      </c>
      <c r="S116" s="12" t="str">
        <f t="shared" si="3"/>
        <v>4_L_B22_X_X_X_3P_N_V_M_A</v>
      </c>
      <c r="T116" s="6">
        <v>1000</v>
      </c>
    </row>
    <row r="117" spans="1:20" ht="12">
      <c r="A117" s="9">
        <f>IF(ISBLANK(Inm_7530),"",$T$117*Inm_7530)</f>
      </c>
      <c r="B117" s="9">
        <v>7530</v>
      </c>
      <c r="C117" s="10" t="s">
        <v>686</v>
      </c>
      <c r="D117" s="10" t="s">
        <v>92</v>
      </c>
      <c r="E117" s="6">
        <v>3</v>
      </c>
      <c r="F117" s="6" t="s">
        <v>716</v>
      </c>
      <c r="G117" s="6" t="s">
        <v>718</v>
      </c>
      <c r="H117" s="6" t="s">
        <v>670</v>
      </c>
      <c r="I117" s="6" t="s">
        <v>670</v>
      </c>
      <c r="J117" s="6" t="s">
        <v>670</v>
      </c>
      <c r="K117" s="6" t="s">
        <v>671</v>
      </c>
      <c r="L117" s="6" t="s">
        <v>672</v>
      </c>
      <c r="M117" s="6" t="s">
        <v>673</v>
      </c>
      <c r="N117" s="6" t="s">
        <v>680</v>
      </c>
      <c r="O117" s="6" t="s">
        <v>668</v>
      </c>
      <c r="P117" s="7" t="e">
        <f>VLOOKUP(B117,Import!A$1:B$20000,2,FALSE)</f>
        <v>#N/A</v>
      </c>
      <c r="Q117" s="8" t="s">
        <v>675</v>
      </c>
      <c r="R117" s="11" t="e">
        <f>VLOOKUP(S117,Import!A$1:B$20000,2,FALSE)</f>
        <v>#N/A</v>
      </c>
      <c r="S117" s="12" t="str">
        <f t="shared" si="3"/>
        <v>3_L_B22_X_X_X_3P_N_V_M_A</v>
      </c>
      <c r="T117" s="6">
        <v>1000</v>
      </c>
    </row>
    <row r="118" spans="1:20" ht="12">
      <c r="A118" s="9">
        <f>IF(ISBLANK(Inm_7541),"",$T$118*Inm_7541)</f>
      </c>
      <c r="B118" s="9">
        <v>7541</v>
      </c>
      <c r="C118" s="10" t="s">
        <v>719</v>
      </c>
      <c r="D118" s="10" t="s">
        <v>103</v>
      </c>
      <c r="E118" s="6">
        <v>2</v>
      </c>
      <c r="F118" s="6" t="s">
        <v>716</v>
      </c>
      <c r="G118" s="6" t="s">
        <v>720</v>
      </c>
      <c r="H118" s="6" t="s">
        <v>670</v>
      </c>
      <c r="I118" s="6" t="s">
        <v>670</v>
      </c>
      <c r="J118" s="6" t="s">
        <v>670</v>
      </c>
      <c r="K118" s="6" t="s">
        <v>677</v>
      </c>
      <c r="L118" s="6" t="s">
        <v>672</v>
      </c>
      <c r="M118" s="6" t="s">
        <v>673</v>
      </c>
      <c r="N118" s="6" t="s">
        <v>680</v>
      </c>
      <c r="O118" s="6" t="s">
        <v>668</v>
      </c>
      <c r="P118" s="7" t="e">
        <f>VLOOKUP(B118,Import!A$1:B$20000,2,FALSE)</f>
        <v>#N/A</v>
      </c>
      <c r="Q118" s="8" t="s">
        <v>675</v>
      </c>
      <c r="R118" s="11" t="e">
        <f>VLOOKUP(S118,Import!A$1:B$20000,2,FALSE)</f>
        <v>#N/A</v>
      </c>
      <c r="S118" s="12" t="str">
        <f t="shared" si="3"/>
        <v>2_L_B23_X_X_X_5J_N_V_M_A</v>
      </c>
      <c r="T118" s="6">
        <v>1000</v>
      </c>
    </row>
    <row r="119" spans="1:20" ht="12">
      <c r="A119" s="9">
        <f>IF(ISBLANK(Inm_7535),"",$T$119*Inm_7535)</f>
      </c>
      <c r="B119" s="9">
        <v>7535</v>
      </c>
      <c r="C119" s="10" t="s">
        <v>719</v>
      </c>
      <c r="D119" s="10" t="s">
        <v>97</v>
      </c>
      <c r="E119" s="6">
        <v>5</v>
      </c>
      <c r="F119" s="6" t="s">
        <v>716</v>
      </c>
      <c r="G119" s="6" t="s">
        <v>720</v>
      </c>
      <c r="H119" s="6" t="s">
        <v>670</v>
      </c>
      <c r="I119" s="6" t="s">
        <v>670</v>
      </c>
      <c r="J119" s="6" t="s">
        <v>670</v>
      </c>
      <c r="K119" s="6" t="s">
        <v>677</v>
      </c>
      <c r="L119" s="6" t="s">
        <v>672</v>
      </c>
      <c r="M119" s="6" t="s">
        <v>673</v>
      </c>
      <c r="N119" s="6" t="s">
        <v>680</v>
      </c>
      <c r="O119" s="6" t="s">
        <v>668</v>
      </c>
      <c r="P119" s="7" t="e">
        <f>VLOOKUP(B119,Import!A$1:B$20000,2,FALSE)</f>
        <v>#N/A</v>
      </c>
      <c r="Q119" s="8" t="s">
        <v>675</v>
      </c>
      <c r="R119" s="11" t="e">
        <f>VLOOKUP(S119,Import!A$1:B$20000,2,FALSE)</f>
        <v>#N/A</v>
      </c>
      <c r="S119" s="12" t="str">
        <f t="shared" si="3"/>
        <v>5_L_B23_X_X_X_5J_N_V_M_A</v>
      </c>
      <c r="T119" s="6">
        <v>1000</v>
      </c>
    </row>
    <row r="120" spans="1:20" ht="12">
      <c r="A120" s="9">
        <f>IF(ISBLANK(Inm_7537),"",$T$120*Inm_7537)</f>
      </c>
      <c r="B120" s="9">
        <v>7537</v>
      </c>
      <c r="C120" s="10" t="s">
        <v>719</v>
      </c>
      <c r="D120" s="10" t="s">
        <v>99</v>
      </c>
      <c r="E120" s="6">
        <v>4</v>
      </c>
      <c r="F120" s="6" t="s">
        <v>716</v>
      </c>
      <c r="G120" s="6" t="s">
        <v>720</v>
      </c>
      <c r="H120" s="6" t="s">
        <v>670</v>
      </c>
      <c r="I120" s="6" t="s">
        <v>670</v>
      </c>
      <c r="J120" s="6" t="s">
        <v>670</v>
      </c>
      <c r="K120" s="6" t="s">
        <v>677</v>
      </c>
      <c r="L120" s="6" t="s">
        <v>672</v>
      </c>
      <c r="M120" s="6" t="s">
        <v>673</v>
      </c>
      <c r="N120" s="6" t="s">
        <v>680</v>
      </c>
      <c r="O120" s="6" t="s">
        <v>668</v>
      </c>
      <c r="P120" s="7" t="e">
        <f>VLOOKUP(B120,Import!A$1:B$20000,2,FALSE)</f>
        <v>#N/A</v>
      </c>
      <c r="Q120" s="8" t="s">
        <v>675</v>
      </c>
      <c r="R120" s="11" t="e">
        <f>VLOOKUP(S120,Import!A$1:B$20000,2,FALSE)</f>
        <v>#N/A</v>
      </c>
      <c r="S120" s="12" t="str">
        <f t="shared" si="3"/>
        <v>4_L_B23_X_X_X_5J_N_V_M_A</v>
      </c>
      <c r="T120" s="6">
        <v>1000</v>
      </c>
    </row>
    <row r="121" spans="1:20" ht="12">
      <c r="A121" s="9">
        <f>IF(ISBLANK(Inm_7539),"",$T$121*Inm_7539)</f>
      </c>
      <c r="B121" s="9">
        <v>7539</v>
      </c>
      <c r="C121" s="10" t="s">
        <v>719</v>
      </c>
      <c r="D121" s="10" t="s">
        <v>101</v>
      </c>
      <c r="E121" s="6">
        <v>3</v>
      </c>
      <c r="F121" s="6" t="s">
        <v>716</v>
      </c>
      <c r="G121" s="6" t="s">
        <v>720</v>
      </c>
      <c r="H121" s="6" t="s">
        <v>670</v>
      </c>
      <c r="I121" s="6" t="s">
        <v>670</v>
      </c>
      <c r="J121" s="6" t="s">
        <v>670</v>
      </c>
      <c r="K121" s="6" t="s">
        <v>677</v>
      </c>
      <c r="L121" s="6" t="s">
        <v>672</v>
      </c>
      <c r="M121" s="6" t="s">
        <v>673</v>
      </c>
      <c r="N121" s="6" t="s">
        <v>680</v>
      </c>
      <c r="O121" s="6" t="s">
        <v>668</v>
      </c>
      <c r="P121" s="7" t="e">
        <f>VLOOKUP(B121,Import!A$1:B$20000,2,FALSE)</f>
        <v>#N/A</v>
      </c>
      <c r="Q121" s="8" t="s">
        <v>675</v>
      </c>
      <c r="R121" s="11" t="e">
        <f>VLOOKUP(S121,Import!A$1:B$20000,2,FALSE)</f>
        <v>#N/A</v>
      </c>
      <c r="S121" s="12" t="str">
        <f t="shared" si="3"/>
        <v>3_L_B23_X_X_X_5J_N_V_M_A</v>
      </c>
      <c r="T121" s="6">
        <v>1000</v>
      </c>
    </row>
    <row r="122" spans="1:20" ht="12">
      <c r="A122" s="9">
        <f>IF(ISBLANK(Inm_7540),"",$T$122*Inm_7540)</f>
      </c>
      <c r="B122" s="9">
        <v>7540</v>
      </c>
      <c r="C122" s="10" t="s">
        <v>719</v>
      </c>
      <c r="D122" s="10" t="s">
        <v>102</v>
      </c>
      <c r="E122" s="6">
        <v>2</v>
      </c>
      <c r="F122" s="6" t="s">
        <v>716</v>
      </c>
      <c r="G122" s="6" t="s">
        <v>720</v>
      </c>
      <c r="H122" s="6" t="s">
        <v>670</v>
      </c>
      <c r="I122" s="6" t="s">
        <v>670</v>
      </c>
      <c r="J122" s="6" t="s">
        <v>670</v>
      </c>
      <c r="K122" s="6" t="s">
        <v>671</v>
      </c>
      <c r="L122" s="6" t="s">
        <v>672</v>
      </c>
      <c r="M122" s="6" t="s">
        <v>673</v>
      </c>
      <c r="N122" s="6" t="s">
        <v>680</v>
      </c>
      <c r="O122" s="6" t="s">
        <v>668</v>
      </c>
      <c r="P122" s="7" t="e">
        <f>VLOOKUP(B122,Import!A$1:B$20000,2,FALSE)</f>
        <v>#N/A</v>
      </c>
      <c r="Q122" s="8" t="s">
        <v>675</v>
      </c>
      <c r="R122" s="11" t="e">
        <f>VLOOKUP(S122,Import!A$1:B$20000,2,FALSE)</f>
        <v>#N/A</v>
      </c>
      <c r="S122" s="12" t="str">
        <f aca="true" t="shared" si="4" ref="S122:S153">CONCATENATE(E122,"_",F122,"_",G122,"_",H122,"_",I122,"_",J122,"_",K122,"_",L122,"_",M122,"_",N122,"_",O122)</f>
        <v>2_L_B23_X_X_X_3P_N_V_M_A</v>
      </c>
      <c r="T122" s="6">
        <v>1000</v>
      </c>
    </row>
    <row r="123" spans="1:20" ht="12">
      <c r="A123" s="9">
        <f>IF(ISBLANK(Inm_7534),"",$T$123*Inm_7534)</f>
      </c>
      <c r="B123" s="9">
        <v>7534</v>
      </c>
      <c r="C123" s="10" t="s">
        <v>719</v>
      </c>
      <c r="D123" s="10" t="s">
        <v>96</v>
      </c>
      <c r="E123" s="6">
        <v>5</v>
      </c>
      <c r="F123" s="6" t="s">
        <v>716</v>
      </c>
      <c r="G123" s="6" t="s">
        <v>720</v>
      </c>
      <c r="H123" s="6" t="s">
        <v>670</v>
      </c>
      <c r="I123" s="6" t="s">
        <v>670</v>
      </c>
      <c r="J123" s="6" t="s">
        <v>670</v>
      </c>
      <c r="K123" s="6" t="s">
        <v>671</v>
      </c>
      <c r="L123" s="6" t="s">
        <v>672</v>
      </c>
      <c r="M123" s="6" t="s">
        <v>673</v>
      </c>
      <c r="N123" s="6" t="s">
        <v>680</v>
      </c>
      <c r="O123" s="6" t="s">
        <v>668</v>
      </c>
      <c r="P123" s="7" t="e">
        <f>VLOOKUP(B123,Import!A$1:B$20000,2,FALSE)</f>
        <v>#N/A</v>
      </c>
      <c r="Q123" s="8" t="s">
        <v>675</v>
      </c>
      <c r="R123" s="11" t="e">
        <f>VLOOKUP(S123,Import!A$1:B$20000,2,FALSE)</f>
        <v>#N/A</v>
      </c>
      <c r="S123" s="12" t="str">
        <f t="shared" si="4"/>
        <v>5_L_B23_X_X_X_3P_N_V_M_A</v>
      </c>
      <c r="T123" s="6">
        <v>1000</v>
      </c>
    </row>
    <row r="124" spans="1:20" ht="12">
      <c r="A124" s="9">
        <f>IF(ISBLANK(Inm_7536),"",$T$124*Inm_7536)</f>
      </c>
      <c r="B124" s="9">
        <v>7536</v>
      </c>
      <c r="C124" s="10" t="s">
        <v>719</v>
      </c>
      <c r="D124" s="10" t="s">
        <v>98</v>
      </c>
      <c r="E124" s="6">
        <v>4</v>
      </c>
      <c r="F124" s="6" t="s">
        <v>716</v>
      </c>
      <c r="G124" s="6" t="s">
        <v>720</v>
      </c>
      <c r="H124" s="6" t="s">
        <v>670</v>
      </c>
      <c r="I124" s="6" t="s">
        <v>670</v>
      </c>
      <c r="J124" s="6" t="s">
        <v>670</v>
      </c>
      <c r="K124" s="6" t="s">
        <v>671</v>
      </c>
      <c r="L124" s="6" t="s">
        <v>672</v>
      </c>
      <c r="M124" s="6" t="s">
        <v>673</v>
      </c>
      <c r="N124" s="6" t="s">
        <v>680</v>
      </c>
      <c r="O124" s="6" t="s">
        <v>668</v>
      </c>
      <c r="P124" s="7" t="e">
        <f>VLOOKUP(B124,Import!A$1:B$20000,2,FALSE)</f>
        <v>#N/A</v>
      </c>
      <c r="Q124" s="8" t="s">
        <v>675</v>
      </c>
      <c r="R124" s="11" t="e">
        <f>VLOOKUP(S124,Import!A$1:B$20000,2,FALSE)</f>
        <v>#N/A</v>
      </c>
      <c r="S124" s="12" t="str">
        <f t="shared" si="4"/>
        <v>4_L_B23_X_X_X_3P_N_V_M_A</v>
      </c>
      <c r="T124" s="6">
        <v>1000</v>
      </c>
    </row>
    <row r="125" spans="1:20" ht="12">
      <c r="A125" s="9">
        <f>IF(ISBLANK(Inm_7538),"",$T$125*Inm_7538)</f>
      </c>
      <c r="B125" s="9">
        <v>7538</v>
      </c>
      <c r="C125" s="10" t="s">
        <v>719</v>
      </c>
      <c r="D125" s="10" t="s">
        <v>100</v>
      </c>
      <c r="E125" s="6">
        <v>3</v>
      </c>
      <c r="F125" s="6" t="s">
        <v>716</v>
      </c>
      <c r="G125" s="6" t="s">
        <v>720</v>
      </c>
      <c r="H125" s="6" t="s">
        <v>670</v>
      </c>
      <c r="I125" s="6" t="s">
        <v>670</v>
      </c>
      <c r="J125" s="6" t="s">
        <v>670</v>
      </c>
      <c r="K125" s="6" t="s">
        <v>671</v>
      </c>
      <c r="L125" s="6" t="s">
        <v>672</v>
      </c>
      <c r="M125" s="6" t="s">
        <v>673</v>
      </c>
      <c r="N125" s="6" t="s">
        <v>680</v>
      </c>
      <c r="O125" s="6" t="s">
        <v>668</v>
      </c>
      <c r="P125" s="7" t="e">
        <f>VLOOKUP(B125,Import!A$1:B$20000,2,FALSE)</f>
        <v>#N/A</v>
      </c>
      <c r="Q125" s="8" t="s">
        <v>675</v>
      </c>
      <c r="R125" s="11" t="e">
        <f>VLOOKUP(S125,Import!A$1:B$20000,2,FALSE)</f>
        <v>#N/A</v>
      </c>
      <c r="S125" s="12" t="str">
        <f t="shared" si="4"/>
        <v>3_L_B23_X_X_X_3P_N_V_M_A</v>
      </c>
      <c r="T125" s="6">
        <v>1000</v>
      </c>
    </row>
    <row r="126" spans="1:20" ht="12">
      <c r="A126" s="9">
        <f>IF(ISBLANK(Inm_7545),"",$T$126*Inm_7545)</f>
      </c>
      <c r="B126" s="9">
        <v>7545</v>
      </c>
      <c r="C126" s="10" t="s">
        <v>721</v>
      </c>
      <c r="D126" s="10" t="s">
        <v>107</v>
      </c>
      <c r="E126" s="6">
        <v>2</v>
      </c>
      <c r="F126" s="6" t="s">
        <v>716</v>
      </c>
      <c r="G126" s="6" t="s">
        <v>722</v>
      </c>
      <c r="H126" s="6" t="s">
        <v>670</v>
      </c>
      <c r="I126" s="6" t="s">
        <v>670</v>
      </c>
      <c r="J126" s="6" t="s">
        <v>670</v>
      </c>
      <c r="K126" s="6" t="s">
        <v>677</v>
      </c>
      <c r="L126" s="6" t="s">
        <v>672</v>
      </c>
      <c r="M126" s="6" t="s">
        <v>673</v>
      </c>
      <c r="N126" s="6" t="s">
        <v>680</v>
      </c>
      <c r="O126" s="6" t="s">
        <v>668</v>
      </c>
      <c r="P126" s="7" t="e">
        <f>VLOOKUP(B126,Import!A$1:B$20000,2,FALSE)</f>
        <v>#N/A</v>
      </c>
      <c r="Q126" s="8" t="s">
        <v>675</v>
      </c>
      <c r="R126" s="11" t="e">
        <f>VLOOKUP(S126,Import!A$1:B$20000,2,FALSE)</f>
        <v>#N/A</v>
      </c>
      <c r="S126" s="12" t="str">
        <f t="shared" si="4"/>
        <v>2_L_B24_X_X_X_5J_N_V_M_A</v>
      </c>
      <c r="T126" s="6">
        <v>1000</v>
      </c>
    </row>
    <row r="127" spans="1:20" ht="12">
      <c r="A127" s="9">
        <f>IF(ISBLANK(Inm_7542),"",$T$127*Inm_7542)</f>
      </c>
      <c r="B127" s="9">
        <v>7542</v>
      </c>
      <c r="C127" s="10" t="s">
        <v>721</v>
      </c>
      <c r="D127" s="10" t="s">
        <v>104</v>
      </c>
      <c r="E127" s="6">
        <v>5</v>
      </c>
      <c r="F127" s="6" t="s">
        <v>716</v>
      </c>
      <c r="G127" s="6" t="s">
        <v>722</v>
      </c>
      <c r="H127" s="6" t="s">
        <v>670</v>
      </c>
      <c r="I127" s="6" t="s">
        <v>670</v>
      </c>
      <c r="J127" s="6" t="s">
        <v>670</v>
      </c>
      <c r="K127" s="6" t="s">
        <v>677</v>
      </c>
      <c r="L127" s="6" t="s">
        <v>672</v>
      </c>
      <c r="M127" s="6" t="s">
        <v>673</v>
      </c>
      <c r="N127" s="6" t="s">
        <v>680</v>
      </c>
      <c r="O127" s="6" t="s">
        <v>668</v>
      </c>
      <c r="P127" s="7" t="e">
        <f>VLOOKUP(B127,Import!A$1:B$20000,2,FALSE)</f>
        <v>#N/A</v>
      </c>
      <c r="Q127" s="8" t="s">
        <v>675</v>
      </c>
      <c r="R127" s="11" t="e">
        <f>VLOOKUP(S127,Import!A$1:B$20000,2,FALSE)</f>
        <v>#N/A</v>
      </c>
      <c r="S127" s="12" t="str">
        <f t="shared" si="4"/>
        <v>5_L_B24_X_X_X_5J_N_V_M_A</v>
      </c>
      <c r="T127" s="6">
        <v>1000</v>
      </c>
    </row>
    <row r="128" spans="1:20" ht="12">
      <c r="A128" s="9">
        <f>IF(ISBLANK(Inm_7543),"",$T$128*Inm_7543)</f>
      </c>
      <c r="B128" s="9">
        <v>7543</v>
      </c>
      <c r="C128" s="10" t="s">
        <v>721</v>
      </c>
      <c r="D128" s="10" t="s">
        <v>105</v>
      </c>
      <c r="E128" s="6">
        <v>4</v>
      </c>
      <c r="F128" s="6" t="s">
        <v>716</v>
      </c>
      <c r="G128" s="6" t="s">
        <v>722</v>
      </c>
      <c r="H128" s="6" t="s">
        <v>670</v>
      </c>
      <c r="I128" s="6" t="s">
        <v>670</v>
      </c>
      <c r="J128" s="6" t="s">
        <v>670</v>
      </c>
      <c r="K128" s="6" t="s">
        <v>677</v>
      </c>
      <c r="L128" s="6" t="s">
        <v>672</v>
      </c>
      <c r="M128" s="6" t="s">
        <v>673</v>
      </c>
      <c r="N128" s="6" t="s">
        <v>680</v>
      </c>
      <c r="O128" s="6" t="s">
        <v>668</v>
      </c>
      <c r="P128" s="7" t="e">
        <f>VLOOKUP(B128,Import!A$1:B$20000,2,FALSE)</f>
        <v>#N/A</v>
      </c>
      <c r="Q128" s="8" t="s">
        <v>675</v>
      </c>
      <c r="R128" s="11" t="e">
        <f>VLOOKUP(S128,Import!A$1:B$20000,2,FALSE)</f>
        <v>#N/A</v>
      </c>
      <c r="S128" s="12" t="str">
        <f t="shared" si="4"/>
        <v>4_L_B24_X_X_X_5J_N_V_M_A</v>
      </c>
      <c r="T128" s="6">
        <v>1000</v>
      </c>
    </row>
    <row r="129" spans="1:20" ht="12">
      <c r="A129" s="9">
        <f>IF(ISBLANK(Inm_7544),"",$T$129*Inm_7544)</f>
      </c>
      <c r="B129" s="9">
        <v>7544</v>
      </c>
      <c r="C129" s="10" t="s">
        <v>721</v>
      </c>
      <c r="D129" s="10" t="s">
        <v>106</v>
      </c>
      <c r="E129" s="6">
        <v>3</v>
      </c>
      <c r="F129" s="6" t="s">
        <v>716</v>
      </c>
      <c r="G129" s="6" t="s">
        <v>722</v>
      </c>
      <c r="H129" s="6" t="s">
        <v>670</v>
      </c>
      <c r="I129" s="6" t="s">
        <v>670</v>
      </c>
      <c r="J129" s="6" t="s">
        <v>670</v>
      </c>
      <c r="K129" s="6" t="s">
        <v>677</v>
      </c>
      <c r="L129" s="6" t="s">
        <v>672</v>
      </c>
      <c r="M129" s="6" t="s">
        <v>673</v>
      </c>
      <c r="N129" s="6" t="s">
        <v>680</v>
      </c>
      <c r="O129" s="6" t="s">
        <v>668</v>
      </c>
      <c r="P129" s="7" t="e">
        <f>VLOOKUP(B129,Import!A$1:B$20000,2,FALSE)</f>
        <v>#N/A</v>
      </c>
      <c r="Q129" s="8" t="s">
        <v>675</v>
      </c>
      <c r="R129" s="11" t="e">
        <f>VLOOKUP(S129,Import!A$1:B$20000,2,FALSE)</f>
        <v>#N/A</v>
      </c>
      <c r="S129" s="12" t="str">
        <f t="shared" si="4"/>
        <v>3_L_B24_X_X_X_5J_N_V_M_A</v>
      </c>
      <c r="T129" s="6">
        <v>1000</v>
      </c>
    </row>
    <row r="130" spans="1:20" ht="12">
      <c r="A130" s="9">
        <f>IF(ISBLANK(Inm_7553),"",$T$130*Inm_7553)</f>
      </c>
      <c r="B130" s="9">
        <v>7553</v>
      </c>
      <c r="C130" s="10" t="s">
        <v>723</v>
      </c>
      <c r="D130" s="10" t="s">
        <v>115</v>
      </c>
      <c r="E130" s="6">
        <v>2</v>
      </c>
      <c r="F130" s="6" t="s">
        <v>716</v>
      </c>
      <c r="G130" s="6" t="s">
        <v>724</v>
      </c>
      <c r="H130" s="6" t="s">
        <v>670</v>
      </c>
      <c r="I130" s="6" t="s">
        <v>670</v>
      </c>
      <c r="J130" s="6" t="s">
        <v>670</v>
      </c>
      <c r="K130" s="6" t="s">
        <v>677</v>
      </c>
      <c r="L130" s="6" t="s">
        <v>672</v>
      </c>
      <c r="M130" s="6" t="s">
        <v>673</v>
      </c>
      <c r="N130" s="6" t="s">
        <v>672</v>
      </c>
      <c r="O130" s="6" t="s">
        <v>668</v>
      </c>
      <c r="P130" s="7" t="e">
        <f>VLOOKUP(B130,Import!A$1:B$20000,2,FALSE)</f>
        <v>#N/A</v>
      </c>
      <c r="Q130" s="8" t="s">
        <v>675</v>
      </c>
      <c r="R130" s="11" t="e">
        <f>VLOOKUP(S130,Import!A$1:B$20000,2,FALSE)</f>
        <v>#N/A</v>
      </c>
      <c r="S130" s="12" t="str">
        <f t="shared" si="4"/>
        <v>2_L_B251_X_X_X_5J_N_V_N_A</v>
      </c>
      <c r="T130" s="6">
        <v>1000</v>
      </c>
    </row>
    <row r="131" spans="1:20" ht="12">
      <c r="A131" s="9">
        <f>IF(ISBLANK(Inm_7547),"",$T$131*Inm_7547)</f>
      </c>
      <c r="B131" s="9">
        <v>7547</v>
      </c>
      <c r="C131" s="10" t="s">
        <v>723</v>
      </c>
      <c r="D131" s="10" t="s">
        <v>109</v>
      </c>
      <c r="E131" s="6">
        <v>5</v>
      </c>
      <c r="F131" s="6" t="s">
        <v>716</v>
      </c>
      <c r="G131" s="6" t="s">
        <v>724</v>
      </c>
      <c r="H131" s="6" t="s">
        <v>670</v>
      </c>
      <c r="I131" s="6" t="s">
        <v>670</v>
      </c>
      <c r="J131" s="6" t="s">
        <v>670</v>
      </c>
      <c r="K131" s="6" t="s">
        <v>677</v>
      </c>
      <c r="L131" s="6" t="s">
        <v>672</v>
      </c>
      <c r="M131" s="6" t="s">
        <v>673</v>
      </c>
      <c r="N131" s="6" t="s">
        <v>672</v>
      </c>
      <c r="O131" s="6" t="s">
        <v>668</v>
      </c>
      <c r="P131" s="7" t="e">
        <f>VLOOKUP(B131,Import!A$1:B$20000,2,FALSE)</f>
        <v>#N/A</v>
      </c>
      <c r="Q131" s="8" t="s">
        <v>675</v>
      </c>
      <c r="R131" s="11" t="e">
        <f>VLOOKUP(S131,Import!A$1:B$20000,2,FALSE)</f>
        <v>#N/A</v>
      </c>
      <c r="S131" s="12" t="str">
        <f t="shared" si="4"/>
        <v>5_L_B251_X_X_X_5J_N_V_N_A</v>
      </c>
      <c r="T131" s="6">
        <v>1000</v>
      </c>
    </row>
    <row r="132" spans="1:20" ht="12">
      <c r="A132" s="9">
        <f>IF(ISBLANK(Inm_7549),"",$T$132*Inm_7549)</f>
      </c>
      <c r="B132" s="9">
        <v>7549</v>
      </c>
      <c r="C132" s="10" t="s">
        <v>723</v>
      </c>
      <c r="D132" s="10" t="s">
        <v>111</v>
      </c>
      <c r="E132" s="6">
        <v>4</v>
      </c>
      <c r="F132" s="6" t="s">
        <v>716</v>
      </c>
      <c r="G132" s="6" t="s">
        <v>724</v>
      </c>
      <c r="H132" s="6" t="s">
        <v>670</v>
      </c>
      <c r="I132" s="6" t="s">
        <v>670</v>
      </c>
      <c r="J132" s="6" t="s">
        <v>670</v>
      </c>
      <c r="K132" s="6" t="s">
        <v>677</v>
      </c>
      <c r="L132" s="6" t="s">
        <v>672</v>
      </c>
      <c r="M132" s="6" t="s">
        <v>673</v>
      </c>
      <c r="N132" s="6" t="s">
        <v>672</v>
      </c>
      <c r="O132" s="6" t="s">
        <v>668</v>
      </c>
      <c r="P132" s="7" t="e">
        <f>VLOOKUP(B132,Import!A$1:B$20000,2,FALSE)</f>
        <v>#N/A</v>
      </c>
      <c r="Q132" s="8" t="s">
        <v>675</v>
      </c>
      <c r="R132" s="11" t="e">
        <f>VLOOKUP(S132,Import!A$1:B$20000,2,FALSE)</f>
        <v>#N/A</v>
      </c>
      <c r="S132" s="12" t="str">
        <f t="shared" si="4"/>
        <v>4_L_B251_X_X_X_5J_N_V_N_A</v>
      </c>
      <c r="T132" s="6">
        <v>1000</v>
      </c>
    </row>
    <row r="133" spans="1:20" ht="12">
      <c r="A133" s="9">
        <f>IF(ISBLANK(Inm_7551),"",$T$133*Inm_7551)</f>
      </c>
      <c r="B133" s="9">
        <v>7551</v>
      </c>
      <c r="C133" s="10" t="s">
        <v>723</v>
      </c>
      <c r="D133" s="10" t="s">
        <v>113</v>
      </c>
      <c r="E133" s="6">
        <v>3</v>
      </c>
      <c r="F133" s="6" t="s">
        <v>716</v>
      </c>
      <c r="G133" s="6" t="s">
        <v>724</v>
      </c>
      <c r="H133" s="6" t="s">
        <v>670</v>
      </c>
      <c r="I133" s="6" t="s">
        <v>670</v>
      </c>
      <c r="J133" s="6" t="s">
        <v>670</v>
      </c>
      <c r="K133" s="6" t="s">
        <v>677</v>
      </c>
      <c r="L133" s="6" t="s">
        <v>672</v>
      </c>
      <c r="M133" s="6" t="s">
        <v>673</v>
      </c>
      <c r="N133" s="6" t="s">
        <v>672</v>
      </c>
      <c r="O133" s="6" t="s">
        <v>668</v>
      </c>
      <c r="P133" s="7" t="e">
        <f>VLOOKUP(B133,Import!A$1:B$20000,2,FALSE)</f>
        <v>#N/A</v>
      </c>
      <c r="Q133" s="8" t="s">
        <v>675</v>
      </c>
      <c r="R133" s="11" t="e">
        <f>VLOOKUP(S133,Import!A$1:B$20000,2,FALSE)</f>
        <v>#N/A</v>
      </c>
      <c r="S133" s="12" t="str">
        <f t="shared" si="4"/>
        <v>3_L_B251_X_X_X_5J_N_V_N_A</v>
      </c>
      <c r="T133" s="6">
        <v>1000</v>
      </c>
    </row>
    <row r="134" spans="1:20" ht="12">
      <c r="A134" s="9">
        <f>IF(ISBLANK(Inm_7552),"",$T$134*Inm_7552)</f>
      </c>
      <c r="B134" s="9">
        <v>7552</v>
      </c>
      <c r="C134" s="10" t="s">
        <v>723</v>
      </c>
      <c r="D134" s="10" t="s">
        <v>114</v>
      </c>
      <c r="E134" s="6">
        <v>2</v>
      </c>
      <c r="F134" s="6" t="s">
        <v>716</v>
      </c>
      <c r="G134" s="6" t="s">
        <v>724</v>
      </c>
      <c r="H134" s="6" t="s">
        <v>670</v>
      </c>
      <c r="I134" s="6" t="s">
        <v>670</v>
      </c>
      <c r="J134" s="6" t="s">
        <v>670</v>
      </c>
      <c r="K134" s="6" t="s">
        <v>671</v>
      </c>
      <c r="L134" s="6" t="s">
        <v>672</v>
      </c>
      <c r="M134" s="6" t="s">
        <v>673</v>
      </c>
      <c r="N134" s="6" t="s">
        <v>672</v>
      </c>
      <c r="O134" s="6" t="s">
        <v>668</v>
      </c>
      <c r="P134" s="7" t="e">
        <f>VLOOKUP(B134,Import!A$1:B$20000,2,FALSE)</f>
        <v>#N/A</v>
      </c>
      <c r="Q134" s="8" t="s">
        <v>675</v>
      </c>
      <c r="R134" s="11" t="e">
        <f>VLOOKUP(S134,Import!A$1:B$20000,2,FALSE)</f>
        <v>#N/A</v>
      </c>
      <c r="S134" s="12" t="str">
        <f t="shared" si="4"/>
        <v>2_L_B251_X_X_X_3P_N_V_N_A</v>
      </c>
      <c r="T134" s="6">
        <v>1000</v>
      </c>
    </row>
    <row r="135" spans="1:20" ht="12">
      <c r="A135" s="9">
        <f>IF(ISBLANK(Inm_7546),"",$T$135*Inm_7546)</f>
      </c>
      <c r="B135" s="9">
        <v>7546</v>
      </c>
      <c r="C135" s="10" t="s">
        <v>723</v>
      </c>
      <c r="D135" s="10" t="s">
        <v>108</v>
      </c>
      <c r="E135" s="6">
        <v>5</v>
      </c>
      <c r="F135" s="6" t="s">
        <v>716</v>
      </c>
      <c r="G135" s="6" t="s">
        <v>724</v>
      </c>
      <c r="H135" s="6" t="s">
        <v>670</v>
      </c>
      <c r="I135" s="6" t="s">
        <v>670</v>
      </c>
      <c r="J135" s="6" t="s">
        <v>670</v>
      </c>
      <c r="K135" s="6" t="s">
        <v>671</v>
      </c>
      <c r="L135" s="6" t="s">
        <v>672</v>
      </c>
      <c r="M135" s="6" t="s">
        <v>673</v>
      </c>
      <c r="N135" s="6" t="s">
        <v>672</v>
      </c>
      <c r="O135" s="6" t="s">
        <v>668</v>
      </c>
      <c r="P135" s="7" t="e">
        <f>VLOOKUP(B135,Import!A$1:B$20000,2,FALSE)</f>
        <v>#N/A</v>
      </c>
      <c r="Q135" s="8" t="s">
        <v>675</v>
      </c>
      <c r="R135" s="11" t="e">
        <f>VLOOKUP(S135,Import!A$1:B$20000,2,FALSE)</f>
        <v>#N/A</v>
      </c>
      <c r="S135" s="12" t="str">
        <f t="shared" si="4"/>
        <v>5_L_B251_X_X_X_3P_N_V_N_A</v>
      </c>
      <c r="T135" s="6">
        <v>1000</v>
      </c>
    </row>
    <row r="136" spans="1:20" ht="12">
      <c r="A136" s="9">
        <f>IF(ISBLANK(Inm_7548),"",$T$136*Inm_7548)</f>
      </c>
      <c r="B136" s="9">
        <v>7548</v>
      </c>
      <c r="C136" s="10" t="s">
        <v>723</v>
      </c>
      <c r="D136" s="10" t="s">
        <v>110</v>
      </c>
      <c r="E136" s="6">
        <v>4</v>
      </c>
      <c r="F136" s="6" t="s">
        <v>716</v>
      </c>
      <c r="G136" s="6" t="s">
        <v>724</v>
      </c>
      <c r="H136" s="6" t="s">
        <v>670</v>
      </c>
      <c r="I136" s="6" t="s">
        <v>670</v>
      </c>
      <c r="J136" s="6" t="s">
        <v>670</v>
      </c>
      <c r="K136" s="6" t="s">
        <v>671</v>
      </c>
      <c r="L136" s="6" t="s">
        <v>672</v>
      </c>
      <c r="M136" s="6" t="s">
        <v>673</v>
      </c>
      <c r="N136" s="6" t="s">
        <v>672</v>
      </c>
      <c r="O136" s="6" t="s">
        <v>668</v>
      </c>
      <c r="P136" s="7" t="e">
        <f>VLOOKUP(B136,Import!A$1:B$20000,2,FALSE)</f>
        <v>#N/A</v>
      </c>
      <c r="Q136" s="8" t="s">
        <v>675</v>
      </c>
      <c r="R136" s="11" t="e">
        <f>VLOOKUP(S136,Import!A$1:B$20000,2,FALSE)</f>
        <v>#N/A</v>
      </c>
      <c r="S136" s="12" t="str">
        <f t="shared" si="4"/>
        <v>4_L_B251_X_X_X_3P_N_V_N_A</v>
      </c>
      <c r="T136" s="6">
        <v>1000</v>
      </c>
    </row>
    <row r="137" spans="1:20" ht="12">
      <c r="A137" s="9">
        <f>IF(ISBLANK(Inm_7550),"",$T$137*Inm_7550)</f>
      </c>
      <c r="B137" s="9">
        <v>7550</v>
      </c>
      <c r="C137" s="10" t="s">
        <v>723</v>
      </c>
      <c r="D137" s="10" t="s">
        <v>112</v>
      </c>
      <c r="E137" s="6">
        <v>3</v>
      </c>
      <c r="F137" s="6" t="s">
        <v>716</v>
      </c>
      <c r="G137" s="6" t="s">
        <v>724</v>
      </c>
      <c r="H137" s="6" t="s">
        <v>670</v>
      </c>
      <c r="I137" s="6" t="s">
        <v>670</v>
      </c>
      <c r="J137" s="6" t="s">
        <v>670</v>
      </c>
      <c r="K137" s="6" t="s">
        <v>671</v>
      </c>
      <c r="L137" s="6" t="s">
        <v>672</v>
      </c>
      <c r="M137" s="6" t="s">
        <v>673</v>
      </c>
      <c r="N137" s="6" t="s">
        <v>672</v>
      </c>
      <c r="O137" s="6" t="s">
        <v>668</v>
      </c>
      <c r="P137" s="7" t="e">
        <f>VLOOKUP(B137,Import!A$1:B$20000,2,FALSE)</f>
        <v>#N/A</v>
      </c>
      <c r="Q137" s="8" t="s">
        <v>675</v>
      </c>
      <c r="R137" s="11" t="e">
        <f>VLOOKUP(S137,Import!A$1:B$20000,2,FALSE)</f>
        <v>#N/A</v>
      </c>
      <c r="S137" s="12" t="str">
        <f t="shared" si="4"/>
        <v>3_L_B251_X_X_X_3P_N_V_N_A</v>
      </c>
      <c r="T137" s="6">
        <v>1000</v>
      </c>
    </row>
    <row r="138" spans="1:20" ht="12">
      <c r="A138" s="9">
        <f>IF(ISBLANK(Inm_7561),"",$T$138*Inm_7561)</f>
      </c>
      <c r="B138" s="9">
        <v>7561</v>
      </c>
      <c r="C138" s="10" t="s">
        <v>725</v>
      </c>
      <c r="D138" s="10" t="s">
        <v>123</v>
      </c>
      <c r="E138" s="6">
        <v>2</v>
      </c>
      <c r="F138" s="6" t="s">
        <v>716</v>
      </c>
      <c r="G138" s="6" t="s">
        <v>726</v>
      </c>
      <c r="H138" s="6" t="s">
        <v>670</v>
      </c>
      <c r="I138" s="6" t="s">
        <v>670</v>
      </c>
      <c r="J138" s="6" t="s">
        <v>670</v>
      </c>
      <c r="K138" s="6" t="s">
        <v>677</v>
      </c>
      <c r="L138" s="6" t="s">
        <v>672</v>
      </c>
      <c r="M138" s="6" t="s">
        <v>673</v>
      </c>
      <c r="N138" s="6" t="s">
        <v>672</v>
      </c>
      <c r="O138" s="6" t="s">
        <v>668</v>
      </c>
      <c r="P138" s="7" t="e">
        <f>VLOOKUP(B138,Import!A$1:B$20000,2,FALSE)</f>
        <v>#N/A</v>
      </c>
      <c r="Q138" s="8" t="s">
        <v>675</v>
      </c>
      <c r="R138" s="11" t="e">
        <f>VLOOKUP(S138,Import!A$1:B$20000,2,FALSE)</f>
        <v>#N/A</v>
      </c>
      <c r="S138" s="12" t="str">
        <f t="shared" si="4"/>
        <v>2_L_B252_X_X_X_5J_N_V_N_A</v>
      </c>
      <c r="T138" s="6">
        <v>1000</v>
      </c>
    </row>
    <row r="139" spans="1:20" ht="12">
      <c r="A139" s="9">
        <f>IF(ISBLANK(Inm_7555),"",$T$139*Inm_7555)</f>
      </c>
      <c r="B139" s="9">
        <v>7555</v>
      </c>
      <c r="C139" s="10" t="s">
        <v>725</v>
      </c>
      <c r="D139" s="10" t="s">
        <v>117</v>
      </c>
      <c r="E139" s="6">
        <v>5</v>
      </c>
      <c r="F139" s="6" t="s">
        <v>716</v>
      </c>
      <c r="G139" s="6" t="s">
        <v>726</v>
      </c>
      <c r="H139" s="6" t="s">
        <v>670</v>
      </c>
      <c r="I139" s="6" t="s">
        <v>670</v>
      </c>
      <c r="J139" s="6" t="s">
        <v>670</v>
      </c>
      <c r="K139" s="6" t="s">
        <v>677</v>
      </c>
      <c r="L139" s="6" t="s">
        <v>672</v>
      </c>
      <c r="M139" s="6" t="s">
        <v>673</v>
      </c>
      <c r="N139" s="6" t="s">
        <v>672</v>
      </c>
      <c r="O139" s="6" t="s">
        <v>668</v>
      </c>
      <c r="P139" s="7" t="e">
        <f>VLOOKUP(B139,Import!A$1:B$20000,2,FALSE)</f>
        <v>#N/A</v>
      </c>
      <c r="Q139" s="8" t="s">
        <v>675</v>
      </c>
      <c r="R139" s="11" t="e">
        <f>VLOOKUP(S139,Import!A$1:B$20000,2,FALSE)</f>
        <v>#N/A</v>
      </c>
      <c r="S139" s="12" t="str">
        <f t="shared" si="4"/>
        <v>5_L_B252_X_X_X_5J_N_V_N_A</v>
      </c>
      <c r="T139" s="6">
        <v>1000</v>
      </c>
    </row>
    <row r="140" spans="1:20" ht="12">
      <c r="A140" s="9">
        <f>IF(ISBLANK(Inm_7557),"",$T$140*Inm_7557)</f>
      </c>
      <c r="B140" s="9">
        <v>7557</v>
      </c>
      <c r="C140" s="10" t="s">
        <v>725</v>
      </c>
      <c r="D140" s="10" t="s">
        <v>119</v>
      </c>
      <c r="E140" s="6">
        <v>4</v>
      </c>
      <c r="F140" s="6" t="s">
        <v>716</v>
      </c>
      <c r="G140" s="6" t="s">
        <v>726</v>
      </c>
      <c r="H140" s="6" t="s">
        <v>670</v>
      </c>
      <c r="I140" s="6" t="s">
        <v>670</v>
      </c>
      <c r="J140" s="6" t="s">
        <v>670</v>
      </c>
      <c r="K140" s="6" t="s">
        <v>677</v>
      </c>
      <c r="L140" s="6" t="s">
        <v>672</v>
      </c>
      <c r="M140" s="6" t="s">
        <v>673</v>
      </c>
      <c r="N140" s="6" t="s">
        <v>672</v>
      </c>
      <c r="O140" s="6" t="s">
        <v>668</v>
      </c>
      <c r="P140" s="7" t="e">
        <f>VLOOKUP(B140,Import!A$1:B$20000,2,FALSE)</f>
        <v>#N/A</v>
      </c>
      <c r="Q140" s="8" t="s">
        <v>675</v>
      </c>
      <c r="R140" s="11" t="e">
        <f>VLOOKUP(S140,Import!A$1:B$20000,2,FALSE)</f>
        <v>#N/A</v>
      </c>
      <c r="S140" s="12" t="str">
        <f t="shared" si="4"/>
        <v>4_L_B252_X_X_X_5J_N_V_N_A</v>
      </c>
      <c r="T140" s="6">
        <v>1000</v>
      </c>
    </row>
    <row r="141" spans="1:20" ht="12">
      <c r="A141" s="9">
        <f>IF(ISBLANK(Inm_7559),"",$T$141*Inm_7559)</f>
      </c>
      <c r="B141" s="9">
        <v>7559</v>
      </c>
      <c r="C141" s="10" t="s">
        <v>725</v>
      </c>
      <c r="D141" s="10" t="s">
        <v>121</v>
      </c>
      <c r="E141" s="6">
        <v>3</v>
      </c>
      <c r="F141" s="6" t="s">
        <v>716</v>
      </c>
      <c r="G141" s="6" t="s">
        <v>726</v>
      </c>
      <c r="H141" s="6" t="s">
        <v>670</v>
      </c>
      <c r="I141" s="6" t="s">
        <v>670</v>
      </c>
      <c r="J141" s="6" t="s">
        <v>670</v>
      </c>
      <c r="K141" s="6" t="s">
        <v>677</v>
      </c>
      <c r="L141" s="6" t="s">
        <v>672</v>
      </c>
      <c r="M141" s="6" t="s">
        <v>673</v>
      </c>
      <c r="N141" s="6" t="s">
        <v>672</v>
      </c>
      <c r="O141" s="6" t="s">
        <v>668</v>
      </c>
      <c r="P141" s="7" t="e">
        <f>VLOOKUP(B141,Import!A$1:B$20000,2,FALSE)</f>
        <v>#N/A</v>
      </c>
      <c r="Q141" s="8" t="s">
        <v>675</v>
      </c>
      <c r="R141" s="11" t="e">
        <f>VLOOKUP(S141,Import!A$1:B$20000,2,FALSE)</f>
        <v>#N/A</v>
      </c>
      <c r="S141" s="12" t="str">
        <f t="shared" si="4"/>
        <v>3_L_B252_X_X_X_5J_N_V_N_A</v>
      </c>
      <c r="T141" s="6">
        <v>1000</v>
      </c>
    </row>
    <row r="142" spans="1:20" ht="12">
      <c r="A142" s="9">
        <f>IF(ISBLANK(Inm_7560),"",$T$142*Inm_7560)</f>
      </c>
      <c r="B142" s="9">
        <v>7560</v>
      </c>
      <c r="C142" s="10" t="s">
        <v>725</v>
      </c>
      <c r="D142" s="10" t="s">
        <v>122</v>
      </c>
      <c r="E142" s="6">
        <v>2</v>
      </c>
      <c r="F142" s="6" t="s">
        <v>716</v>
      </c>
      <c r="G142" s="6" t="s">
        <v>726</v>
      </c>
      <c r="H142" s="6" t="s">
        <v>670</v>
      </c>
      <c r="I142" s="6" t="s">
        <v>670</v>
      </c>
      <c r="J142" s="6" t="s">
        <v>670</v>
      </c>
      <c r="K142" s="6" t="s">
        <v>671</v>
      </c>
      <c r="L142" s="6" t="s">
        <v>672</v>
      </c>
      <c r="M142" s="6" t="s">
        <v>673</v>
      </c>
      <c r="N142" s="6" t="s">
        <v>672</v>
      </c>
      <c r="O142" s="6" t="s">
        <v>668</v>
      </c>
      <c r="P142" s="7" t="e">
        <f>VLOOKUP(B142,Import!A$1:B$20000,2,FALSE)</f>
        <v>#N/A</v>
      </c>
      <c r="Q142" s="8" t="s">
        <v>675</v>
      </c>
      <c r="R142" s="11" t="e">
        <f>VLOOKUP(S142,Import!A$1:B$20000,2,FALSE)</f>
        <v>#N/A</v>
      </c>
      <c r="S142" s="12" t="str">
        <f t="shared" si="4"/>
        <v>2_L_B252_X_X_X_3P_N_V_N_A</v>
      </c>
      <c r="T142" s="6">
        <v>1000</v>
      </c>
    </row>
    <row r="143" spans="1:20" ht="12">
      <c r="A143" s="9">
        <f>IF(ISBLANK(Inm_7554),"",$T$143*Inm_7554)</f>
      </c>
      <c r="B143" s="9">
        <v>7554</v>
      </c>
      <c r="C143" s="10" t="s">
        <v>725</v>
      </c>
      <c r="D143" s="10" t="s">
        <v>116</v>
      </c>
      <c r="E143" s="6">
        <v>5</v>
      </c>
      <c r="F143" s="6" t="s">
        <v>716</v>
      </c>
      <c r="G143" s="6" t="s">
        <v>726</v>
      </c>
      <c r="H143" s="6" t="s">
        <v>670</v>
      </c>
      <c r="I143" s="6" t="s">
        <v>670</v>
      </c>
      <c r="J143" s="6" t="s">
        <v>670</v>
      </c>
      <c r="K143" s="6" t="s">
        <v>671</v>
      </c>
      <c r="L143" s="6" t="s">
        <v>672</v>
      </c>
      <c r="M143" s="6" t="s">
        <v>673</v>
      </c>
      <c r="N143" s="6" t="s">
        <v>672</v>
      </c>
      <c r="O143" s="6" t="s">
        <v>668</v>
      </c>
      <c r="P143" s="7" t="e">
        <f>VLOOKUP(B143,Import!A$1:B$20000,2,FALSE)</f>
        <v>#N/A</v>
      </c>
      <c r="Q143" s="8" t="s">
        <v>675</v>
      </c>
      <c r="R143" s="11" t="e">
        <f>VLOOKUP(S143,Import!A$1:B$20000,2,FALSE)</f>
        <v>#N/A</v>
      </c>
      <c r="S143" s="12" t="str">
        <f t="shared" si="4"/>
        <v>5_L_B252_X_X_X_3P_N_V_N_A</v>
      </c>
      <c r="T143" s="6">
        <v>1000</v>
      </c>
    </row>
    <row r="144" spans="1:20" ht="12">
      <c r="A144" s="9">
        <f>IF(ISBLANK(Inm_7556),"",$T$144*Inm_7556)</f>
      </c>
      <c r="B144" s="9">
        <v>7556</v>
      </c>
      <c r="C144" s="10" t="s">
        <v>725</v>
      </c>
      <c r="D144" s="10" t="s">
        <v>118</v>
      </c>
      <c r="E144" s="6">
        <v>4</v>
      </c>
      <c r="F144" s="6" t="s">
        <v>716</v>
      </c>
      <c r="G144" s="6" t="s">
        <v>726</v>
      </c>
      <c r="H144" s="6" t="s">
        <v>670</v>
      </c>
      <c r="I144" s="6" t="s">
        <v>670</v>
      </c>
      <c r="J144" s="6" t="s">
        <v>670</v>
      </c>
      <c r="K144" s="6" t="s">
        <v>671</v>
      </c>
      <c r="L144" s="6" t="s">
        <v>672</v>
      </c>
      <c r="M144" s="6" t="s">
        <v>673</v>
      </c>
      <c r="N144" s="6" t="s">
        <v>672</v>
      </c>
      <c r="O144" s="6" t="s">
        <v>668</v>
      </c>
      <c r="P144" s="7" t="e">
        <f>VLOOKUP(B144,Import!A$1:B$20000,2,FALSE)</f>
        <v>#N/A</v>
      </c>
      <c r="Q144" s="8" t="s">
        <v>675</v>
      </c>
      <c r="R144" s="11" t="e">
        <f>VLOOKUP(S144,Import!A$1:B$20000,2,FALSE)</f>
        <v>#N/A</v>
      </c>
      <c r="S144" s="12" t="str">
        <f t="shared" si="4"/>
        <v>4_L_B252_X_X_X_3P_N_V_N_A</v>
      </c>
      <c r="T144" s="6">
        <v>1000</v>
      </c>
    </row>
    <row r="145" spans="1:20" ht="12">
      <c r="A145" s="9">
        <f>IF(ISBLANK(Inm_7558),"",$T$145*Inm_7558)</f>
      </c>
      <c r="B145" s="9">
        <v>7558</v>
      </c>
      <c r="C145" s="10" t="s">
        <v>725</v>
      </c>
      <c r="D145" s="10" t="s">
        <v>120</v>
      </c>
      <c r="E145" s="6">
        <v>3</v>
      </c>
      <c r="F145" s="6" t="s">
        <v>716</v>
      </c>
      <c r="G145" s="6" t="s">
        <v>726</v>
      </c>
      <c r="H145" s="6" t="s">
        <v>670</v>
      </c>
      <c r="I145" s="6" t="s">
        <v>670</v>
      </c>
      <c r="J145" s="6" t="s">
        <v>670</v>
      </c>
      <c r="K145" s="6" t="s">
        <v>671</v>
      </c>
      <c r="L145" s="6" t="s">
        <v>672</v>
      </c>
      <c r="M145" s="6" t="s">
        <v>673</v>
      </c>
      <c r="N145" s="6" t="s">
        <v>672</v>
      </c>
      <c r="O145" s="6" t="s">
        <v>668</v>
      </c>
      <c r="P145" s="7" t="e">
        <f>VLOOKUP(B145,Import!A$1:B$20000,2,FALSE)</f>
        <v>#N/A</v>
      </c>
      <c r="Q145" s="8" t="s">
        <v>675</v>
      </c>
      <c r="R145" s="11" t="e">
        <f>VLOOKUP(S145,Import!A$1:B$20000,2,FALSE)</f>
        <v>#N/A</v>
      </c>
      <c r="S145" s="12" t="str">
        <f t="shared" si="4"/>
        <v>3_L_B252_X_X_X_3P_N_V_N_A</v>
      </c>
      <c r="T145" s="6">
        <v>1000</v>
      </c>
    </row>
    <row r="146" spans="1:20" ht="12">
      <c r="A146" s="9">
        <f>IF(ISBLANK(Inm_7565),"",$T$146*Inm_7565)</f>
      </c>
      <c r="B146" s="9">
        <v>7565</v>
      </c>
      <c r="C146" s="10" t="s">
        <v>727</v>
      </c>
      <c r="D146" s="10" t="s">
        <v>127</v>
      </c>
      <c r="E146" s="6">
        <v>2</v>
      </c>
      <c r="F146" s="6" t="s">
        <v>716</v>
      </c>
      <c r="G146" s="6" t="s">
        <v>728</v>
      </c>
      <c r="H146" s="6" t="s">
        <v>670</v>
      </c>
      <c r="I146" s="6" t="s">
        <v>670</v>
      </c>
      <c r="J146" s="6" t="s">
        <v>670</v>
      </c>
      <c r="K146" s="6" t="s">
        <v>671</v>
      </c>
      <c r="L146" s="6" t="s">
        <v>715</v>
      </c>
      <c r="M146" s="6" t="s">
        <v>673</v>
      </c>
      <c r="N146" s="6" t="s">
        <v>672</v>
      </c>
      <c r="O146" s="6" t="s">
        <v>668</v>
      </c>
      <c r="P146" s="7" t="e">
        <f>VLOOKUP(B146,Import!A$1:B$20000,2,FALSE)</f>
        <v>#N/A</v>
      </c>
      <c r="Q146" s="8" t="s">
        <v>675</v>
      </c>
      <c r="R146" s="11" t="e">
        <f>VLOOKUP(S146,Import!A$1:B$20000,2,FALSE)</f>
        <v>#N/A</v>
      </c>
      <c r="S146" s="12" t="str">
        <f t="shared" si="4"/>
        <v>2_L_B25_X_X_X_3P_N1A_V_N_A</v>
      </c>
      <c r="T146" s="6">
        <v>1000</v>
      </c>
    </row>
    <row r="147" spans="1:20" ht="12">
      <c r="A147" s="9">
        <f>IF(ISBLANK(Inm_7562),"",$T$147*Inm_7562)</f>
      </c>
      <c r="B147" s="9">
        <v>7562</v>
      </c>
      <c r="C147" s="10" t="s">
        <v>727</v>
      </c>
      <c r="D147" s="10" t="s">
        <v>124</v>
      </c>
      <c r="E147" s="6">
        <v>5</v>
      </c>
      <c r="F147" s="6" t="s">
        <v>716</v>
      </c>
      <c r="G147" s="6" t="s">
        <v>728</v>
      </c>
      <c r="H147" s="6" t="s">
        <v>670</v>
      </c>
      <c r="I147" s="6" t="s">
        <v>670</v>
      </c>
      <c r="J147" s="6" t="s">
        <v>670</v>
      </c>
      <c r="K147" s="6" t="s">
        <v>671</v>
      </c>
      <c r="L147" s="6" t="s">
        <v>715</v>
      </c>
      <c r="M147" s="6" t="s">
        <v>673</v>
      </c>
      <c r="N147" s="6" t="s">
        <v>672</v>
      </c>
      <c r="O147" s="6" t="s">
        <v>668</v>
      </c>
      <c r="P147" s="7" t="e">
        <f>VLOOKUP(B147,Import!A$1:B$20000,2,FALSE)</f>
        <v>#N/A</v>
      </c>
      <c r="Q147" s="8" t="s">
        <v>675</v>
      </c>
      <c r="R147" s="11" t="e">
        <f>VLOOKUP(S147,Import!A$1:B$20000,2,FALSE)</f>
        <v>#N/A</v>
      </c>
      <c r="S147" s="12" t="str">
        <f t="shared" si="4"/>
        <v>5_L_B25_X_X_X_3P_N1A_V_N_A</v>
      </c>
      <c r="T147" s="6">
        <v>1000</v>
      </c>
    </row>
    <row r="148" spans="1:20" ht="12">
      <c r="A148" s="9">
        <f>IF(ISBLANK(Inm_7563),"",$T$148*Inm_7563)</f>
      </c>
      <c r="B148" s="9">
        <v>7563</v>
      </c>
      <c r="C148" s="10" t="s">
        <v>727</v>
      </c>
      <c r="D148" s="10" t="s">
        <v>125</v>
      </c>
      <c r="E148" s="6">
        <v>4</v>
      </c>
      <c r="F148" s="6" t="s">
        <v>716</v>
      </c>
      <c r="G148" s="6" t="s">
        <v>728</v>
      </c>
      <c r="H148" s="6" t="s">
        <v>670</v>
      </c>
      <c r="I148" s="6" t="s">
        <v>670</v>
      </c>
      <c r="J148" s="6" t="s">
        <v>670</v>
      </c>
      <c r="K148" s="6" t="s">
        <v>671</v>
      </c>
      <c r="L148" s="6" t="s">
        <v>715</v>
      </c>
      <c r="M148" s="6" t="s">
        <v>673</v>
      </c>
      <c r="N148" s="6" t="s">
        <v>672</v>
      </c>
      <c r="O148" s="6" t="s">
        <v>668</v>
      </c>
      <c r="P148" s="7" t="e">
        <f>VLOOKUP(B148,Import!A$1:B$20000,2,FALSE)</f>
        <v>#N/A</v>
      </c>
      <c r="Q148" s="8" t="s">
        <v>675</v>
      </c>
      <c r="R148" s="11" t="e">
        <f>VLOOKUP(S148,Import!A$1:B$20000,2,FALSE)</f>
        <v>#N/A</v>
      </c>
      <c r="S148" s="12" t="str">
        <f t="shared" si="4"/>
        <v>4_L_B25_X_X_X_3P_N1A_V_N_A</v>
      </c>
      <c r="T148" s="6">
        <v>1000</v>
      </c>
    </row>
    <row r="149" spans="1:20" ht="12">
      <c r="A149" s="9">
        <f>IF(ISBLANK(Inm_7564),"",$T$149*Inm_7564)</f>
      </c>
      <c r="B149" s="9">
        <v>7564</v>
      </c>
      <c r="C149" s="10" t="s">
        <v>727</v>
      </c>
      <c r="D149" s="10" t="s">
        <v>126</v>
      </c>
      <c r="E149" s="6">
        <v>3</v>
      </c>
      <c r="F149" s="6" t="s">
        <v>716</v>
      </c>
      <c r="G149" s="6" t="s">
        <v>728</v>
      </c>
      <c r="H149" s="6" t="s">
        <v>670</v>
      </c>
      <c r="I149" s="6" t="s">
        <v>670</v>
      </c>
      <c r="J149" s="6" t="s">
        <v>670</v>
      </c>
      <c r="K149" s="6" t="s">
        <v>671</v>
      </c>
      <c r="L149" s="6" t="s">
        <v>715</v>
      </c>
      <c r="M149" s="6" t="s">
        <v>673</v>
      </c>
      <c r="N149" s="6" t="s">
        <v>672</v>
      </c>
      <c r="O149" s="6" t="s">
        <v>668</v>
      </c>
      <c r="P149" s="7" t="e">
        <f>VLOOKUP(B149,Import!A$1:B$20000,2,FALSE)</f>
        <v>#N/A</v>
      </c>
      <c r="Q149" s="8" t="s">
        <v>675</v>
      </c>
      <c r="R149" s="11" t="e">
        <f>VLOOKUP(S149,Import!A$1:B$20000,2,FALSE)</f>
        <v>#N/A</v>
      </c>
      <c r="S149" s="12" t="str">
        <f t="shared" si="4"/>
        <v>3_L_B25_X_X_X_3P_N1A_V_N_A</v>
      </c>
      <c r="T149" s="6">
        <v>1000</v>
      </c>
    </row>
    <row r="150" spans="1:20" ht="12">
      <c r="A150" s="9">
        <f>IF(ISBLANK(Inm_7585),"",$T$150*Inm_7585)</f>
      </c>
      <c r="B150" s="9">
        <v>7585</v>
      </c>
      <c r="C150" s="10" t="s">
        <v>729</v>
      </c>
      <c r="D150" s="10" t="s">
        <v>147</v>
      </c>
      <c r="E150" s="6">
        <v>3221</v>
      </c>
      <c r="F150" s="6" t="s">
        <v>716</v>
      </c>
      <c r="G150" s="6" t="s">
        <v>730</v>
      </c>
      <c r="H150" s="6" t="s">
        <v>670</v>
      </c>
      <c r="I150" s="6" t="s">
        <v>670</v>
      </c>
      <c r="J150" s="6" t="s">
        <v>670</v>
      </c>
      <c r="K150" s="6" t="s">
        <v>677</v>
      </c>
      <c r="L150" s="6" t="s">
        <v>672</v>
      </c>
      <c r="M150" s="6" t="s">
        <v>673</v>
      </c>
      <c r="N150" s="6" t="s">
        <v>680</v>
      </c>
      <c r="O150" s="6" t="s">
        <v>668</v>
      </c>
      <c r="P150" s="7" t="e">
        <f>VLOOKUP(B150,Import!A$1:B$20000,2,FALSE)</f>
        <v>#N/A</v>
      </c>
      <c r="Q150" s="8" t="s">
        <v>675</v>
      </c>
      <c r="R150" s="11" t="e">
        <f>VLOOKUP(S150,Import!A$1:B$20000,2,FALSE)</f>
        <v>#N/A</v>
      </c>
      <c r="S150" s="12" t="str">
        <f t="shared" si="4"/>
        <v>3221_L_B26_X_X_X_5J_N_V_M_A</v>
      </c>
      <c r="T150" s="6">
        <v>1000</v>
      </c>
    </row>
    <row r="151" spans="1:20" ht="12">
      <c r="A151" s="9">
        <f>IF(ISBLANK(Inm_7568),"",$T$151*Inm_7568)</f>
      </c>
      <c r="B151" s="9">
        <v>7568</v>
      </c>
      <c r="C151" s="10" t="s">
        <v>729</v>
      </c>
      <c r="D151" s="10" t="s">
        <v>130</v>
      </c>
      <c r="E151" s="6" t="s">
        <v>731</v>
      </c>
      <c r="F151" s="6" t="s">
        <v>716</v>
      </c>
      <c r="G151" s="6" t="s">
        <v>730</v>
      </c>
      <c r="H151" s="6" t="s">
        <v>670</v>
      </c>
      <c r="I151" s="6" t="s">
        <v>670</v>
      </c>
      <c r="J151" s="6" t="s">
        <v>670</v>
      </c>
      <c r="K151" s="6" t="s">
        <v>677</v>
      </c>
      <c r="L151" s="6" t="s">
        <v>672</v>
      </c>
      <c r="M151" s="6" t="s">
        <v>673</v>
      </c>
      <c r="N151" s="6" t="s">
        <v>680</v>
      </c>
      <c r="O151" s="6" t="s">
        <v>668</v>
      </c>
      <c r="P151" s="7" t="e">
        <f>VLOOKUP(B151,Import!A$1:B$20000,2,FALSE)</f>
        <v>#N/A</v>
      </c>
      <c r="Q151" s="8" t="s">
        <v>675</v>
      </c>
      <c r="R151" s="11" t="e">
        <f>VLOOKUP(S151,Import!A$1:B$20000,2,FALSE)</f>
        <v>#N/A</v>
      </c>
      <c r="S151" s="12" t="str">
        <f t="shared" si="4"/>
        <v>31A_L_B26_X_X_X_5J_N_V_M_A</v>
      </c>
      <c r="T151" s="6">
        <v>1000</v>
      </c>
    </row>
    <row r="152" spans="1:20" ht="12">
      <c r="A152" s="9">
        <f>IF(ISBLANK(Inm_7566),"",$T$152*Inm_7566)</f>
      </c>
      <c r="B152" s="9">
        <v>7566</v>
      </c>
      <c r="C152" s="10" t="s">
        <v>729</v>
      </c>
      <c r="D152" s="10" t="s">
        <v>128</v>
      </c>
      <c r="E152" s="6">
        <v>322</v>
      </c>
      <c r="F152" s="6" t="s">
        <v>716</v>
      </c>
      <c r="G152" s="6" t="s">
        <v>730</v>
      </c>
      <c r="H152" s="6" t="s">
        <v>670</v>
      </c>
      <c r="I152" s="6" t="s">
        <v>670</v>
      </c>
      <c r="J152" s="6" t="s">
        <v>670</v>
      </c>
      <c r="K152" s="6" t="s">
        <v>677</v>
      </c>
      <c r="L152" s="6" t="s">
        <v>672</v>
      </c>
      <c r="M152" s="6" t="s">
        <v>673</v>
      </c>
      <c r="N152" s="6" t="s">
        <v>680</v>
      </c>
      <c r="O152" s="6" t="s">
        <v>668</v>
      </c>
      <c r="P152" s="7" t="e">
        <f>VLOOKUP(B152,Import!A$1:B$20000,2,FALSE)</f>
        <v>#N/A</v>
      </c>
      <c r="Q152" s="8" t="s">
        <v>675</v>
      </c>
      <c r="R152" s="11" t="e">
        <f>VLOOKUP(S152,Import!A$1:B$20000,2,FALSE)</f>
        <v>#N/A</v>
      </c>
      <c r="S152" s="12" t="str">
        <f t="shared" si="4"/>
        <v>322_L_B26_X_X_X_5J_N_V_M_A</v>
      </c>
      <c r="T152" s="6">
        <v>1000</v>
      </c>
    </row>
    <row r="153" spans="1:20" ht="12">
      <c r="A153" s="9">
        <f>IF(ISBLANK(Inm_7567),"",$T$153*Inm_7567)</f>
      </c>
      <c r="B153" s="9">
        <v>7567</v>
      </c>
      <c r="C153" s="10" t="s">
        <v>729</v>
      </c>
      <c r="D153" s="10" t="s">
        <v>129</v>
      </c>
      <c r="E153" s="6" t="s">
        <v>732</v>
      </c>
      <c r="F153" s="6" t="s">
        <v>716</v>
      </c>
      <c r="G153" s="6" t="s">
        <v>730</v>
      </c>
      <c r="H153" s="6" t="s">
        <v>670</v>
      </c>
      <c r="I153" s="6" t="s">
        <v>670</v>
      </c>
      <c r="J153" s="6" t="s">
        <v>670</v>
      </c>
      <c r="K153" s="6" t="s">
        <v>677</v>
      </c>
      <c r="L153" s="6" t="s">
        <v>672</v>
      </c>
      <c r="M153" s="6" t="s">
        <v>673</v>
      </c>
      <c r="N153" s="6" t="s">
        <v>680</v>
      </c>
      <c r="O153" s="6" t="s">
        <v>668</v>
      </c>
      <c r="P153" s="7" t="e">
        <f>VLOOKUP(B153,Import!A$1:B$20000,2,FALSE)</f>
        <v>#N/A</v>
      </c>
      <c r="Q153" s="8" t="s">
        <v>675</v>
      </c>
      <c r="R153" s="11" t="e">
        <f>VLOOKUP(S153,Import!A$1:B$20000,2,FALSE)</f>
        <v>#N/A</v>
      </c>
      <c r="S153" s="12" t="str">
        <f t="shared" si="4"/>
        <v>31B_L_B26_X_X_X_5J_N_V_M_A</v>
      </c>
      <c r="T153" s="6">
        <v>1000</v>
      </c>
    </row>
    <row r="154" spans="1:20" ht="12">
      <c r="A154" s="9">
        <f>IF(ISBLANK(Inm_7589),"",$T$154*Inm_7589)</f>
      </c>
      <c r="B154" s="9">
        <v>7589</v>
      </c>
      <c r="C154" s="10" t="s">
        <v>733</v>
      </c>
      <c r="D154" s="10" t="s">
        <v>151</v>
      </c>
      <c r="E154" s="6">
        <v>2</v>
      </c>
      <c r="F154" s="6" t="s">
        <v>668</v>
      </c>
      <c r="G154" s="6" t="s">
        <v>740</v>
      </c>
      <c r="H154" s="6" t="s">
        <v>670</v>
      </c>
      <c r="I154" s="6" t="s">
        <v>670</v>
      </c>
      <c r="J154" s="6" t="s">
        <v>670</v>
      </c>
      <c r="K154" s="6" t="s">
        <v>689</v>
      </c>
      <c r="L154" s="6" t="s">
        <v>672</v>
      </c>
      <c r="M154" s="6" t="s">
        <v>673</v>
      </c>
      <c r="N154" s="6" t="s">
        <v>680</v>
      </c>
      <c r="O154" s="6" t="s">
        <v>668</v>
      </c>
      <c r="P154" s="7" t="e">
        <f>VLOOKUP(B154,Import!A$1:B$20000,2,FALSE)</f>
        <v>#N/A</v>
      </c>
      <c r="Q154" s="8" t="s">
        <v>675</v>
      </c>
      <c r="R154" s="11" t="e">
        <f>VLOOKUP(S154,Import!A$1:B$20000,2,FALSE)</f>
        <v>#N/A</v>
      </c>
      <c r="S154" s="12" t="str">
        <f aca="true" t="shared" si="5" ref="S154:S183">CONCATENATE(E154,"_",F154,"_",G154,"_",H154,"_",I154,"_",J154,"_",K154,"_",L154,"_",M154,"_",N154,"_",O154)</f>
        <v>2_A_B171_X_X_X_1E_N_V_M_A</v>
      </c>
      <c r="T154" s="6">
        <v>1000</v>
      </c>
    </row>
    <row r="155" spans="1:20" ht="12">
      <c r="A155" s="9">
        <f>IF(ISBLANK(Inm_7586),"",$T$155*Inm_7586)</f>
      </c>
      <c r="B155" s="9">
        <v>7586</v>
      </c>
      <c r="C155" s="10" t="s">
        <v>733</v>
      </c>
      <c r="D155" s="10" t="s">
        <v>148</v>
      </c>
      <c r="E155" s="6">
        <v>5</v>
      </c>
      <c r="F155" s="6" t="s">
        <v>668</v>
      </c>
      <c r="G155" s="6" t="s">
        <v>740</v>
      </c>
      <c r="H155" s="6" t="s">
        <v>670</v>
      </c>
      <c r="I155" s="6" t="s">
        <v>670</v>
      </c>
      <c r="J155" s="6" t="s">
        <v>670</v>
      </c>
      <c r="K155" s="6" t="s">
        <v>689</v>
      </c>
      <c r="L155" s="6" t="s">
        <v>672</v>
      </c>
      <c r="M155" s="6" t="s">
        <v>673</v>
      </c>
      <c r="N155" s="6" t="s">
        <v>680</v>
      </c>
      <c r="O155" s="6" t="s">
        <v>668</v>
      </c>
      <c r="P155" s="7" t="e">
        <f>VLOOKUP(B155,Import!A$1:B$20000,2,FALSE)</f>
        <v>#N/A</v>
      </c>
      <c r="Q155" s="8" t="s">
        <v>675</v>
      </c>
      <c r="R155" s="11" t="e">
        <f>VLOOKUP(S155,Import!A$1:B$20000,2,FALSE)</f>
        <v>#N/A</v>
      </c>
      <c r="S155" s="12" t="str">
        <f t="shared" si="5"/>
        <v>5_A_B171_X_X_X_1E_N_V_M_A</v>
      </c>
      <c r="T155" s="6">
        <v>1000</v>
      </c>
    </row>
    <row r="156" spans="1:20" ht="12">
      <c r="A156" s="9">
        <f>IF(ISBLANK(Inm_7587),"",$T$156*Inm_7587)</f>
      </c>
      <c r="B156" s="9">
        <v>7587</v>
      </c>
      <c r="C156" s="10" t="s">
        <v>733</v>
      </c>
      <c r="D156" s="10" t="s">
        <v>149</v>
      </c>
      <c r="E156" s="6">
        <v>4</v>
      </c>
      <c r="F156" s="6" t="s">
        <v>668</v>
      </c>
      <c r="G156" s="6" t="s">
        <v>740</v>
      </c>
      <c r="H156" s="6" t="s">
        <v>670</v>
      </c>
      <c r="I156" s="6" t="s">
        <v>670</v>
      </c>
      <c r="J156" s="6" t="s">
        <v>670</v>
      </c>
      <c r="K156" s="6" t="s">
        <v>689</v>
      </c>
      <c r="L156" s="6" t="s">
        <v>672</v>
      </c>
      <c r="M156" s="6" t="s">
        <v>673</v>
      </c>
      <c r="N156" s="6" t="s">
        <v>680</v>
      </c>
      <c r="O156" s="6" t="s">
        <v>668</v>
      </c>
      <c r="P156" s="7" t="e">
        <f>VLOOKUP(B156,Import!A$1:B$20000,2,FALSE)</f>
        <v>#N/A</v>
      </c>
      <c r="Q156" s="8" t="s">
        <v>675</v>
      </c>
      <c r="R156" s="11" t="e">
        <f>VLOOKUP(S156,Import!A$1:B$20000,2,FALSE)</f>
        <v>#N/A</v>
      </c>
      <c r="S156" s="12" t="str">
        <f t="shared" si="5"/>
        <v>4_A_B171_X_X_X_1E_N_V_M_A</v>
      </c>
      <c r="T156" s="6">
        <v>1000</v>
      </c>
    </row>
    <row r="157" spans="1:20" ht="12">
      <c r="A157" s="9">
        <f>IF(ISBLANK(Inm_7588),"",$T$157*Inm_7588)</f>
      </c>
      <c r="B157" s="9">
        <v>7588</v>
      </c>
      <c r="C157" s="10" t="s">
        <v>733</v>
      </c>
      <c r="D157" s="10" t="s">
        <v>150</v>
      </c>
      <c r="E157" s="6">
        <v>3</v>
      </c>
      <c r="F157" s="6" t="s">
        <v>668</v>
      </c>
      <c r="G157" s="6" t="s">
        <v>740</v>
      </c>
      <c r="H157" s="6" t="s">
        <v>670</v>
      </c>
      <c r="I157" s="6" t="s">
        <v>670</v>
      </c>
      <c r="J157" s="6" t="s">
        <v>670</v>
      </c>
      <c r="K157" s="6" t="s">
        <v>689</v>
      </c>
      <c r="L157" s="6" t="s">
        <v>672</v>
      </c>
      <c r="M157" s="6" t="s">
        <v>673</v>
      </c>
      <c r="N157" s="6" t="s">
        <v>680</v>
      </c>
      <c r="O157" s="6" t="s">
        <v>668</v>
      </c>
      <c r="P157" s="7" t="e">
        <f>VLOOKUP(B157,Import!A$1:B$20000,2,FALSE)</f>
        <v>#N/A</v>
      </c>
      <c r="Q157" s="8" t="s">
        <v>675</v>
      </c>
      <c r="R157" s="11" t="e">
        <f>VLOOKUP(S157,Import!A$1:B$20000,2,FALSE)</f>
        <v>#N/A</v>
      </c>
      <c r="S157" s="12" t="str">
        <f t="shared" si="5"/>
        <v>3_A_B171_X_X_X_1E_N_V_M_A</v>
      </c>
      <c r="T157" s="6">
        <v>1000</v>
      </c>
    </row>
    <row r="158" spans="1:20" ht="12">
      <c r="A158" s="9">
        <f>IF(ISBLANK(Inm_7593),"",$T$158*Inm_7593)</f>
      </c>
      <c r="B158" s="9">
        <v>7593</v>
      </c>
      <c r="C158" s="10" t="s">
        <v>741</v>
      </c>
      <c r="D158" s="10" t="s">
        <v>155</v>
      </c>
      <c r="E158" s="6">
        <v>2</v>
      </c>
      <c r="F158" s="6" t="s">
        <v>668</v>
      </c>
      <c r="G158" s="6" t="s">
        <v>740</v>
      </c>
      <c r="H158" s="6" t="s">
        <v>670</v>
      </c>
      <c r="I158" s="6" t="s">
        <v>670</v>
      </c>
      <c r="J158" s="6" t="s">
        <v>670</v>
      </c>
      <c r="K158" s="6" t="s">
        <v>689</v>
      </c>
      <c r="L158" s="6" t="s">
        <v>742</v>
      </c>
      <c r="M158" s="6" t="s">
        <v>673</v>
      </c>
      <c r="N158" s="6" t="s">
        <v>680</v>
      </c>
      <c r="O158" s="6" t="s">
        <v>668</v>
      </c>
      <c r="P158" s="7" t="e">
        <f>VLOOKUP(B158,Import!A$1:B$20000,2,FALSE)</f>
        <v>#N/A</v>
      </c>
      <c r="Q158" s="8" t="s">
        <v>675</v>
      </c>
      <c r="R158" s="11" t="e">
        <f>VLOOKUP(S158,Import!A$1:B$20000,2,FALSE)</f>
        <v>#N/A</v>
      </c>
      <c r="S158" s="12" t="str">
        <f t="shared" si="5"/>
        <v>2_A_B171_X_X_X_1E_N12_V_M_A</v>
      </c>
      <c r="T158" s="6">
        <v>1000</v>
      </c>
    </row>
    <row r="159" spans="1:20" ht="12">
      <c r="A159" s="9">
        <f>IF(ISBLANK(Inm_7590),"",$T$159*Inm_7590)</f>
      </c>
      <c r="B159" s="9">
        <v>7590</v>
      </c>
      <c r="C159" s="10" t="s">
        <v>741</v>
      </c>
      <c r="D159" s="10" t="s">
        <v>152</v>
      </c>
      <c r="E159" s="6">
        <v>5</v>
      </c>
      <c r="F159" s="6" t="s">
        <v>668</v>
      </c>
      <c r="G159" s="6" t="s">
        <v>740</v>
      </c>
      <c r="H159" s="6" t="s">
        <v>670</v>
      </c>
      <c r="I159" s="6" t="s">
        <v>670</v>
      </c>
      <c r="J159" s="6" t="s">
        <v>670</v>
      </c>
      <c r="K159" s="6" t="s">
        <v>689</v>
      </c>
      <c r="L159" s="6" t="s">
        <v>742</v>
      </c>
      <c r="M159" s="6" t="s">
        <v>673</v>
      </c>
      <c r="N159" s="6" t="s">
        <v>680</v>
      </c>
      <c r="O159" s="6" t="s">
        <v>668</v>
      </c>
      <c r="P159" s="7" t="e">
        <f>VLOOKUP(B159,Import!A$1:B$20000,2,FALSE)</f>
        <v>#N/A</v>
      </c>
      <c r="Q159" s="8" t="s">
        <v>675</v>
      </c>
      <c r="R159" s="11" t="e">
        <f>VLOOKUP(S159,Import!A$1:B$20000,2,FALSE)</f>
        <v>#N/A</v>
      </c>
      <c r="S159" s="12" t="str">
        <f t="shared" si="5"/>
        <v>5_A_B171_X_X_X_1E_N12_V_M_A</v>
      </c>
      <c r="T159" s="6">
        <v>1000</v>
      </c>
    </row>
    <row r="160" spans="1:20" ht="12">
      <c r="A160" s="9">
        <f>IF(ISBLANK(Inm_7591),"",$T$160*Inm_7591)</f>
      </c>
      <c r="B160" s="9">
        <v>7591</v>
      </c>
      <c r="C160" s="10" t="s">
        <v>741</v>
      </c>
      <c r="D160" s="10" t="s">
        <v>153</v>
      </c>
      <c r="E160" s="6">
        <v>4</v>
      </c>
      <c r="F160" s="6" t="s">
        <v>668</v>
      </c>
      <c r="G160" s="6" t="s">
        <v>740</v>
      </c>
      <c r="H160" s="6" t="s">
        <v>670</v>
      </c>
      <c r="I160" s="6" t="s">
        <v>670</v>
      </c>
      <c r="J160" s="6" t="s">
        <v>670</v>
      </c>
      <c r="K160" s="6" t="s">
        <v>689</v>
      </c>
      <c r="L160" s="6" t="s">
        <v>742</v>
      </c>
      <c r="M160" s="6" t="s">
        <v>673</v>
      </c>
      <c r="N160" s="6" t="s">
        <v>680</v>
      </c>
      <c r="O160" s="6" t="s">
        <v>668</v>
      </c>
      <c r="P160" s="7" t="e">
        <f>VLOOKUP(B160,Import!A$1:B$20000,2,FALSE)</f>
        <v>#N/A</v>
      </c>
      <c r="Q160" s="8" t="s">
        <v>675</v>
      </c>
      <c r="R160" s="11" t="e">
        <f>VLOOKUP(S160,Import!A$1:B$20000,2,FALSE)</f>
        <v>#N/A</v>
      </c>
      <c r="S160" s="12" t="str">
        <f t="shared" si="5"/>
        <v>4_A_B171_X_X_X_1E_N12_V_M_A</v>
      </c>
      <c r="T160" s="6">
        <v>1000</v>
      </c>
    </row>
    <row r="161" spans="1:20" ht="12">
      <c r="A161" s="9">
        <f>IF(ISBLANK(Inm_7592),"",$T$161*Inm_7592)</f>
      </c>
      <c r="B161" s="9">
        <v>7592</v>
      </c>
      <c r="C161" s="10" t="s">
        <v>741</v>
      </c>
      <c r="D161" s="10" t="s">
        <v>154</v>
      </c>
      <c r="E161" s="6">
        <v>3</v>
      </c>
      <c r="F161" s="6" t="s">
        <v>668</v>
      </c>
      <c r="G161" s="6" t="s">
        <v>740</v>
      </c>
      <c r="H161" s="6" t="s">
        <v>670</v>
      </c>
      <c r="I161" s="6" t="s">
        <v>670</v>
      </c>
      <c r="J161" s="6" t="s">
        <v>670</v>
      </c>
      <c r="K161" s="6" t="s">
        <v>689</v>
      </c>
      <c r="L161" s="6" t="s">
        <v>742</v>
      </c>
      <c r="M161" s="6" t="s">
        <v>673</v>
      </c>
      <c r="N161" s="6" t="s">
        <v>680</v>
      </c>
      <c r="O161" s="6" t="s">
        <v>668</v>
      </c>
      <c r="P161" s="7" t="e">
        <f>VLOOKUP(B161,Import!A$1:B$20000,2,FALSE)</f>
        <v>#N/A</v>
      </c>
      <c r="Q161" s="8" t="s">
        <v>675</v>
      </c>
      <c r="R161" s="11" t="e">
        <f>VLOOKUP(S161,Import!A$1:B$20000,2,FALSE)</f>
        <v>#N/A</v>
      </c>
      <c r="S161" s="12" t="str">
        <f t="shared" si="5"/>
        <v>3_A_B171_X_X_X_1E_N12_V_M_A</v>
      </c>
      <c r="T161" s="6">
        <v>1000</v>
      </c>
    </row>
    <row r="162" spans="1:20" ht="12">
      <c r="A162" s="9">
        <f>IF(ISBLANK(Inm_7597),"",$T$162*Inm_7597)</f>
      </c>
      <c r="B162" s="9">
        <v>7597</v>
      </c>
      <c r="C162" s="10" t="s">
        <v>743</v>
      </c>
      <c r="D162" s="10" t="s">
        <v>159</v>
      </c>
      <c r="E162" s="6">
        <v>2</v>
      </c>
      <c r="F162" s="6" t="s">
        <v>668</v>
      </c>
      <c r="G162" s="6" t="s">
        <v>744</v>
      </c>
      <c r="H162" s="6" t="s">
        <v>670</v>
      </c>
      <c r="I162" s="6" t="s">
        <v>670</v>
      </c>
      <c r="J162" s="6" t="s">
        <v>670</v>
      </c>
      <c r="K162" s="6" t="s">
        <v>689</v>
      </c>
      <c r="L162" s="6" t="s">
        <v>672</v>
      </c>
      <c r="M162" s="6" t="s">
        <v>673</v>
      </c>
      <c r="N162" s="6" t="s">
        <v>674</v>
      </c>
      <c r="O162" s="6" t="s">
        <v>668</v>
      </c>
      <c r="P162" s="7" t="e">
        <f>VLOOKUP(B162,Import!A$1:B$20000,2,FALSE)</f>
        <v>#N/A</v>
      </c>
      <c r="Q162" s="8" t="s">
        <v>675</v>
      </c>
      <c r="R162" s="11" t="e">
        <f>VLOOKUP(S162,Import!A$1:B$20000,2,FALSE)</f>
        <v>#N/A</v>
      </c>
      <c r="S162" s="12" t="str">
        <f t="shared" si="5"/>
        <v>2_A_B172_X_X_X_1E_N_V_B_A</v>
      </c>
      <c r="T162" s="6">
        <v>1000</v>
      </c>
    </row>
    <row r="163" spans="1:20" ht="12">
      <c r="A163" s="9">
        <f>IF(ISBLANK(Inm_7594),"",$T$163*Inm_7594)</f>
      </c>
      <c r="B163" s="9">
        <v>7594</v>
      </c>
      <c r="C163" s="10" t="s">
        <v>743</v>
      </c>
      <c r="D163" s="10" t="s">
        <v>156</v>
      </c>
      <c r="E163" s="6">
        <v>5</v>
      </c>
      <c r="F163" s="6" t="s">
        <v>668</v>
      </c>
      <c r="G163" s="6" t="s">
        <v>744</v>
      </c>
      <c r="H163" s="6" t="s">
        <v>670</v>
      </c>
      <c r="I163" s="6" t="s">
        <v>670</v>
      </c>
      <c r="J163" s="6" t="s">
        <v>670</v>
      </c>
      <c r="K163" s="6" t="s">
        <v>689</v>
      </c>
      <c r="L163" s="6" t="s">
        <v>672</v>
      </c>
      <c r="M163" s="6" t="s">
        <v>673</v>
      </c>
      <c r="N163" s="6" t="s">
        <v>674</v>
      </c>
      <c r="O163" s="6" t="s">
        <v>668</v>
      </c>
      <c r="P163" s="7" t="e">
        <f>VLOOKUP(B163,Import!A$1:B$20000,2,FALSE)</f>
        <v>#N/A</v>
      </c>
      <c r="Q163" s="8" t="s">
        <v>675</v>
      </c>
      <c r="R163" s="11" t="e">
        <f>VLOOKUP(S163,Import!A$1:B$20000,2,FALSE)</f>
        <v>#N/A</v>
      </c>
      <c r="S163" s="12" t="str">
        <f t="shared" si="5"/>
        <v>5_A_B172_X_X_X_1E_N_V_B_A</v>
      </c>
      <c r="T163" s="6">
        <v>1000</v>
      </c>
    </row>
    <row r="164" spans="1:20" ht="12">
      <c r="A164" s="9">
        <f>IF(ISBLANK(Inm_7595),"",$T$164*Inm_7595)</f>
      </c>
      <c r="B164" s="9">
        <v>7595</v>
      </c>
      <c r="C164" s="10" t="s">
        <v>743</v>
      </c>
      <c r="D164" s="10" t="s">
        <v>157</v>
      </c>
      <c r="E164" s="6">
        <v>4</v>
      </c>
      <c r="F164" s="6" t="s">
        <v>668</v>
      </c>
      <c r="G164" s="6" t="s">
        <v>744</v>
      </c>
      <c r="H164" s="6" t="s">
        <v>670</v>
      </c>
      <c r="I164" s="6" t="s">
        <v>670</v>
      </c>
      <c r="J164" s="6" t="s">
        <v>670</v>
      </c>
      <c r="K164" s="6" t="s">
        <v>689</v>
      </c>
      <c r="L164" s="6" t="s">
        <v>672</v>
      </c>
      <c r="M164" s="6" t="s">
        <v>673</v>
      </c>
      <c r="N164" s="6" t="s">
        <v>674</v>
      </c>
      <c r="O164" s="6" t="s">
        <v>668</v>
      </c>
      <c r="P164" s="7" t="e">
        <f>VLOOKUP(B164,Import!A$1:B$20000,2,FALSE)</f>
        <v>#N/A</v>
      </c>
      <c r="Q164" s="8" t="s">
        <v>675</v>
      </c>
      <c r="R164" s="11" t="e">
        <f>VLOOKUP(S164,Import!A$1:B$20000,2,FALSE)</f>
        <v>#N/A</v>
      </c>
      <c r="S164" s="12" t="str">
        <f t="shared" si="5"/>
        <v>4_A_B172_X_X_X_1E_N_V_B_A</v>
      </c>
      <c r="T164" s="6">
        <v>1000</v>
      </c>
    </row>
    <row r="165" spans="1:20" ht="12">
      <c r="A165" s="9">
        <f>IF(ISBLANK(Inm_7596),"",$T$165*Inm_7596)</f>
      </c>
      <c r="B165" s="9">
        <v>7596</v>
      </c>
      <c r="C165" s="10" t="s">
        <v>743</v>
      </c>
      <c r="D165" s="10" t="s">
        <v>158</v>
      </c>
      <c r="E165" s="6">
        <v>3</v>
      </c>
      <c r="F165" s="6" t="s">
        <v>668</v>
      </c>
      <c r="G165" s="6" t="s">
        <v>744</v>
      </c>
      <c r="H165" s="6" t="s">
        <v>670</v>
      </c>
      <c r="I165" s="6" t="s">
        <v>670</v>
      </c>
      <c r="J165" s="6" t="s">
        <v>670</v>
      </c>
      <c r="K165" s="6" t="s">
        <v>689</v>
      </c>
      <c r="L165" s="6" t="s">
        <v>672</v>
      </c>
      <c r="M165" s="6" t="s">
        <v>673</v>
      </c>
      <c r="N165" s="6" t="s">
        <v>674</v>
      </c>
      <c r="O165" s="6" t="s">
        <v>668</v>
      </c>
      <c r="P165" s="7" t="e">
        <f>VLOOKUP(B165,Import!A$1:B$20000,2,FALSE)</f>
        <v>#N/A</v>
      </c>
      <c r="Q165" s="8" t="s">
        <v>675</v>
      </c>
      <c r="R165" s="11" t="e">
        <f>VLOOKUP(S165,Import!A$1:B$20000,2,FALSE)</f>
        <v>#N/A</v>
      </c>
      <c r="S165" s="12" t="str">
        <f t="shared" si="5"/>
        <v>3_A_B172_X_X_X_1E_N_V_B_A</v>
      </c>
      <c r="T165" s="6">
        <v>1000</v>
      </c>
    </row>
    <row r="166" spans="1:20" ht="12">
      <c r="A166" s="9">
        <f>IF(ISBLANK(Inm_7601),"",$T$166*Inm_7601)</f>
      </c>
      <c r="B166" s="9">
        <v>7601</v>
      </c>
      <c r="C166" s="10" t="s">
        <v>745</v>
      </c>
      <c r="D166" s="10" t="s">
        <v>163</v>
      </c>
      <c r="E166" s="6">
        <v>2</v>
      </c>
      <c r="F166" s="6" t="s">
        <v>668</v>
      </c>
      <c r="G166" s="6" t="s">
        <v>744</v>
      </c>
      <c r="H166" s="6" t="s">
        <v>670</v>
      </c>
      <c r="I166" s="6" t="s">
        <v>670</v>
      </c>
      <c r="J166" s="6" t="s">
        <v>670</v>
      </c>
      <c r="K166" s="6" t="s">
        <v>689</v>
      </c>
      <c r="L166" s="6" t="s">
        <v>742</v>
      </c>
      <c r="M166" s="6" t="s">
        <v>673</v>
      </c>
      <c r="N166" s="6" t="s">
        <v>674</v>
      </c>
      <c r="O166" s="6" t="s">
        <v>668</v>
      </c>
      <c r="P166" s="7" t="e">
        <f>VLOOKUP(B166,Import!A$1:B$20000,2,FALSE)</f>
        <v>#N/A</v>
      </c>
      <c r="Q166" s="8" t="s">
        <v>675</v>
      </c>
      <c r="R166" s="11" t="e">
        <f>VLOOKUP(S166,Import!A$1:B$20000,2,FALSE)</f>
        <v>#N/A</v>
      </c>
      <c r="S166" s="12" t="str">
        <f t="shared" si="5"/>
        <v>2_A_B172_X_X_X_1E_N12_V_B_A</v>
      </c>
      <c r="T166" s="6">
        <v>1000</v>
      </c>
    </row>
    <row r="167" spans="1:20" ht="12">
      <c r="A167" s="9">
        <f>IF(ISBLANK(Inm_7598),"",$T$167*Inm_7598)</f>
      </c>
      <c r="B167" s="9">
        <v>7598</v>
      </c>
      <c r="C167" s="10" t="s">
        <v>745</v>
      </c>
      <c r="D167" s="10" t="s">
        <v>160</v>
      </c>
      <c r="E167" s="6">
        <v>5</v>
      </c>
      <c r="F167" s="6" t="s">
        <v>668</v>
      </c>
      <c r="G167" s="6" t="s">
        <v>744</v>
      </c>
      <c r="H167" s="6" t="s">
        <v>670</v>
      </c>
      <c r="I167" s="6" t="s">
        <v>670</v>
      </c>
      <c r="J167" s="6" t="s">
        <v>670</v>
      </c>
      <c r="K167" s="6" t="s">
        <v>689</v>
      </c>
      <c r="L167" s="6" t="s">
        <v>742</v>
      </c>
      <c r="M167" s="6" t="s">
        <v>673</v>
      </c>
      <c r="N167" s="6" t="s">
        <v>674</v>
      </c>
      <c r="O167" s="6" t="s">
        <v>668</v>
      </c>
      <c r="P167" s="7" t="e">
        <f>VLOOKUP(B167,Import!A$1:B$20000,2,FALSE)</f>
        <v>#N/A</v>
      </c>
      <c r="Q167" s="8" t="s">
        <v>675</v>
      </c>
      <c r="R167" s="11" t="e">
        <f>VLOOKUP(S167,Import!A$1:B$20000,2,FALSE)</f>
        <v>#N/A</v>
      </c>
      <c r="S167" s="12" t="str">
        <f t="shared" si="5"/>
        <v>5_A_B172_X_X_X_1E_N12_V_B_A</v>
      </c>
      <c r="T167" s="6">
        <v>1000</v>
      </c>
    </row>
    <row r="168" spans="1:20" ht="12">
      <c r="A168" s="9">
        <f>IF(ISBLANK(Inm_7599),"",$T$168*Inm_7599)</f>
      </c>
      <c r="B168" s="9">
        <v>7599</v>
      </c>
      <c r="C168" s="10" t="s">
        <v>745</v>
      </c>
      <c r="D168" s="10" t="s">
        <v>161</v>
      </c>
      <c r="E168" s="6">
        <v>4</v>
      </c>
      <c r="F168" s="6" t="s">
        <v>668</v>
      </c>
      <c r="G168" s="6" t="s">
        <v>744</v>
      </c>
      <c r="H168" s="6" t="s">
        <v>670</v>
      </c>
      <c r="I168" s="6" t="s">
        <v>670</v>
      </c>
      <c r="J168" s="6" t="s">
        <v>670</v>
      </c>
      <c r="K168" s="6" t="s">
        <v>689</v>
      </c>
      <c r="L168" s="6" t="s">
        <v>742</v>
      </c>
      <c r="M168" s="6" t="s">
        <v>673</v>
      </c>
      <c r="N168" s="6" t="s">
        <v>674</v>
      </c>
      <c r="O168" s="6" t="s">
        <v>668</v>
      </c>
      <c r="P168" s="7" t="e">
        <f>VLOOKUP(B168,Import!A$1:B$20000,2,FALSE)</f>
        <v>#N/A</v>
      </c>
      <c r="Q168" s="8" t="s">
        <v>675</v>
      </c>
      <c r="R168" s="11" t="e">
        <f>VLOOKUP(S168,Import!A$1:B$20000,2,FALSE)</f>
        <v>#N/A</v>
      </c>
      <c r="S168" s="12" t="str">
        <f t="shared" si="5"/>
        <v>4_A_B172_X_X_X_1E_N12_V_B_A</v>
      </c>
      <c r="T168" s="6">
        <v>1000</v>
      </c>
    </row>
    <row r="169" spans="1:20" ht="12">
      <c r="A169" s="9">
        <f>IF(ISBLANK(Inm_7600),"",$T$169*Inm_7600)</f>
      </c>
      <c r="B169" s="9">
        <v>7600</v>
      </c>
      <c r="C169" s="10" t="s">
        <v>745</v>
      </c>
      <c r="D169" s="10" t="s">
        <v>162</v>
      </c>
      <c r="E169" s="6">
        <v>3</v>
      </c>
      <c r="F169" s="6" t="s">
        <v>668</v>
      </c>
      <c r="G169" s="6" t="s">
        <v>744</v>
      </c>
      <c r="H169" s="6" t="s">
        <v>670</v>
      </c>
      <c r="I169" s="6" t="s">
        <v>670</v>
      </c>
      <c r="J169" s="6" t="s">
        <v>670</v>
      </c>
      <c r="K169" s="6" t="s">
        <v>689</v>
      </c>
      <c r="L169" s="6" t="s">
        <v>742</v>
      </c>
      <c r="M169" s="6" t="s">
        <v>673</v>
      </c>
      <c r="N169" s="6" t="s">
        <v>674</v>
      </c>
      <c r="O169" s="6" t="s">
        <v>668</v>
      </c>
      <c r="P169" s="7" t="e">
        <f>VLOOKUP(B169,Import!A$1:B$20000,2,FALSE)</f>
        <v>#N/A</v>
      </c>
      <c r="Q169" s="8" t="s">
        <v>675</v>
      </c>
      <c r="R169" s="11" t="e">
        <f>VLOOKUP(S169,Import!A$1:B$20000,2,FALSE)</f>
        <v>#N/A</v>
      </c>
      <c r="S169" s="12" t="str">
        <f t="shared" si="5"/>
        <v>3_A_B172_X_X_X_1E_N12_V_B_A</v>
      </c>
      <c r="T169" s="6">
        <v>1000</v>
      </c>
    </row>
    <row r="170" spans="1:20" ht="12">
      <c r="A170" s="9">
        <f>IF(ISBLANK(Inm_7507),"",$T$170*Inm_7507)</f>
      </c>
      <c r="B170" s="9">
        <v>7507</v>
      </c>
      <c r="C170" s="10" t="s">
        <v>733</v>
      </c>
      <c r="D170" s="10" t="s">
        <v>69</v>
      </c>
      <c r="E170" s="6">
        <v>2</v>
      </c>
      <c r="F170" s="6" t="s">
        <v>668</v>
      </c>
      <c r="G170" s="6" t="s">
        <v>740</v>
      </c>
      <c r="H170" s="6" t="s">
        <v>670</v>
      </c>
      <c r="I170" s="6" t="s">
        <v>670</v>
      </c>
      <c r="J170" s="6" t="s">
        <v>670</v>
      </c>
      <c r="K170" s="6" t="s">
        <v>671</v>
      </c>
      <c r="L170" s="6" t="s">
        <v>672</v>
      </c>
      <c r="M170" s="6" t="s">
        <v>673</v>
      </c>
      <c r="N170" s="6" t="s">
        <v>680</v>
      </c>
      <c r="O170" s="6" t="s">
        <v>668</v>
      </c>
      <c r="P170" s="7" t="e">
        <f>VLOOKUP(B170,Import!A$1:B$20000,2,FALSE)</f>
        <v>#N/A</v>
      </c>
      <c r="Q170" s="8" t="s">
        <v>675</v>
      </c>
      <c r="R170" s="11" t="e">
        <f>VLOOKUP(S170,Import!A$1:B$20000,2,FALSE)</f>
        <v>#N/A</v>
      </c>
      <c r="S170" s="12" t="str">
        <f t="shared" si="5"/>
        <v>2_A_B171_X_X_X_3P_N_V_M_A</v>
      </c>
      <c r="T170" s="6">
        <v>1000</v>
      </c>
    </row>
    <row r="171" spans="1:20" ht="12">
      <c r="A171" s="9">
        <f>IF(ISBLANK(Inm_7504),"",$T$171*Inm_7504)</f>
      </c>
      <c r="B171" s="9">
        <v>7504</v>
      </c>
      <c r="C171" s="10" t="s">
        <v>733</v>
      </c>
      <c r="D171" s="10" t="s">
        <v>66</v>
      </c>
      <c r="E171" s="6">
        <v>5</v>
      </c>
      <c r="F171" s="6" t="s">
        <v>668</v>
      </c>
      <c r="G171" s="6" t="s">
        <v>740</v>
      </c>
      <c r="H171" s="6" t="s">
        <v>670</v>
      </c>
      <c r="I171" s="6" t="s">
        <v>670</v>
      </c>
      <c r="J171" s="6" t="s">
        <v>670</v>
      </c>
      <c r="K171" s="6" t="s">
        <v>671</v>
      </c>
      <c r="L171" s="6" t="s">
        <v>672</v>
      </c>
      <c r="M171" s="6" t="s">
        <v>673</v>
      </c>
      <c r="N171" s="6" t="s">
        <v>680</v>
      </c>
      <c r="O171" s="6" t="s">
        <v>668</v>
      </c>
      <c r="P171" s="7" t="e">
        <f>VLOOKUP(B171,Import!A$1:B$20000,2,FALSE)</f>
        <v>#N/A</v>
      </c>
      <c r="Q171" s="8" t="s">
        <v>675</v>
      </c>
      <c r="R171" s="11" t="e">
        <f>VLOOKUP(S171,Import!A$1:B$20000,2,FALSE)</f>
        <v>#N/A</v>
      </c>
      <c r="S171" s="12" t="str">
        <f t="shared" si="5"/>
        <v>5_A_B171_X_X_X_3P_N_V_M_A</v>
      </c>
      <c r="T171" s="6">
        <v>1000</v>
      </c>
    </row>
    <row r="172" spans="1:20" ht="12">
      <c r="A172" s="9">
        <f>IF(ISBLANK(Inm_7505),"",$T$172*Inm_7505)</f>
      </c>
      <c r="B172" s="9">
        <v>7505</v>
      </c>
      <c r="C172" s="10" t="s">
        <v>733</v>
      </c>
      <c r="D172" s="10" t="s">
        <v>67</v>
      </c>
      <c r="E172" s="6">
        <v>4</v>
      </c>
      <c r="F172" s="6" t="s">
        <v>668</v>
      </c>
      <c r="G172" s="6" t="s">
        <v>740</v>
      </c>
      <c r="H172" s="6" t="s">
        <v>670</v>
      </c>
      <c r="I172" s="6" t="s">
        <v>670</v>
      </c>
      <c r="J172" s="6" t="s">
        <v>670</v>
      </c>
      <c r="K172" s="6" t="s">
        <v>671</v>
      </c>
      <c r="L172" s="6" t="s">
        <v>672</v>
      </c>
      <c r="M172" s="6" t="s">
        <v>673</v>
      </c>
      <c r="N172" s="6" t="s">
        <v>680</v>
      </c>
      <c r="O172" s="6" t="s">
        <v>668</v>
      </c>
      <c r="P172" s="7" t="e">
        <f>VLOOKUP(B172,Import!A$1:B$20000,2,FALSE)</f>
        <v>#N/A</v>
      </c>
      <c r="Q172" s="8" t="s">
        <v>675</v>
      </c>
      <c r="R172" s="11" t="e">
        <f>VLOOKUP(S172,Import!A$1:B$20000,2,FALSE)</f>
        <v>#N/A</v>
      </c>
      <c r="S172" s="12" t="str">
        <f t="shared" si="5"/>
        <v>4_A_B171_X_X_X_3P_N_V_M_A</v>
      </c>
      <c r="T172" s="6">
        <v>1000</v>
      </c>
    </row>
    <row r="173" spans="1:20" ht="12">
      <c r="A173" s="9">
        <f>IF(ISBLANK(Inm_7506),"",$T$173*Inm_7506)</f>
      </c>
      <c r="B173" s="9">
        <v>7506</v>
      </c>
      <c r="C173" s="10" t="s">
        <v>733</v>
      </c>
      <c r="D173" s="10" t="s">
        <v>68</v>
      </c>
      <c r="E173" s="6">
        <v>3</v>
      </c>
      <c r="F173" s="6" t="s">
        <v>668</v>
      </c>
      <c r="G173" s="6" t="s">
        <v>740</v>
      </c>
      <c r="H173" s="6" t="s">
        <v>670</v>
      </c>
      <c r="I173" s="6" t="s">
        <v>670</v>
      </c>
      <c r="J173" s="6" t="s">
        <v>670</v>
      </c>
      <c r="K173" s="6" t="s">
        <v>671</v>
      </c>
      <c r="L173" s="6" t="s">
        <v>672</v>
      </c>
      <c r="M173" s="6" t="s">
        <v>673</v>
      </c>
      <c r="N173" s="6" t="s">
        <v>680</v>
      </c>
      <c r="O173" s="6" t="s">
        <v>668</v>
      </c>
      <c r="P173" s="7" t="e">
        <f>VLOOKUP(B173,Import!A$1:B$20000,2,FALSE)</f>
        <v>#N/A</v>
      </c>
      <c r="Q173" s="8" t="s">
        <v>675</v>
      </c>
      <c r="R173" s="11" t="e">
        <f>VLOOKUP(S173,Import!A$1:B$20000,2,FALSE)</f>
        <v>#N/A</v>
      </c>
      <c r="S173" s="12" t="str">
        <f t="shared" si="5"/>
        <v>3_A_B171_X_X_X_3P_N_V_M_A</v>
      </c>
      <c r="T173" s="6">
        <v>1000</v>
      </c>
    </row>
    <row r="174" spans="1:20" ht="12">
      <c r="A174" s="9">
        <f>IF(ISBLANK(Inm_7511),"",$T$174*Inm_7511)</f>
      </c>
      <c r="B174" s="9">
        <v>7511</v>
      </c>
      <c r="C174" s="10" t="s">
        <v>743</v>
      </c>
      <c r="D174" s="10" t="s">
        <v>73</v>
      </c>
      <c r="E174" s="6">
        <v>2</v>
      </c>
      <c r="F174" s="6" t="s">
        <v>668</v>
      </c>
      <c r="G174" s="6" t="s">
        <v>744</v>
      </c>
      <c r="H174" s="6" t="s">
        <v>670</v>
      </c>
      <c r="I174" s="6" t="s">
        <v>670</v>
      </c>
      <c r="J174" s="6" t="s">
        <v>670</v>
      </c>
      <c r="K174" s="6" t="s">
        <v>671</v>
      </c>
      <c r="L174" s="6" t="s">
        <v>672</v>
      </c>
      <c r="M174" s="6" t="s">
        <v>673</v>
      </c>
      <c r="N174" s="6" t="s">
        <v>674</v>
      </c>
      <c r="O174" s="6" t="s">
        <v>668</v>
      </c>
      <c r="P174" s="7" t="e">
        <f>VLOOKUP(B174,Import!A$1:B$20000,2,FALSE)</f>
        <v>#N/A</v>
      </c>
      <c r="Q174" s="8" t="s">
        <v>675</v>
      </c>
      <c r="R174" s="11" t="e">
        <f>VLOOKUP(S174,Import!A$1:B$20000,2,FALSE)</f>
        <v>#N/A</v>
      </c>
      <c r="S174" s="12" t="str">
        <f t="shared" si="5"/>
        <v>2_A_B172_X_X_X_3P_N_V_B_A</v>
      </c>
      <c r="T174" s="6">
        <v>1000</v>
      </c>
    </row>
    <row r="175" spans="1:20" ht="12">
      <c r="A175" s="9">
        <f>IF(ISBLANK(Inm_7508),"",$T$175*Inm_7508)</f>
      </c>
      <c r="B175" s="9">
        <v>7508</v>
      </c>
      <c r="C175" s="10" t="s">
        <v>743</v>
      </c>
      <c r="D175" s="10" t="s">
        <v>70</v>
      </c>
      <c r="E175" s="6">
        <v>5</v>
      </c>
      <c r="F175" s="6" t="s">
        <v>668</v>
      </c>
      <c r="G175" s="6" t="s">
        <v>744</v>
      </c>
      <c r="H175" s="6" t="s">
        <v>670</v>
      </c>
      <c r="I175" s="6" t="s">
        <v>670</v>
      </c>
      <c r="J175" s="6" t="s">
        <v>670</v>
      </c>
      <c r="K175" s="6" t="s">
        <v>671</v>
      </c>
      <c r="L175" s="6" t="s">
        <v>672</v>
      </c>
      <c r="M175" s="6" t="s">
        <v>673</v>
      </c>
      <c r="N175" s="6" t="s">
        <v>674</v>
      </c>
      <c r="O175" s="6" t="s">
        <v>668</v>
      </c>
      <c r="P175" s="7" t="e">
        <f>VLOOKUP(B175,Import!A$1:B$20000,2,FALSE)</f>
        <v>#N/A</v>
      </c>
      <c r="Q175" s="8" t="s">
        <v>675</v>
      </c>
      <c r="R175" s="11" t="e">
        <f>VLOOKUP(S175,Import!A$1:B$20000,2,FALSE)</f>
        <v>#N/A</v>
      </c>
      <c r="S175" s="12" t="str">
        <f t="shared" si="5"/>
        <v>5_A_B172_X_X_X_3P_N_V_B_A</v>
      </c>
      <c r="T175" s="6">
        <v>1000</v>
      </c>
    </row>
    <row r="176" spans="1:20" ht="12">
      <c r="A176" s="9">
        <f>IF(ISBLANK(Inm_7509),"",$T$176*Inm_7509)</f>
      </c>
      <c r="B176" s="9">
        <v>7509</v>
      </c>
      <c r="C176" s="10" t="s">
        <v>743</v>
      </c>
      <c r="D176" s="10" t="s">
        <v>71</v>
      </c>
      <c r="E176" s="6">
        <v>4</v>
      </c>
      <c r="F176" s="6" t="s">
        <v>668</v>
      </c>
      <c r="G176" s="6" t="s">
        <v>744</v>
      </c>
      <c r="H176" s="6" t="s">
        <v>670</v>
      </c>
      <c r="I176" s="6" t="s">
        <v>670</v>
      </c>
      <c r="J176" s="6" t="s">
        <v>670</v>
      </c>
      <c r="K176" s="6" t="s">
        <v>671</v>
      </c>
      <c r="L176" s="6" t="s">
        <v>672</v>
      </c>
      <c r="M176" s="6" t="s">
        <v>673</v>
      </c>
      <c r="N176" s="6" t="s">
        <v>674</v>
      </c>
      <c r="O176" s="6" t="s">
        <v>668</v>
      </c>
      <c r="P176" s="7" t="e">
        <f>VLOOKUP(B176,Import!A$1:B$20000,2,FALSE)</f>
        <v>#N/A</v>
      </c>
      <c r="Q176" s="8" t="s">
        <v>675</v>
      </c>
      <c r="R176" s="11" t="e">
        <f>VLOOKUP(S176,Import!A$1:B$20000,2,FALSE)</f>
        <v>#N/A</v>
      </c>
      <c r="S176" s="12" t="str">
        <f t="shared" si="5"/>
        <v>4_A_B172_X_X_X_3P_N_V_B_A</v>
      </c>
      <c r="T176" s="6">
        <v>1000</v>
      </c>
    </row>
    <row r="177" spans="1:20" ht="12">
      <c r="A177" s="9">
        <f>IF(ISBLANK(Inm_7510),"",$T$177*Inm_7510)</f>
      </c>
      <c r="B177" s="9">
        <v>7510</v>
      </c>
      <c r="C177" s="10" t="s">
        <v>743</v>
      </c>
      <c r="D177" s="10" t="s">
        <v>72</v>
      </c>
      <c r="E177" s="6">
        <v>3</v>
      </c>
      <c r="F177" s="6" t="s">
        <v>668</v>
      </c>
      <c r="G177" s="6" t="s">
        <v>744</v>
      </c>
      <c r="H177" s="6" t="s">
        <v>670</v>
      </c>
      <c r="I177" s="6" t="s">
        <v>670</v>
      </c>
      <c r="J177" s="6" t="s">
        <v>670</v>
      </c>
      <c r="K177" s="6" t="s">
        <v>671</v>
      </c>
      <c r="L177" s="6" t="s">
        <v>672</v>
      </c>
      <c r="M177" s="6" t="s">
        <v>673</v>
      </c>
      <c r="N177" s="6" t="s">
        <v>674</v>
      </c>
      <c r="O177" s="6" t="s">
        <v>668</v>
      </c>
      <c r="P177" s="7" t="e">
        <f>VLOOKUP(B177,Import!A$1:B$20000,2,FALSE)</f>
        <v>#N/A</v>
      </c>
      <c r="Q177" s="8" t="s">
        <v>675</v>
      </c>
      <c r="R177" s="11" t="e">
        <f>VLOOKUP(S177,Import!A$1:B$20000,2,FALSE)</f>
        <v>#N/A</v>
      </c>
      <c r="S177" s="12" t="str">
        <f t="shared" si="5"/>
        <v>3_A_B172_X_X_X_3P_N_V_B_A</v>
      </c>
      <c r="T177" s="6">
        <v>1000</v>
      </c>
    </row>
    <row r="178" spans="1:20" ht="12">
      <c r="A178" s="9">
        <f>IF(ISBLANK(Inm_7602),"",$T$178*Inm_7602)</f>
      </c>
      <c r="B178" s="9">
        <v>7602</v>
      </c>
      <c r="C178" s="10" t="s">
        <v>733</v>
      </c>
      <c r="D178" s="10" t="s">
        <v>164</v>
      </c>
      <c r="E178" s="6" t="s">
        <v>731</v>
      </c>
      <c r="F178" s="6" t="s">
        <v>668</v>
      </c>
      <c r="G178" s="6" t="s">
        <v>740</v>
      </c>
      <c r="H178" s="6" t="s">
        <v>670</v>
      </c>
      <c r="I178" s="6" t="s">
        <v>670</v>
      </c>
      <c r="J178" s="6" t="s">
        <v>670</v>
      </c>
      <c r="K178" s="6" t="s">
        <v>689</v>
      </c>
      <c r="L178" s="6" t="s">
        <v>672</v>
      </c>
      <c r="M178" s="6" t="s">
        <v>673</v>
      </c>
      <c r="N178" s="6" t="s">
        <v>680</v>
      </c>
      <c r="O178" s="6" t="s">
        <v>668</v>
      </c>
      <c r="P178" s="7" t="e">
        <f>VLOOKUP(B178,Import!A$1:B$20000,2,FALSE)</f>
        <v>#N/A</v>
      </c>
      <c r="Q178" s="8" t="s">
        <v>675</v>
      </c>
      <c r="R178" s="11" t="e">
        <f>VLOOKUP(S178,Import!A$1:B$20000,2,FALSE)</f>
        <v>#N/A</v>
      </c>
      <c r="S178" s="12" t="str">
        <f t="shared" si="5"/>
        <v>31A_A_B171_X_X_X_1E_N_V_M_A</v>
      </c>
      <c r="T178" s="6">
        <v>1000</v>
      </c>
    </row>
    <row r="179" spans="1:20" ht="12">
      <c r="A179" s="9">
        <f>IF(ISBLANK(Inm_7603),"",$T$179*Inm_7603)</f>
      </c>
      <c r="B179" s="9">
        <v>7603</v>
      </c>
      <c r="C179" s="10" t="s">
        <v>733</v>
      </c>
      <c r="D179" s="10" t="s">
        <v>165</v>
      </c>
      <c r="E179" s="6">
        <v>322</v>
      </c>
      <c r="F179" s="6" t="s">
        <v>668</v>
      </c>
      <c r="G179" s="6" t="s">
        <v>740</v>
      </c>
      <c r="H179" s="6" t="s">
        <v>670</v>
      </c>
      <c r="I179" s="6" t="s">
        <v>670</v>
      </c>
      <c r="J179" s="6" t="s">
        <v>670</v>
      </c>
      <c r="K179" s="6" t="s">
        <v>689</v>
      </c>
      <c r="L179" s="6" t="s">
        <v>672</v>
      </c>
      <c r="M179" s="6" t="s">
        <v>673</v>
      </c>
      <c r="N179" s="6" t="s">
        <v>680</v>
      </c>
      <c r="O179" s="6" t="s">
        <v>668</v>
      </c>
      <c r="P179" s="7" t="e">
        <f>VLOOKUP(B179,Import!A$1:B$20000,2,FALSE)</f>
        <v>#N/A</v>
      </c>
      <c r="Q179" s="8" t="s">
        <v>675</v>
      </c>
      <c r="R179" s="11" t="e">
        <f>VLOOKUP(S179,Import!A$1:B$20000,2,FALSE)</f>
        <v>#N/A</v>
      </c>
      <c r="S179" s="12" t="str">
        <f t="shared" si="5"/>
        <v>322_A_B171_X_X_X_1E_N_V_M_A</v>
      </c>
      <c r="T179" s="6">
        <v>1000</v>
      </c>
    </row>
    <row r="180" spans="1:20" ht="12">
      <c r="A180" s="9">
        <f>IF(ISBLANK(Inm_7604),"",$T$180*Inm_7604)</f>
      </c>
      <c r="B180" s="9">
        <v>7604</v>
      </c>
      <c r="C180" s="10" t="s">
        <v>733</v>
      </c>
      <c r="D180" s="10" t="s">
        <v>166</v>
      </c>
      <c r="E180" s="6" t="s">
        <v>732</v>
      </c>
      <c r="F180" s="6" t="s">
        <v>668</v>
      </c>
      <c r="G180" s="6" t="s">
        <v>740</v>
      </c>
      <c r="H180" s="6" t="s">
        <v>670</v>
      </c>
      <c r="I180" s="6" t="s">
        <v>670</v>
      </c>
      <c r="J180" s="6" t="s">
        <v>670</v>
      </c>
      <c r="K180" s="6" t="s">
        <v>689</v>
      </c>
      <c r="L180" s="6" t="s">
        <v>672</v>
      </c>
      <c r="M180" s="6" t="s">
        <v>673</v>
      </c>
      <c r="N180" s="6" t="s">
        <v>680</v>
      </c>
      <c r="O180" s="6" t="s">
        <v>668</v>
      </c>
      <c r="P180" s="7" t="e">
        <f>VLOOKUP(B180,Import!A$1:B$20000,2,FALSE)</f>
        <v>#N/A</v>
      </c>
      <c r="Q180" s="8" t="s">
        <v>675</v>
      </c>
      <c r="R180" s="11" t="e">
        <f>VLOOKUP(S180,Import!A$1:B$20000,2,FALSE)</f>
        <v>#N/A</v>
      </c>
      <c r="S180" s="12" t="str">
        <f t="shared" si="5"/>
        <v>31B_A_B171_X_X_X_1E_N_V_M_A</v>
      </c>
      <c r="T180" s="6">
        <v>1000</v>
      </c>
    </row>
    <row r="181" spans="1:20" ht="12">
      <c r="A181" s="9">
        <f>IF(ISBLANK(Inm_7607),"",$T$181*Inm_7607)</f>
      </c>
      <c r="B181" s="9">
        <v>7607</v>
      </c>
      <c r="C181" s="10" t="s">
        <v>741</v>
      </c>
      <c r="D181" s="10" t="s">
        <v>169</v>
      </c>
      <c r="E181" s="6" t="s">
        <v>731</v>
      </c>
      <c r="F181" s="6" t="s">
        <v>668</v>
      </c>
      <c r="G181" s="6" t="s">
        <v>740</v>
      </c>
      <c r="H181" s="6" t="s">
        <v>670</v>
      </c>
      <c r="I181" s="6" t="s">
        <v>670</v>
      </c>
      <c r="J181" s="6" t="s">
        <v>670</v>
      </c>
      <c r="K181" s="6" t="s">
        <v>689</v>
      </c>
      <c r="L181" s="6" t="s">
        <v>742</v>
      </c>
      <c r="M181" s="6" t="s">
        <v>673</v>
      </c>
      <c r="N181" s="6" t="s">
        <v>680</v>
      </c>
      <c r="O181" s="6" t="s">
        <v>668</v>
      </c>
      <c r="P181" s="7" t="e">
        <f>VLOOKUP(B181,Import!A$1:B$20000,2,FALSE)</f>
        <v>#N/A</v>
      </c>
      <c r="Q181" s="8" t="s">
        <v>675</v>
      </c>
      <c r="R181" s="11" t="e">
        <f>VLOOKUP(S181,Import!A$1:B$20000,2,FALSE)</f>
        <v>#N/A</v>
      </c>
      <c r="S181" s="12" t="str">
        <f t="shared" si="5"/>
        <v>31A_A_B171_X_X_X_1E_N12_V_M_A</v>
      </c>
      <c r="T181" s="6">
        <v>1000</v>
      </c>
    </row>
    <row r="182" spans="1:20" ht="12">
      <c r="A182" s="9">
        <f>IF(ISBLANK(Inm_7605),"",$T$182*Inm_7605)</f>
      </c>
      <c r="B182" s="9">
        <v>7605</v>
      </c>
      <c r="C182" s="10" t="s">
        <v>741</v>
      </c>
      <c r="D182" s="10" t="s">
        <v>167</v>
      </c>
      <c r="E182" s="6">
        <v>322</v>
      </c>
      <c r="F182" s="6" t="s">
        <v>668</v>
      </c>
      <c r="G182" s="6" t="s">
        <v>740</v>
      </c>
      <c r="H182" s="6" t="s">
        <v>670</v>
      </c>
      <c r="I182" s="6" t="s">
        <v>670</v>
      </c>
      <c r="J182" s="6" t="s">
        <v>670</v>
      </c>
      <c r="K182" s="6" t="s">
        <v>689</v>
      </c>
      <c r="L182" s="6" t="s">
        <v>742</v>
      </c>
      <c r="M182" s="6" t="s">
        <v>673</v>
      </c>
      <c r="N182" s="6" t="s">
        <v>680</v>
      </c>
      <c r="O182" s="6" t="s">
        <v>668</v>
      </c>
      <c r="P182" s="7" t="e">
        <f>VLOOKUP(B182,Import!A$1:B$20000,2,FALSE)</f>
        <v>#N/A</v>
      </c>
      <c r="Q182" s="8" t="s">
        <v>675</v>
      </c>
      <c r="R182" s="11" t="e">
        <f>VLOOKUP(S182,Import!A$1:B$20000,2,FALSE)</f>
        <v>#N/A</v>
      </c>
      <c r="S182" s="12" t="str">
        <f t="shared" si="5"/>
        <v>322_A_B171_X_X_X_1E_N12_V_M_A</v>
      </c>
      <c r="T182" s="6">
        <v>1000</v>
      </c>
    </row>
    <row r="183" spans="1:20" ht="12">
      <c r="A183" s="9">
        <f>IF(ISBLANK(Inm_7606),"",$T$183*Inm_7606)</f>
      </c>
      <c r="B183" s="9">
        <v>7606</v>
      </c>
      <c r="C183" s="10" t="s">
        <v>741</v>
      </c>
      <c r="D183" s="10" t="s">
        <v>168</v>
      </c>
      <c r="E183" s="6" t="s">
        <v>732</v>
      </c>
      <c r="F183" s="6" t="s">
        <v>668</v>
      </c>
      <c r="G183" s="6" t="s">
        <v>740</v>
      </c>
      <c r="H183" s="6" t="s">
        <v>670</v>
      </c>
      <c r="I183" s="6" t="s">
        <v>670</v>
      </c>
      <c r="J183" s="6" t="s">
        <v>670</v>
      </c>
      <c r="K183" s="6" t="s">
        <v>689</v>
      </c>
      <c r="L183" s="6" t="s">
        <v>742</v>
      </c>
      <c r="M183" s="6" t="s">
        <v>673</v>
      </c>
      <c r="N183" s="6" t="s">
        <v>680</v>
      </c>
      <c r="O183" s="6" t="s">
        <v>668</v>
      </c>
      <c r="P183" s="7" t="e">
        <f>VLOOKUP(B183,Import!A$1:B$20000,2,FALSE)</f>
        <v>#N/A</v>
      </c>
      <c r="Q183" s="8" t="s">
        <v>675</v>
      </c>
      <c r="R183" s="11" t="e">
        <f>VLOOKUP(S183,Import!A$1:B$20000,2,FALSE)</f>
        <v>#N/A</v>
      </c>
      <c r="S183" s="12" t="str">
        <f t="shared" si="5"/>
        <v>31B_A_B171_X_X_X_1E_N12_V_M_A</v>
      </c>
      <c r="T183" s="6">
        <v>1000</v>
      </c>
    </row>
    <row r="184" spans="1:20" ht="12">
      <c r="A184" s="9">
        <f>IF(ISBLANK(Inm_7613),"",$T$184*Inm_7613)</f>
      </c>
      <c r="B184" s="9">
        <v>7613</v>
      </c>
      <c r="C184" s="10" t="s">
        <v>743</v>
      </c>
      <c r="D184" s="10" t="s">
        <v>175</v>
      </c>
      <c r="E184" s="6" t="s">
        <v>731</v>
      </c>
      <c r="F184" s="6" t="s">
        <v>668</v>
      </c>
      <c r="G184" s="6" t="s">
        <v>744</v>
      </c>
      <c r="H184" s="6" t="s">
        <v>670</v>
      </c>
      <c r="I184" s="6" t="s">
        <v>670</v>
      </c>
      <c r="J184" s="6" t="s">
        <v>670</v>
      </c>
      <c r="K184" s="6" t="s">
        <v>689</v>
      </c>
      <c r="L184" s="6" t="s">
        <v>672</v>
      </c>
      <c r="M184" s="6" t="s">
        <v>673</v>
      </c>
      <c r="N184" s="6" t="s">
        <v>674</v>
      </c>
      <c r="O184" s="6" t="s">
        <v>668</v>
      </c>
      <c r="P184" s="7" t="e">
        <f>VLOOKUP(B184,Import!A$1:B$20000,2,FALSE)</f>
        <v>#N/A</v>
      </c>
      <c r="Q184" s="8" t="s">
        <v>675</v>
      </c>
      <c r="R184" s="11" t="e">
        <f>VLOOKUP(S184,Import!A$1:B$20000,2,FALSE)</f>
        <v>#N/A</v>
      </c>
      <c r="S184" s="12" t="str">
        <f aca="true" t="shared" si="6" ref="S184:S195">CONCATENATE(E184,"_",F184,"_",G184,"_",H184,"_",I184,"_",J184,"_",K184,"_",L184,"_",M184,"_",N184,"_",O184)</f>
        <v>31A_A_B172_X_X_X_1E_N_V_B_A</v>
      </c>
      <c r="T184" s="6">
        <v>1000</v>
      </c>
    </row>
    <row r="185" spans="1:20" ht="12">
      <c r="A185" s="9">
        <f>IF(ISBLANK(Inm_7609),"",$T$185*Inm_7609)</f>
      </c>
      <c r="B185" s="9">
        <v>7609</v>
      </c>
      <c r="C185" s="10" t="s">
        <v>743</v>
      </c>
      <c r="D185" s="10" t="s">
        <v>171</v>
      </c>
      <c r="E185" s="6">
        <v>322</v>
      </c>
      <c r="F185" s="6" t="s">
        <v>668</v>
      </c>
      <c r="G185" s="6" t="s">
        <v>744</v>
      </c>
      <c r="H185" s="6" t="s">
        <v>670</v>
      </c>
      <c r="I185" s="6" t="s">
        <v>670</v>
      </c>
      <c r="J185" s="6" t="s">
        <v>670</v>
      </c>
      <c r="K185" s="6" t="s">
        <v>689</v>
      </c>
      <c r="L185" s="6" t="s">
        <v>672</v>
      </c>
      <c r="M185" s="6" t="s">
        <v>673</v>
      </c>
      <c r="N185" s="6" t="s">
        <v>674</v>
      </c>
      <c r="O185" s="6" t="s">
        <v>668</v>
      </c>
      <c r="P185" s="7" t="e">
        <f>VLOOKUP(B185,Import!A$1:B$20000,2,FALSE)</f>
        <v>#N/A</v>
      </c>
      <c r="Q185" s="8" t="s">
        <v>675</v>
      </c>
      <c r="R185" s="11" t="e">
        <f>VLOOKUP(S185,Import!A$1:B$20000,2,FALSE)</f>
        <v>#N/A</v>
      </c>
      <c r="S185" s="12" t="str">
        <f t="shared" si="6"/>
        <v>322_A_B172_X_X_X_1E_N_V_B_A</v>
      </c>
      <c r="T185" s="6">
        <v>1000</v>
      </c>
    </row>
    <row r="186" spans="1:20" ht="12">
      <c r="A186" s="9">
        <f>IF(ISBLANK(Inm_7611),"",$T$186*Inm_7611)</f>
      </c>
      <c r="B186" s="9">
        <v>7611</v>
      </c>
      <c r="C186" s="10" t="s">
        <v>743</v>
      </c>
      <c r="D186" s="10" t="s">
        <v>173</v>
      </c>
      <c r="E186" s="6" t="s">
        <v>732</v>
      </c>
      <c r="F186" s="6" t="s">
        <v>668</v>
      </c>
      <c r="G186" s="6" t="s">
        <v>744</v>
      </c>
      <c r="H186" s="6" t="s">
        <v>670</v>
      </c>
      <c r="I186" s="6" t="s">
        <v>670</v>
      </c>
      <c r="J186" s="6" t="s">
        <v>670</v>
      </c>
      <c r="K186" s="6" t="s">
        <v>689</v>
      </c>
      <c r="L186" s="6" t="s">
        <v>672</v>
      </c>
      <c r="M186" s="6" t="s">
        <v>673</v>
      </c>
      <c r="N186" s="6" t="s">
        <v>674</v>
      </c>
      <c r="O186" s="6" t="s">
        <v>668</v>
      </c>
      <c r="P186" s="7" t="e">
        <f>VLOOKUP(B186,Import!A$1:B$20000,2,FALSE)</f>
        <v>#N/A</v>
      </c>
      <c r="Q186" s="8" t="s">
        <v>675</v>
      </c>
      <c r="R186" s="11" t="e">
        <f>VLOOKUP(S186,Import!A$1:B$20000,2,FALSE)</f>
        <v>#N/A</v>
      </c>
      <c r="S186" s="12" t="str">
        <f t="shared" si="6"/>
        <v>31B_A_B172_X_X_X_1E_N_V_B_A</v>
      </c>
      <c r="T186" s="6">
        <v>1000</v>
      </c>
    </row>
    <row r="187" spans="1:20" ht="12">
      <c r="A187" s="9">
        <f>IF(ISBLANK(Inm_7612),"",$T$187*Inm_7612)</f>
      </c>
      <c r="B187" s="9">
        <v>7612</v>
      </c>
      <c r="C187" s="10" t="s">
        <v>745</v>
      </c>
      <c r="D187" s="10" t="s">
        <v>174</v>
      </c>
      <c r="E187" s="6" t="s">
        <v>731</v>
      </c>
      <c r="F187" s="6" t="s">
        <v>668</v>
      </c>
      <c r="G187" s="6" t="s">
        <v>744</v>
      </c>
      <c r="H187" s="6" t="s">
        <v>670</v>
      </c>
      <c r="I187" s="6" t="s">
        <v>670</v>
      </c>
      <c r="J187" s="6" t="s">
        <v>670</v>
      </c>
      <c r="K187" s="6" t="s">
        <v>689</v>
      </c>
      <c r="L187" s="6" t="s">
        <v>742</v>
      </c>
      <c r="M187" s="6" t="s">
        <v>673</v>
      </c>
      <c r="N187" s="6" t="s">
        <v>674</v>
      </c>
      <c r="O187" s="6" t="s">
        <v>668</v>
      </c>
      <c r="P187" s="7" t="e">
        <f>VLOOKUP(B187,Import!A$1:B$20000,2,FALSE)</f>
        <v>#N/A</v>
      </c>
      <c r="Q187" s="8" t="s">
        <v>675</v>
      </c>
      <c r="R187" s="11" t="e">
        <f>VLOOKUP(S187,Import!A$1:B$20000,2,FALSE)</f>
        <v>#N/A</v>
      </c>
      <c r="S187" s="12" t="str">
        <f t="shared" si="6"/>
        <v>31A_A_B172_X_X_X_1E_N12_V_B_A</v>
      </c>
      <c r="T187" s="6">
        <v>1000</v>
      </c>
    </row>
    <row r="188" spans="1:20" ht="12">
      <c r="A188" s="9">
        <f>IF(ISBLANK(Inm_7608),"",$T$188*Inm_7608)</f>
      </c>
      <c r="B188" s="9">
        <v>7608</v>
      </c>
      <c r="C188" s="10" t="s">
        <v>745</v>
      </c>
      <c r="D188" s="10" t="s">
        <v>170</v>
      </c>
      <c r="E188" s="6">
        <v>322</v>
      </c>
      <c r="F188" s="6" t="s">
        <v>668</v>
      </c>
      <c r="G188" s="6" t="s">
        <v>744</v>
      </c>
      <c r="H188" s="6" t="s">
        <v>670</v>
      </c>
      <c r="I188" s="6" t="s">
        <v>670</v>
      </c>
      <c r="J188" s="6" t="s">
        <v>670</v>
      </c>
      <c r="K188" s="6" t="s">
        <v>689</v>
      </c>
      <c r="L188" s="6" t="s">
        <v>742</v>
      </c>
      <c r="M188" s="6" t="s">
        <v>673</v>
      </c>
      <c r="N188" s="6" t="s">
        <v>674</v>
      </c>
      <c r="O188" s="6" t="s">
        <v>668</v>
      </c>
      <c r="P188" s="7" t="e">
        <f>VLOOKUP(B188,Import!A$1:B$20000,2,FALSE)</f>
        <v>#N/A</v>
      </c>
      <c r="Q188" s="8" t="s">
        <v>675</v>
      </c>
      <c r="R188" s="11" t="e">
        <f>VLOOKUP(S188,Import!A$1:B$20000,2,FALSE)</f>
        <v>#N/A</v>
      </c>
      <c r="S188" s="12" t="str">
        <f t="shared" si="6"/>
        <v>322_A_B172_X_X_X_1E_N12_V_B_A</v>
      </c>
      <c r="T188" s="6">
        <v>1000</v>
      </c>
    </row>
    <row r="189" spans="1:20" ht="12">
      <c r="A189" s="9">
        <f>IF(ISBLANK(Inm_7610),"",$T$189*Inm_7610)</f>
      </c>
      <c r="B189" s="9">
        <v>7610</v>
      </c>
      <c r="C189" s="10" t="s">
        <v>745</v>
      </c>
      <c r="D189" s="10" t="s">
        <v>172</v>
      </c>
      <c r="E189" s="6" t="s">
        <v>732</v>
      </c>
      <c r="F189" s="6" t="s">
        <v>668</v>
      </c>
      <c r="G189" s="6" t="s">
        <v>744</v>
      </c>
      <c r="H189" s="6" t="s">
        <v>670</v>
      </c>
      <c r="I189" s="6" t="s">
        <v>670</v>
      </c>
      <c r="J189" s="6" t="s">
        <v>670</v>
      </c>
      <c r="K189" s="6" t="s">
        <v>689</v>
      </c>
      <c r="L189" s="6" t="s">
        <v>742</v>
      </c>
      <c r="M189" s="6" t="s">
        <v>673</v>
      </c>
      <c r="N189" s="6" t="s">
        <v>674</v>
      </c>
      <c r="O189" s="6" t="s">
        <v>668</v>
      </c>
      <c r="P189" s="7" t="e">
        <f>VLOOKUP(B189,Import!A$1:B$20000,2,FALSE)</f>
        <v>#N/A</v>
      </c>
      <c r="Q189" s="8" t="s">
        <v>675</v>
      </c>
      <c r="R189" s="11" t="e">
        <f>VLOOKUP(S189,Import!A$1:B$20000,2,FALSE)</f>
        <v>#N/A</v>
      </c>
      <c r="S189" s="12" t="str">
        <f t="shared" si="6"/>
        <v>31B_A_B172_X_X_X_1E_N12_V_B_A</v>
      </c>
      <c r="T189" s="6">
        <v>1000</v>
      </c>
    </row>
    <row r="190" spans="1:20" ht="12">
      <c r="A190" s="9">
        <f>IF(ISBLANK(Inm_7517),"",$T$190*Inm_7517)</f>
      </c>
      <c r="B190" s="9">
        <v>7517</v>
      </c>
      <c r="C190" s="10" t="s">
        <v>733</v>
      </c>
      <c r="D190" s="10" t="s">
        <v>79</v>
      </c>
      <c r="E190" s="6" t="s">
        <v>731</v>
      </c>
      <c r="F190" s="6" t="s">
        <v>668</v>
      </c>
      <c r="G190" s="6" t="s">
        <v>740</v>
      </c>
      <c r="H190" s="6" t="s">
        <v>670</v>
      </c>
      <c r="I190" s="6" t="s">
        <v>670</v>
      </c>
      <c r="J190" s="6" t="s">
        <v>670</v>
      </c>
      <c r="K190" s="6" t="s">
        <v>671</v>
      </c>
      <c r="L190" s="6" t="s">
        <v>672</v>
      </c>
      <c r="M190" s="6" t="s">
        <v>673</v>
      </c>
      <c r="N190" s="6" t="s">
        <v>680</v>
      </c>
      <c r="O190" s="6" t="s">
        <v>668</v>
      </c>
      <c r="P190" s="7" t="e">
        <f>VLOOKUP(B190,Import!A$1:B$20000,2,FALSE)</f>
        <v>#N/A</v>
      </c>
      <c r="Q190" s="8" t="s">
        <v>675</v>
      </c>
      <c r="R190" s="11" t="e">
        <f>VLOOKUP(S190,Import!A$1:B$20000,2,FALSE)</f>
        <v>#N/A</v>
      </c>
      <c r="S190" s="12" t="str">
        <f t="shared" si="6"/>
        <v>31A_A_B171_X_X_X_3P_N_V_M_A</v>
      </c>
      <c r="T190" s="6">
        <v>1000</v>
      </c>
    </row>
    <row r="191" spans="1:20" ht="12">
      <c r="A191" s="9">
        <f>IF(ISBLANK(Inm_7515),"",$T$191*Inm_7515)</f>
      </c>
      <c r="B191" s="9">
        <v>7515</v>
      </c>
      <c r="C191" s="10" t="s">
        <v>733</v>
      </c>
      <c r="D191" s="10" t="s">
        <v>77</v>
      </c>
      <c r="E191" s="6">
        <v>322</v>
      </c>
      <c r="F191" s="6" t="s">
        <v>668</v>
      </c>
      <c r="G191" s="6" t="s">
        <v>740</v>
      </c>
      <c r="H191" s="6" t="s">
        <v>670</v>
      </c>
      <c r="I191" s="6" t="s">
        <v>670</v>
      </c>
      <c r="J191" s="6" t="s">
        <v>670</v>
      </c>
      <c r="K191" s="6" t="s">
        <v>671</v>
      </c>
      <c r="L191" s="6" t="s">
        <v>672</v>
      </c>
      <c r="M191" s="6" t="s">
        <v>673</v>
      </c>
      <c r="N191" s="6" t="s">
        <v>680</v>
      </c>
      <c r="O191" s="6" t="s">
        <v>668</v>
      </c>
      <c r="P191" s="7" t="e">
        <f>VLOOKUP(B191,Import!A$1:B$20000,2,FALSE)</f>
        <v>#N/A</v>
      </c>
      <c r="Q191" s="8" t="s">
        <v>675</v>
      </c>
      <c r="R191" s="11" t="e">
        <f>VLOOKUP(S191,Import!A$1:B$20000,2,FALSE)</f>
        <v>#N/A</v>
      </c>
      <c r="S191" s="12" t="str">
        <f t="shared" si="6"/>
        <v>322_A_B171_X_X_X_3P_N_V_M_A</v>
      </c>
      <c r="T191" s="6">
        <v>1000</v>
      </c>
    </row>
    <row r="192" spans="1:20" ht="12">
      <c r="A192" s="9">
        <f>IF(ISBLANK(Inm_7516),"",$T$192*Inm_7516)</f>
      </c>
      <c r="B192" s="9">
        <v>7516</v>
      </c>
      <c r="C192" s="10" t="s">
        <v>733</v>
      </c>
      <c r="D192" s="10" t="s">
        <v>78</v>
      </c>
      <c r="E192" s="6" t="s">
        <v>732</v>
      </c>
      <c r="F192" s="6" t="s">
        <v>668</v>
      </c>
      <c r="G192" s="6" t="s">
        <v>740</v>
      </c>
      <c r="H192" s="6" t="s">
        <v>670</v>
      </c>
      <c r="I192" s="6" t="s">
        <v>670</v>
      </c>
      <c r="J192" s="6" t="s">
        <v>670</v>
      </c>
      <c r="K192" s="6" t="s">
        <v>671</v>
      </c>
      <c r="L192" s="6" t="s">
        <v>672</v>
      </c>
      <c r="M192" s="6" t="s">
        <v>673</v>
      </c>
      <c r="N192" s="6" t="s">
        <v>680</v>
      </c>
      <c r="O192" s="6" t="s">
        <v>668</v>
      </c>
      <c r="P192" s="7" t="e">
        <f>VLOOKUP(B192,Import!A$1:B$20000,2,FALSE)</f>
        <v>#N/A</v>
      </c>
      <c r="Q192" s="8" t="s">
        <v>675</v>
      </c>
      <c r="R192" s="11" t="e">
        <f>VLOOKUP(S192,Import!A$1:B$20000,2,FALSE)</f>
        <v>#N/A</v>
      </c>
      <c r="S192" s="12" t="str">
        <f t="shared" si="6"/>
        <v>31B_A_B171_X_X_X_3P_N_V_M_A</v>
      </c>
      <c r="T192" s="6">
        <v>1000</v>
      </c>
    </row>
    <row r="193" spans="1:20" ht="12">
      <c r="A193" s="9">
        <f>IF(ISBLANK(Inm_7514),"",$T$193*Inm_7514)</f>
      </c>
      <c r="B193" s="9">
        <v>7514</v>
      </c>
      <c r="C193" s="10" t="s">
        <v>743</v>
      </c>
      <c r="D193" s="10" t="s">
        <v>76</v>
      </c>
      <c r="E193" s="6" t="s">
        <v>731</v>
      </c>
      <c r="F193" s="6" t="s">
        <v>668</v>
      </c>
      <c r="G193" s="6" t="s">
        <v>744</v>
      </c>
      <c r="H193" s="6" t="s">
        <v>670</v>
      </c>
      <c r="I193" s="6" t="s">
        <v>670</v>
      </c>
      <c r="J193" s="6" t="s">
        <v>670</v>
      </c>
      <c r="K193" s="6" t="s">
        <v>671</v>
      </c>
      <c r="L193" s="6" t="s">
        <v>672</v>
      </c>
      <c r="M193" s="6" t="s">
        <v>673</v>
      </c>
      <c r="N193" s="6" t="s">
        <v>674</v>
      </c>
      <c r="O193" s="6" t="s">
        <v>668</v>
      </c>
      <c r="P193" s="7" t="e">
        <f>VLOOKUP(B193,Import!A$1:B$20000,2,FALSE)</f>
        <v>#N/A</v>
      </c>
      <c r="Q193" s="8" t="s">
        <v>675</v>
      </c>
      <c r="R193" s="11" t="e">
        <f>VLOOKUP(S193,Import!A$1:B$20000,2,FALSE)</f>
        <v>#N/A</v>
      </c>
      <c r="S193" s="12" t="str">
        <f t="shared" si="6"/>
        <v>31A_A_B172_X_X_X_3P_N_V_B_A</v>
      </c>
      <c r="T193" s="6">
        <v>1000</v>
      </c>
    </row>
    <row r="194" spans="1:20" ht="12">
      <c r="A194" s="9">
        <f>IF(ISBLANK(Inm_7512),"",$T$194*Inm_7512)</f>
      </c>
      <c r="B194" s="9">
        <v>7512</v>
      </c>
      <c r="C194" s="10" t="s">
        <v>743</v>
      </c>
      <c r="D194" s="10" t="s">
        <v>74</v>
      </c>
      <c r="E194" s="6">
        <v>322</v>
      </c>
      <c r="F194" s="6" t="s">
        <v>668</v>
      </c>
      <c r="G194" s="6" t="s">
        <v>744</v>
      </c>
      <c r="H194" s="6" t="s">
        <v>670</v>
      </c>
      <c r="I194" s="6" t="s">
        <v>670</v>
      </c>
      <c r="J194" s="6" t="s">
        <v>670</v>
      </c>
      <c r="K194" s="6" t="s">
        <v>671</v>
      </c>
      <c r="L194" s="6" t="s">
        <v>672</v>
      </c>
      <c r="M194" s="6" t="s">
        <v>673</v>
      </c>
      <c r="N194" s="6" t="s">
        <v>674</v>
      </c>
      <c r="O194" s="6" t="s">
        <v>668</v>
      </c>
      <c r="P194" s="7" t="e">
        <f>VLOOKUP(B194,Import!A$1:B$20000,2,FALSE)</f>
        <v>#N/A</v>
      </c>
      <c r="Q194" s="8" t="s">
        <v>675</v>
      </c>
      <c r="R194" s="11" t="e">
        <f>VLOOKUP(S194,Import!A$1:B$20000,2,FALSE)</f>
        <v>#N/A</v>
      </c>
      <c r="S194" s="12" t="str">
        <f t="shared" si="6"/>
        <v>322_A_B172_X_X_X_3P_N_V_B_A</v>
      </c>
      <c r="T194" s="6">
        <v>1000</v>
      </c>
    </row>
    <row r="195" spans="1:20" ht="12">
      <c r="A195" s="9">
        <f>IF(ISBLANK(Inm_7513),"",$T$195*Inm_7513)</f>
      </c>
      <c r="B195" s="9">
        <v>7513</v>
      </c>
      <c r="C195" s="10" t="s">
        <v>743</v>
      </c>
      <c r="D195" s="10" t="s">
        <v>75</v>
      </c>
      <c r="E195" s="6" t="s">
        <v>732</v>
      </c>
      <c r="F195" s="6" t="s">
        <v>668</v>
      </c>
      <c r="G195" s="6" t="s">
        <v>744</v>
      </c>
      <c r="H195" s="6" t="s">
        <v>670</v>
      </c>
      <c r="I195" s="6" t="s">
        <v>670</v>
      </c>
      <c r="J195" s="6" t="s">
        <v>670</v>
      </c>
      <c r="K195" s="6" t="s">
        <v>671</v>
      </c>
      <c r="L195" s="6" t="s">
        <v>672</v>
      </c>
      <c r="M195" s="6" t="s">
        <v>673</v>
      </c>
      <c r="N195" s="6" t="s">
        <v>674</v>
      </c>
      <c r="O195" s="6" t="s">
        <v>668</v>
      </c>
      <c r="P195" s="7" t="e">
        <f>VLOOKUP(B195,Import!A$1:B$20000,2,FALSE)</f>
        <v>#N/A</v>
      </c>
      <c r="Q195" s="8" t="s">
        <v>675</v>
      </c>
      <c r="R195" s="11" t="e">
        <f>VLOOKUP(S195,Import!A$1:B$20000,2,FALSE)</f>
        <v>#N/A</v>
      </c>
      <c r="S195" s="12" t="str">
        <f t="shared" si="6"/>
        <v>31B_A_B172_X_X_X_3P_N_V_B_A</v>
      </c>
      <c r="T195" s="6">
        <v>1000</v>
      </c>
    </row>
    <row r="196" spans="1:20" ht="12">
      <c r="A196" s="9">
        <f>IF(ISBLANK(Inm_7614),"",$T$196*Inm_7614)</f>
      </c>
      <c r="B196" s="9">
        <v>7614</v>
      </c>
      <c r="C196" s="10" t="s">
        <v>754</v>
      </c>
      <c r="D196" s="10" t="s">
        <v>176</v>
      </c>
      <c r="E196" s="6">
        <v>3221</v>
      </c>
      <c r="F196" s="6" t="s">
        <v>716</v>
      </c>
      <c r="G196" s="6" t="s">
        <v>730</v>
      </c>
      <c r="H196" s="6" t="s">
        <v>670</v>
      </c>
      <c r="I196" s="6" t="s">
        <v>670</v>
      </c>
      <c r="J196" s="6" t="s">
        <v>670</v>
      </c>
      <c r="K196" s="6" t="s">
        <v>677</v>
      </c>
      <c r="L196" s="6" t="s">
        <v>672</v>
      </c>
      <c r="M196" s="6" t="s">
        <v>673</v>
      </c>
      <c r="N196" s="6" t="s">
        <v>670</v>
      </c>
      <c r="O196" s="6">
        <v>1</v>
      </c>
      <c r="P196" s="7" t="e">
        <f>VLOOKUP(B196,Import!A$1:B$20000,2,FALSE)</f>
        <v>#N/A</v>
      </c>
      <c r="Q196" s="8" t="s">
        <v>675</v>
      </c>
      <c r="R196" s="11" t="e">
        <f>VLOOKUP(S196,Import!A$1:B$20000,2,FALSE)</f>
        <v>#N/A</v>
      </c>
      <c r="S196" s="12" t="str">
        <f aca="true" t="shared" si="7" ref="S196:S208">CONCATENATE(E196,"_",F196,"_",G196,"_",H196,"_",I196,"_",J196,"_",K196,"_",L196,"_",M196,"_",N196,"_",O196)</f>
        <v>3221_L_B26_X_X_X_5J_N_V_X_1</v>
      </c>
      <c r="T196" s="6">
        <v>1</v>
      </c>
    </row>
    <row r="197" spans="1:20" ht="12">
      <c r="A197" s="9">
        <f>IF(ISBLANK(Inm_20084),"",$T$197*Inm_20084)</f>
      </c>
      <c r="B197" s="9">
        <v>20084</v>
      </c>
      <c r="C197" s="10" t="s">
        <v>1021</v>
      </c>
      <c r="D197" s="254" t="s">
        <v>1022</v>
      </c>
      <c r="E197" s="6">
        <v>2</v>
      </c>
      <c r="F197" s="6" t="s">
        <v>668</v>
      </c>
      <c r="G197" s="6" t="s">
        <v>714</v>
      </c>
      <c r="H197" s="6" t="s">
        <v>670</v>
      </c>
      <c r="I197" s="6" t="s">
        <v>670</v>
      </c>
      <c r="J197" s="6" t="s">
        <v>670</v>
      </c>
      <c r="K197" s="6" t="s">
        <v>677</v>
      </c>
      <c r="L197" s="6" t="s">
        <v>715</v>
      </c>
      <c r="M197" s="6" t="s">
        <v>673</v>
      </c>
      <c r="N197" s="6" t="s">
        <v>672</v>
      </c>
      <c r="O197" s="6" t="s">
        <v>668</v>
      </c>
      <c r="P197" s="7" t="e">
        <f>VLOOKUP(B197,Import!A$1:B$20000,2,FALSE)</f>
        <v>#N/A</v>
      </c>
      <c r="Q197" s="8" t="s">
        <v>1023</v>
      </c>
      <c r="R197" s="11" t="e">
        <f>VLOOKUP(S197,Import!A$1:B$20000,2,FALSE)</f>
        <v>#N/A</v>
      </c>
      <c r="S197" s="12" t="str">
        <f t="shared" si="7"/>
        <v>2_A_B16_X_X_X_5J_N1A_V_N_A</v>
      </c>
      <c r="T197" s="6">
        <v>1000</v>
      </c>
    </row>
    <row r="198" spans="1:20" ht="12">
      <c r="A198" s="9">
        <f>IF(ISBLANK(Inm_20081),"",$T$198*Inm_20081)</f>
      </c>
      <c r="B198" s="9">
        <v>20081</v>
      </c>
      <c r="C198" s="10" t="s">
        <v>1021</v>
      </c>
      <c r="D198" s="254" t="s">
        <v>1024</v>
      </c>
      <c r="E198" s="6">
        <v>5</v>
      </c>
      <c r="F198" s="6" t="s">
        <v>668</v>
      </c>
      <c r="G198" s="6" t="s">
        <v>714</v>
      </c>
      <c r="H198" s="6" t="s">
        <v>670</v>
      </c>
      <c r="I198" s="6" t="s">
        <v>670</v>
      </c>
      <c r="J198" s="6" t="s">
        <v>670</v>
      </c>
      <c r="K198" s="6" t="s">
        <v>677</v>
      </c>
      <c r="L198" s="6" t="s">
        <v>715</v>
      </c>
      <c r="M198" s="6" t="s">
        <v>673</v>
      </c>
      <c r="N198" s="6" t="s">
        <v>672</v>
      </c>
      <c r="O198" s="6" t="s">
        <v>668</v>
      </c>
      <c r="P198" s="7" t="e">
        <f>VLOOKUP(B198,Import!A$1:B$20000,2,FALSE)</f>
        <v>#N/A</v>
      </c>
      <c r="Q198" s="8" t="s">
        <v>1023</v>
      </c>
      <c r="R198" s="11" t="e">
        <f>VLOOKUP(S198,Import!A$1:B$20000,2,FALSE)</f>
        <v>#N/A</v>
      </c>
      <c r="S198" s="12" t="str">
        <f t="shared" si="7"/>
        <v>5_A_B16_X_X_X_5J_N1A_V_N_A</v>
      </c>
      <c r="T198" s="6">
        <v>1000</v>
      </c>
    </row>
    <row r="199" spans="1:20" ht="12">
      <c r="A199" s="9">
        <f>IF(ISBLANK(Inm_20078),"",$T$199*Inm_20078)</f>
      </c>
      <c r="B199" s="9">
        <v>20078</v>
      </c>
      <c r="C199" s="10" t="s">
        <v>1021</v>
      </c>
      <c r="D199" s="254" t="s">
        <v>1025</v>
      </c>
      <c r="E199" s="6">
        <v>4</v>
      </c>
      <c r="F199" s="6" t="s">
        <v>668</v>
      </c>
      <c r="G199" s="6" t="s">
        <v>714</v>
      </c>
      <c r="H199" s="6" t="s">
        <v>670</v>
      </c>
      <c r="I199" s="6" t="s">
        <v>670</v>
      </c>
      <c r="J199" s="6" t="s">
        <v>670</v>
      </c>
      <c r="K199" s="6" t="s">
        <v>677</v>
      </c>
      <c r="L199" s="6" t="s">
        <v>715</v>
      </c>
      <c r="M199" s="6" t="s">
        <v>673</v>
      </c>
      <c r="N199" s="6" t="s">
        <v>672</v>
      </c>
      <c r="O199" s="6" t="s">
        <v>668</v>
      </c>
      <c r="P199" s="7" t="e">
        <f>VLOOKUP(B199,Import!A$1:B$20000,2,FALSE)</f>
        <v>#N/A</v>
      </c>
      <c r="Q199" s="8" t="s">
        <v>1023</v>
      </c>
      <c r="R199" s="11" t="e">
        <f>VLOOKUP(S199,Import!A$1:B$20000,2,FALSE)</f>
        <v>#N/A</v>
      </c>
      <c r="S199" s="12" t="str">
        <f t="shared" si="7"/>
        <v>4_A_B16_X_X_X_5J_N1A_V_N_A</v>
      </c>
      <c r="T199" s="6">
        <v>1000</v>
      </c>
    </row>
    <row r="200" spans="1:20" ht="12">
      <c r="A200" s="9">
        <f>IF(ISBLANK(Inm_20075),"",$T$200*Inm_20075)</f>
      </c>
      <c r="B200" s="9">
        <v>20075</v>
      </c>
      <c r="C200" s="10" t="s">
        <v>1021</v>
      </c>
      <c r="D200" s="254" t="s">
        <v>1026</v>
      </c>
      <c r="E200" s="6">
        <v>3</v>
      </c>
      <c r="F200" s="6" t="s">
        <v>668</v>
      </c>
      <c r="G200" s="6" t="s">
        <v>714</v>
      </c>
      <c r="H200" s="6" t="s">
        <v>670</v>
      </c>
      <c r="I200" s="6" t="s">
        <v>670</v>
      </c>
      <c r="J200" s="6" t="s">
        <v>670</v>
      </c>
      <c r="K200" s="6" t="s">
        <v>677</v>
      </c>
      <c r="L200" s="6" t="s">
        <v>715</v>
      </c>
      <c r="M200" s="6" t="s">
        <v>673</v>
      </c>
      <c r="N200" s="6" t="s">
        <v>672</v>
      </c>
      <c r="O200" s="6" t="s">
        <v>668</v>
      </c>
      <c r="P200" s="7" t="e">
        <f>VLOOKUP(B200,Import!A$1:B$20000,2,FALSE)</f>
        <v>#N/A</v>
      </c>
      <c r="Q200" s="8" t="s">
        <v>1023</v>
      </c>
      <c r="R200" s="11" t="e">
        <f>VLOOKUP(S200,Import!A$1:B$20000,2,FALSE)</f>
        <v>#N/A</v>
      </c>
      <c r="S200" s="12" t="str">
        <f t="shared" si="7"/>
        <v>3_A_B16_X_X_X_5J_N1A_V_N_A</v>
      </c>
      <c r="T200" s="6">
        <v>1000</v>
      </c>
    </row>
    <row r="201" spans="1:20" ht="12">
      <c r="A201" s="9">
        <f>IF(ISBLANK(Inm_20085),"",$T$201*Inm_20085)</f>
      </c>
      <c r="B201" s="9">
        <v>20085</v>
      </c>
      <c r="C201" s="10" t="s">
        <v>1027</v>
      </c>
      <c r="D201" s="254" t="s">
        <v>1028</v>
      </c>
      <c r="E201" s="6">
        <v>2</v>
      </c>
      <c r="F201" s="6" t="s">
        <v>716</v>
      </c>
      <c r="G201" s="6" t="s">
        <v>1029</v>
      </c>
      <c r="H201" s="6" t="s">
        <v>670</v>
      </c>
      <c r="I201" s="6" t="s">
        <v>670</v>
      </c>
      <c r="J201" s="6" t="s">
        <v>670</v>
      </c>
      <c r="K201" s="6" t="s">
        <v>677</v>
      </c>
      <c r="L201" s="6" t="s">
        <v>672</v>
      </c>
      <c r="M201" s="6" t="s">
        <v>673</v>
      </c>
      <c r="N201" s="6" t="s">
        <v>680</v>
      </c>
      <c r="O201" s="6" t="s">
        <v>668</v>
      </c>
      <c r="P201" s="7" t="e">
        <f>VLOOKUP(B201,Import!A$1:B$20000,2,FALSE)</f>
        <v>#N/A</v>
      </c>
      <c r="Q201" s="8" t="s">
        <v>1023</v>
      </c>
      <c r="R201" s="11" t="e">
        <f>VLOOKUP(S201,Import!A$1:B$20000,2,FALSE)</f>
        <v>#N/A</v>
      </c>
      <c r="S201" s="12" t="str">
        <f t="shared" si="7"/>
        <v>2_L_B28_X_X_X_5J_N_V_M_A</v>
      </c>
      <c r="T201" s="6">
        <v>1000</v>
      </c>
    </row>
    <row r="202" spans="1:20" ht="12">
      <c r="A202" s="9">
        <f>IF(ISBLANK(Inm_20082),"",$T$202*Inm_20082)</f>
      </c>
      <c r="B202" s="9">
        <v>20082</v>
      </c>
      <c r="C202" s="10" t="s">
        <v>1027</v>
      </c>
      <c r="D202" s="254" t="s">
        <v>1030</v>
      </c>
      <c r="E202" s="6">
        <v>5</v>
      </c>
      <c r="F202" s="6" t="s">
        <v>716</v>
      </c>
      <c r="G202" s="6" t="s">
        <v>1029</v>
      </c>
      <c r="H202" s="6" t="s">
        <v>670</v>
      </c>
      <c r="I202" s="6" t="s">
        <v>670</v>
      </c>
      <c r="J202" s="6" t="s">
        <v>670</v>
      </c>
      <c r="K202" s="6" t="s">
        <v>677</v>
      </c>
      <c r="L202" s="6" t="s">
        <v>672</v>
      </c>
      <c r="M202" s="6" t="s">
        <v>673</v>
      </c>
      <c r="N202" s="6" t="s">
        <v>680</v>
      </c>
      <c r="O202" s="6" t="s">
        <v>668</v>
      </c>
      <c r="P202" s="7" t="e">
        <f>VLOOKUP(B202,Import!A$1:B$20000,2,FALSE)</f>
        <v>#N/A</v>
      </c>
      <c r="Q202" s="8" t="s">
        <v>1023</v>
      </c>
      <c r="R202" s="11" t="e">
        <f>VLOOKUP(S202,Import!A$1:B$20000,2,FALSE)</f>
        <v>#N/A</v>
      </c>
      <c r="S202" s="12" t="str">
        <f t="shared" si="7"/>
        <v>5_L_B28_X_X_X_5J_N_V_M_A</v>
      </c>
      <c r="T202" s="6">
        <v>1000</v>
      </c>
    </row>
    <row r="203" spans="1:20" ht="12">
      <c r="A203" s="9">
        <f>IF(ISBLANK(Inm_20079),"",$T$203*Inm_20079)</f>
      </c>
      <c r="B203" s="9">
        <v>20079</v>
      </c>
      <c r="C203" s="10" t="s">
        <v>1027</v>
      </c>
      <c r="D203" s="254" t="s">
        <v>1031</v>
      </c>
      <c r="E203" s="6">
        <v>4</v>
      </c>
      <c r="F203" s="6" t="s">
        <v>716</v>
      </c>
      <c r="G203" s="6" t="s">
        <v>1029</v>
      </c>
      <c r="H203" s="6" t="s">
        <v>670</v>
      </c>
      <c r="I203" s="6" t="s">
        <v>670</v>
      </c>
      <c r="J203" s="6" t="s">
        <v>670</v>
      </c>
      <c r="K203" s="6" t="s">
        <v>677</v>
      </c>
      <c r="L203" s="6" t="s">
        <v>672</v>
      </c>
      <c r="M203" s="6" t="s">
        <v>673</v>
      </c>
      <c r="N203" s="6" t="s">
        <v>680</v>
      </c>
      <c r="O203" s="6" t="s">
        <v>668</v>
      </c>
      <c r="P203" s="7" t="e">
        <f>VLOOKUP(B203,Import!A$1:B$20000,2,FALSE)</f>
        <v>#N/A</v>
      </c>
      <c r="Q203" s="8" t="s">
        <v>1023</v>
      </c>
      <c r="R203" s="11" t="e">
        <f>VLOOKUP(S203,Import!A$1:B$20000,2,FALSE)</f>
        <v>#N/A</v>
      </c>
      <c r="S203" s="12" t="str">
        <f t="shared" si="7"/>
        <v>4_L_B28_X_X_X_5J_N_V_M_A</v>
      </c>
      <c r="T203" s="6">
        <v>1000</v>
      </c>
    </row>
    <row r="204" spans="1:20" ht="12">
      <c r="A204" s="9">
        <f>IF(ISBLANK(Inm_20076),"",$T$204*Inm_20076)</f>
      </c>
      <c r="B204" s="9">
        <v>20076</v>
      </c>
      <c r="C204" s="10" t="s">
        <v>1027</v>
      </c>
      <c r="D204" s="254" t="s">
        <v>1032</v>
      </c>
      <c r="E204" s="6">
        <v>3</v>
      </c>
      <c r="F204" s="6" t="s">
        <v>716</v>
      </c>
      <c r="G204" s="6" t="s">
        <v>1029</v>
      </c>
      <c r="H204" s="6" t="s">
        <v>670</v>
      </c>
      <c r="I204" s="6" t="s">
        <v>670</v>
      </c>
      <c r="J204" s="6" t="s">
        <v>670</v>
      </c>
      <c r="K204" s="6" t="s">
        <v>677</v>
      </c>
      <c r="L204" s="6" t="s">
        <v>672</v>
      </c>
      <c r="M204" s="6" t="s">
        <v>673</v>
      </c>
      <c r="N204" s="6" t="s">
        <v>680</v>
      </c>
      <c r="O204" s="6" t="s">
        <v>668</v>
      </c>
      <c r="P204" s="7" t="e">
        <f>VLOOKUP(B204,Import!A$1:B$20000,2,FALSE)</f>
        <v>#N/A</v>
      </c>
      <c r="Q204" s="8" t="s">
        <v>1023</v>
      </c>
      <c r="R204" s="11" t="e">
        <f>VLOOKUP(S204,Import!A$1:B$20000,2,FALSE)</f>
        <v>#N/A</v>
      </c>
      <c r="S204" s="12" t="str">
        <f t="shared" si="7"/>
        <v>3_L_B28_X_X_X_5J_N_V_M_A</v>
      </c>
      <c r="T204" s="6">
        <v>1000</v>
      </c>
    </row>
    <row r="205" spans="1:20" ht="12">
      <c r="A205" s="9">
        <f>IF(ISBLANK(Inm_20083),"",$T$205*Inm_20083)</f>
      </c>
      <c r="B205" s="9">
        <v>20083</v>
      </c>
      <c r="C205" s="10" t="s">
        <v>727</v>
      </c>
      <c r="D205" s="254" t="s">
        <v>1033</v>
      </c>
      <c r="E205" s="6">
        <v>2</v>
      </c>
      <c r="F205" s="6" t="s">
        <v>716</v>
      </c>
      <c r="G205" s="6" t="s">
        <v>728</v>
      </c>
      <c r="H205" s="6" t="s">
        <v>670</v>
      </c>
      <c r="I205" s="6" t="s">
        <v>670</v>
      </c>
      <c r="J205" s="6" t="s">
        <v>670</v>
      </c>
      <c r="K205" s="6" t="s">
        <v>677</v>
      </c>
      <c r="L205" s="6" t="s">
        <v>715</v>
      </c>
      <c r="M205" s="6" t="s">
        <v>673</v>
      </c>
      <c r="N205" s="6" t="s">
        <v>672</v>
      </c>
      <c r="O205" s="6" t="s">
        <v>668</v>
      </c>
      <c r="P205" s="7" t="e">
        <f>VLOOKUP(B205,Import!A$1:B$20000,2,FALSE)</f>
        <v>#N/A</v>
      </c>
      <c r="Q205" s="8" t="s">
        <v>1023</v>
      </c>
      <c r="R205" s="11" t="e">
        <f>VLOOKUP(S205,Import!A$1:B$20000,2,FALSE)</f>
        <v>#N/A</v>
      </c>
      <c r="S205" s="12" t="str">
        <f t="shared" si="7"/>
        <v>2_L_B25_X_X_X_5J_N1A_V_N_A</v>
      </c>
      <c r="T205" s="6">
        <v>1000</v>
      </c>
    </row>
    <row r="206" spans="1:20" ht="12">
      <c r="A206" s="9">
        <f>IF(ISBLANK(Inm_20080),"",$T$206*Inm_20080)</f>
      </c>
      <c r="B206" s="9">
        <v>20080</v>
      </c>
      <c r="C206" s="10" t="s">
        <v>727</v>
      </c>
      <c r="D206" s="254" t="s">
        <v>1034</v>
      </c>
      <c r="E206" s="6">
        <v>5</v>
      </c>
      <c r="F206" s="6" t="s">
        <v>716</v>
      </c>
      <c r="G206" s="6" t="s">
        <v>728</v>
      </c>
      <c r="H206" s="6" t="s">
        <v>670</v>
      </c>
      <c r="I206" s="6" t="s">
        <v>670</v>
      </c>
      <c r="J206" s="6" t="s">
        <v>670</v>
      </c>
      <c r="K206" s="6" t="s">
        <v>677</v>
      </c>
      <c r="L206" s="6" t="s">
        <v>715</v>
      </c>
      <c r="M206" s="6" t="s">
        <v>673</v>
      </c>
      <c r="N206" s="6" t="s">
        <v>672</v>
      </c>
      <c r="O206" s="6" t="s">
        <v>668</v>
      </c>
      <c r="P206" s="7" t="e">
        <f>VLOOKUP(B206,Import!A$1:B$20000,2,FALSE)</f>
        <v>#N/A</v>
      </c>
      <c r="Q206" s="8" t="s">
        <v>1023</v>
      </c>
      <c r="R206" s="11" t="e">
        <f>VLOOKUP(S206,Import!A$1:B$20000,2,FALSE)</f>
        <v>#N/A</v>
      </c>
      <c r="S206" s="12" t="str">
        <f t="shared" si="7"/>
        <v>5_L_B25_X_X_X_5J_N1A_V_N_A</v>
      </c>
      <c r="T206" s="6">
        <v>1000</v>
      </c>
    </row>
    <row r="207" spans="1:20" ht="12">
      <c r="A207" s="9">
        <f>IF(ISBLANK(Inm_20077),"",$T$207*Inm_20077)</f>
      </c>
      <c r="B207" s="9">
        <v>20077</v>
      </c>
      <c r="C207" s="10" t="s">
        <v>727</v>
      </c>
      <c r="D207" s="254" t="s">
        <v>1035</v>
      </c>
      <c r="E207" s="6">
        <v>4</v>
      </c>
      <c r="F207" s="6" t="s">
        <v>716</v>
      </c>
      <c r="G207" s="6" t="s">
        <v>728</v>
      </c>
      <c r="H207" s="6" t="s">
        <v>670</v>
      </c>
      <c r="I207" s="6" t="s">
        <v>670</v>
      </c>
      <c r="J207" s="6" t="s">
        <v>670</v>
      </c>
      <c r="K207" s="6" t="s">
        <v>677</v>
      </c>
      <c r="L207" s="6" t="s">
        <v>715</v>
      </c>
      <c r="M207" s="6" t="s">
        <v>673</v>
      </c>
      <c r="N207" s="6" t="s">
        <v>672</v>
      </c>
      <c r="O207" s="6" t="s">
        <v>668</v>
      </c>
      <c r="P207" s="7" t="e">
        <f>VLOOKUP(B207,Import!A$1:B$20000,2,FALSE)</f>
        <v>#N/A</v>
      </c>
      <c r="Q207" s="8" t="s">
        <v>1023</v>
      </c>
      <c r="R207" s="11" t="e">
        <f>VLOOKUP(S207,Import!A$1:B$20000,2,FALSE)</f>
        <v>#N/A</v>
      </c>
      <c r="S207" s="12" t="str">
        <f t="shared" si="7"/>
        <v>4_L_B25_X_X_X_5J_N1A_V_N_A</v>
      </c>
      <c r="T207" s="6">
        <v>1000</v>
      </c>
    </row>
    <row r="208" spans="1:20" ht="12">
      <c r="A208" s="9">
        <f>IF(ISBLANK(Inm_20074),"",$T$208*Inm_20074)</f>
      </c>
      <c r="B208" s="9">
        <v>20074</v>
      </c>
      <c r="C208" s="10" t="s">
        <v>727</v>
      </c>
      <c r="D208" s="254" t="s">
        <v>1036</v>
      </c>
      <c r="E208" s="6">
        <v>3</v>
      </c>
      <c r="F208" s="6" t="s">
        <v>716</v>
      </c>
      <c r="G208" s="6" t="s">
        <v>728</v>
      </c>
      <c r="H208" s="6" t="s">
        <v>670</v>
      </c>
      <c r="I208" s="6" t="s">
        <v>670</v>
      </c>
      <c r="J208" s="6" t="s">
        <v>670</v>
      </c>
      <c r="K208" s="6" t="s">
        <v>677</v>
      </c>
      <c r="L208" s="6" t="s">
        <v>715</v>
      </c>
      <c r="M208" s="6" t="s">
        <v>673</v>
      </c>
      <c r="N208" s="6" t="s">
        <v>672</v>
      </c>
      <c r="O208" s="6" t="s">
        <v>668</v>
      </c>
      <c r="P208" s="7" t="e">
        <f>VLOOKUP(B208,Import!A$1:B$20000,2,FALSE)</f>
        <v>#N/A</v>
      </c>
      <c r="Q208" s="8" t="s">
        <v>1023</v>
      </c>
      <c r="R208" s="11" t="e">
        <f>VLOOKUP(S208,Import!A$1:B$20000,2,FALSE)</f>
        <v>#N/A</v>
      </c>
      <c r="S208" s="12" t="str">
        <f t="shared" si="7"/>
        <v>3_L_B25_X_X_X_5J_N1A_V_N_A</v>
      </c>
      <c r="T208" s="6">
        <v>1000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Blankett för elektronisk rapportering</dc:title>
  <dc:subject/>
  <dc:creator>SCB</dc:creator>
  <cp:keywords/>
  <dc:description/>
  <cp:lastModifiedBy>Parts Aiki ES/BFM-S</cp:lastModifiedBy>
  <cp:lastPrinted>2007-08-28T11:53:37Z</cp:lastPrinted>
  <dcterms:created xsi:type="dcterms:W3CDTF">2002-09-22T10:06:41Z</dcterms:created>
  <dcterms:modified xsi:type="dcterms:W3CDTF">2016-06-23T09:32:20Z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leaseMarkerad">
    <vt:bool>true</vt:bool>
  </property>
  <property fmtid="{D5CDD505-2E9C-101B-9397-08002B2CF9AE}" pid="3" name="Version">
    <vt:i4>8</vt:i4>
  </property>
  <property fmtid="{D5CDD505-2E9C-101B-9397-08002B2CF9AE}" pid="4" name="idBlankettNamn">
    <vt:lpwstr>BAST</vt:lpwstr>
  </property>
  <property fmtid="{D5CDD505-2E9C-101B-9397-08002B2CF9AE}" pid="5" name="idBlankett">
    <vt:i4>0</vt:i4>
  </property>
  <property fmtid="{D5CDD505-2E9C-101B-9397-08002B2CF9AE}" pid="6" name="URL_1">
    <vt:lpwstr>URL;https://www.h.scb.se/fmrwebb/fmfiinlogg.asp</vt:lpwstr>
  </property>
  <property fmtid="{D5CDD505-2E9C-101B-9397-08002B2CF9AE}" pid="7" name="URL_2">
    <vt:lpwstr>URL;https://www.h.scb.se/fmrwebb/fmfiblankettskapafil.asp</vt:lpwstr>
  </property>
  <property fmtid="{D5CDD505-2E9C-101B-9397-08002B2CF9AE}" pid="8" name="URL_3">
    <vt:lpwstr>URL;https://www.h.scb.se/fmrwebb/fmfiblankettoppnafil.asp</vt:lpwstr>
  </property>
  <property fmtid="{D5CDD505-2E9C-101B-9397-08002B2CF9AE}" pid="9" name="DublettRaknare">
    <vt:i4>1</vt:i4>
  </property>
  <property fmtid="{D5CDD505-2E9C-101B-9397-08002B2CF9AE}" pid="10" name="ComboBoxRaknare">
    <vt:i4>1</vt:i4>
  </property>
  <property fmtid="{D5CDD505-2E9C-101B-9397-08002B2CF9AE}" pid="11" name="URL_4">
    <vt:lpwstr>URL;https://www.h.scb.se/fmrwebb/fmfihamtavar.asp</vt:lpwstr>
  </property>
</Properties>
</file>