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updateLinks="never" codeName="ThisWorkbook"/>
  <mc:AlternateContent xmlns:mc="http://schemas.openxmlformats.org/markup-compatibility/2006">
    <mc:Choice Requires="x15">
      <x15ac:absPath xmlns:x15ac="http://schemas.microsoft.com/office/spreadsheetml/2010/11/ac" url="P:\Prod\NR\Offentlig Ekonomi\RS\RS2023\Rikstotal\"/>
    </mc:Choice>
  </mc:AlternateContent>
  <xr:revisionPtr revIDLastSave="0" documentId="13_ncr:1_{CFCFE593-CC4A-4AFA-A61B-8F01D9FC03C6}" xr6:coauthVersionLast="47" xr6:coauthVersionMax="47" xr10:uidLastSave="{00000000-0000-0000-0000-000000000000}"/>
  <workbookProtection workbookAlgorithmName="SHA-512" workbookHashValue="28kVjaQ2rO89+vzygwzI8t0AMw9gBwxK8XOKxxJJcyZLv6Bjlgcx6I/zwDyJxKMzCpT3Z/7CpY55QaTgM0iPWQ==" workbookSaltValue="a9MCeKzJRsTUeQtAR49Xig==" workbookSpinCount="100000" lockStructure="1"/>
  <bookViews>
    <workbookView xWindow="0" yWindow="30" windowWidth="17985" windowHeight="15405" tabRatio="806"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Motpart!$N$47</definedName>
    <definedName name="Block_1">Drift!$Z$11</definedName>
    <definedName name="Block_2">Drift!$Z$18</definedName>
    <definedName name="Block_3">Drift!$Z$31</definedName>
    <definedName name="Block_6">Drift!$Z$86</definedName>
    <definedName name="BR">BR!$A$88</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funktionsn'!$T$22</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#REF!</definedName>
    <definedName name="Kontrollblad_10">#REF!</definedName>
    <definedName name="Kontrollblad_11">#REF!</definedName>
    <definedName name="Kontrollblad_12">#REF!</definedName>
    <definedName name="Kontrollblad_13">#REF!</definedName>
    <definedName name="Kontrollblad_14">#REF!</definedName>
    <definedName name="Kontrollblad_15">#REF!</definedName>
    <definedName name="Kontrollblad_16">#REF!</definedName>
    <definedName name="Kontrollblad_17">#REF!</definedName>
    <definedName name="Kontrollblad_18">#REF!</definedName>
    <definedName name="Kontrollblad_19">#REF!</definedName>
    <definedName name="Kontrollblad_2">#REF!</definedName>
    <definedName name="Kontrollblad_3">#REF!</definedName>
    <definedName name="Kontrollblad_4">#REF!</definedName>
    <definedName name="Kontrollblad_5">#REF!</definedName>
    <definedName name="Kontrollblad_6">#REF!</definedName>
    <definedName name="Kontrollblad_7">#REF!</definedName>
    <definedName name="Kontrollblad_8">#REF!</definedName>
    <definedName name="Kontrollblad_9">#REF!</definedName>
    <definedName name="Köp_huvudvht">Motpart!$C$47</definedName>
    <definedName name="LSS">'Äldre o personer funktionsn'!$T$32</definedName>
    <definedName name="Pvchef">Information!$B$26</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Motpart!$Y$47</definedName>
    <definedName name="Spec_VoO">'Äldre o personer funktionsn'!$R$46</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Motpart!$A$1:$AD$51</definedName>
    <definedName name="_xlnm.Print_Area" localSheetId="1">RR!$A$1:$K$56</definedName>
    <definedName name="_xlnm.Print_Area" localSheetId="9">'Äldre o personer funktionsn'!$A$1:$U$59</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BR!$94:$65536,BR!#REF!,BR!$89:$89</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Motpart!$53:$65536</definedName>
    <definedName name="Z_27C9E95B_0E2B_454F_B637_1CECC9579A10_.wvu.Rows" localSheetId="8" hidden="1">'Pedagogisk verksamhet'!$105:$65536</definedName>
    <definedName name="Z_27C9E95B_0E2B_454F_B637_1CECC9579A10_.wvu.Rows" localSheetId="1" hidden="1">RR!$66:$65544,RR!$58:$58</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funktionsn'!$61:$65536</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BR!#REF!,BR!#REF!,BR!$89:$89</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RR!#REF!,RR!$58:$58</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BR!#REF!,BR!#REF!,BR!$89:$89</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RR!#REF!,RR!$58:$58</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BR!$94:$65536,BR!#REF!,BR!$89:$89</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Motpart!$53:$65536</definedName>
    <definedName name="Z_FA98FB86_76DB_4A0E_BD94_632DC6B7BC81_.wvu.Rows" localSheetId="8" hidden="1">'Pedagogisk verksamhet'!$105:$65536</definedName>
    <definedName name="Z_FA98FB86_76DB_4A0E_BD94_632DC6B7BC81_.wvu.Rows" localSheetId="1" hidden="1">RR!$66:$65544,RR!$58:$58</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funktionsn'!$61:$65536</definedName>
    <definedName name="År">2023</definedName>
    <definedName name="ÄF_inkl_IFO">Drift!$Z$72</definedName>
    <definedName name="Äldre">'Äldre o personer funktionsn'!$T$12</definedName>
    <definedName name="Övr._o_ek.bistånd">IFO!$P$30</definedName>
  </definedNames>
  <calcPr calcId="191029"/>
  <customWorkbookViews>
    <customWorkbookView name="Håkan Wilén - Personlig vy" guid="{FA98FB86-76DB-4A0E-BD94-632DC6B7BC81}" mergeInterval="0" personalView="1" maximized="1" xWindow="1" yWindow="1" windowWidth="1680" windowHeight="829" tabRatio="806" activeSheetId="3"/>
    <customWorkbookView name="scbelie - Personlig vy" guid="{97D6DB71-3F4C-4C5F-8C5B-51E3EBF78932}" mergeInterval="0" personalView="1" maximized="1" xWindow="1" yWindow="1" windowWidth="1676" windowHeight="829" tabRatio="806" activeSheetId="11"/>
    <customWorkbookView name="scbingj - Personlig vy" guid="{99FBDEB7-DD08-4F57-81F4-3C180403E153}" mergeInterval="0" personalView="1" maximized="1" xWindow="1" yWindow="1" windowWidth="1916" windowHeight="839" tabRatio="806" activeSheetId="10"/>
    <customWorkbookView name="SCB - Personlig vy" guid="{27C9E95B-0E2B-454F-B637-1CECC9579A10}" mergeInterval="0" personalView="1" maximized="1" windowWidth="1916" windowHeight="881" tabRatio="80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2" l="1"/>
  <c r="I33" i="12"/>
  <c r="I32" i="12"/>
  <c r="I31" i="12"/>
  <c r="I30" i="12"/>
  <c r="I29" i="12"/>
  <c r="I26" i="12"/>
  <c r="I25" i="12"/>
  <c r="I24" i="12"/>
  <c r="I23" i="12"/>
  <c r="I22" i="12"/>
  <c r="I21" i="12"/>
  <c r="I18" i="12"/>
  <c r="I17" i="12"/>
  <c r="I16" i="12"/>
  <c r="I15" i="12"/>
  <c r="I14" i="12"/>
  <c r="I13" i="12"/>
  <c r="I12" i="12"/>
  <c r="J1" i="12"/>
  <c r="A1" i="12"/>
  <c r="M35" i="11"/>
  <c r="M34" i="11"/>
  <c r="M33" i="11"/>
  <c r="M32" i="11"/>
  <c r="M31" i="11"/>
  <c r="M27" i="11"/>
  <c r="M26" i="11"/>
  <c r="M25" i="11"/>
  <c r="M24" i="11"/>
  <c r="M23" i="11"/>
  <c r="M22" i="11"/>
  <c r="M21" i="11"/>
  <c r="M17" i="11"/>
  <c r="M16" i="11"/>
  <c r="M15" i="11"/>
  <c r="M14" i="11"/>
  <c r="M13" i="11"/>
  <c r="M12" i="11"/>
  <c r="P1" i="11"/>
  <c r="A1" i="11"/>
  <c r="M99" i="10"/>
  <c r="M98" i="10"/>
  <c r="M97" i="10"/>
  <c r="M96" i="10"/>
  <c r="M91" i="10"/>
  <c r="M90" i="10"/>
  <c r="M9" i="10"/>
  <c r="M89" i="10"/>
  <c r="M88" i="10"/>
  <c r="M87" i="10"/>
  <c r="M84" i="10"/>
  <c r="M83" i="10"/>
  <c r="M82" i="10"/>
  <c r="M81" i="10"/>
  <c r="M80" i="10"/>
  <c r="M8" i="10"/>
  <c r="M79" i="10"/>
  <c r="M78" i="10"/>
  <c r="M77" i="10"/>
  <c r="M76" i="10"/>
  <c r="M75" i="10"/>
  <c r="M74" i="10"/>
  <c r="M73" i="10"/>
  <c r="M70" i="10"/>
  <c r="M69" i="10"/>
  <c r="M68" i="10"/>
  <c r="M67" i="10"/>
  <c r="M66" i="10"/>
  <c r="M65" i="10"/>
  <c r="M64" i="10"/>
  <c r="M63" i="10"/>
  <c r="M62" i="10"/>
  <c r="M61" i="10"/>
  <c r="M60" i="10"/>
  <c r="M59" i="10"/>
  <c r="M56" i="10"/>
  <c r="M55" i="10"/>
  <c r="M54" i="10"/>
  <c r="M53" i="10"/>
  <c r="M52" i="10"/>
  <c r="M51" i="10"/>
  <c r="M50" i="10"/>
  <c r="M49" i="10"/>
  <c r="M48" i="10"/>
  <c r="M47" i="10"/>
  <c r="M46" i="10"/>
  <c r="M45" i="10"/>
  <c r="M42" i="10"/>
  <c r="M41" i="10"/>
  <c r="M40" i="10"/>
  <c r="M39" i="10"/>
  <c r="M38" i="10"/>
  <c r="M37" i="10"/>
  <c r="M36" i="10"/>
  <c r="M35" i="10"/>
  <c r="M34" i="10"/>
  <c r="M33" i="10"/>
  <c r="M32" i="10"/>
  <c r="M30" i="10"/>
  <c r="M29" i="10"/>
  <c r="M28" i="10"/>
  <c r="M27" i="10"/>
  <c r="M25" i="10"/>
  <c r="M24" i="10"/>
  <c r="M22" i="10"/>
  <c r="M21" i="10"/>
  <c r="M20" i="10"/>
  <c r="M19" i="10"/>
  <c r="M17" i="10"/>
  <c r="M16" i="10"/>
  <c r="M14" i="10"/>
  <c r="M13" i="10"/>
  <c r="M12" i="10"/>
  <c r="M11" i="10"/>
  <c r="M100" i="10"/>
  <c r="J1" i="10"/>
  <c r="A1" i="10"/>
  <c r="AA1" i="9"/>
  <c r="K1" i="9"/>
  <c r="S1" i="9"/>
  <c r="C1" i="9"/>
  <c r="Z1" i="8"/>
  <c r="J1" i="8"/>
  <c r="R1" i="8"/>
  <c r="C1" i="8"/>
  <c r="H1" i="7"/>
  <c r="A1" i="7"/>
  <c r="T1" i="20"/>
  <c r="A1" i="20"/>
  <c r="J1" i="19"/>
  <c r="M38" i="19"/>
  <c r="A1" i="19"/>
  <c r="D37" i="19"/>
  <c r="F1" i="4"/>
  <c r="A1" i="4"/>
  <c r="G1" i="17"/>
  <c r="A1" i="17"/>
  <c r="W48" i="8" l="1"/>
  <c r="AH48" i="8" s="1"/>
  <c r="E19" i="19"/>
  <c r="I11" i="10" l="1"/>
  <c r="I19" i="10"/>
  <c r="I27" i="10"/>
  <c r="B6" i="9"/>
  <c r="B6" i="8"/>
  <c r="I19" i="20"/>
  <c r="I5" i="20"/>
  <c r="B32" i="20"/>
  <c r="B18" i="20"/>
  <c r="B5" i="20"/>
  <c r="B38" i="19"/>
  <c r="B5" i="19"/>
  <c r="H12" i="4"/>
  <c r="B37" i="4"/>
  <c r="B4" i="4"/>
  <c r="D75" i="4"/>
  <c r="M75" i="4"/>
  <c r="B35" i="17"/>
  <c r="B34" i="17"/>
  <c r="L68" i="4" l="1"/>
  <c r="N38" i="19"/>
  <c r="M39" i="19"/>
  <c r="N39" i="19"/>
  <c r="C46" i="19"/>
  <c r="L14" i="11" l="1"/>
  <c r="L15" i="11"/>
  <c r="K15" i="11"/>
  <c r="K14" i="11"/>
  <c r="K24" i="11"/>
  <c r="O15" i="11" l="1"/>
  <c r="D37" i="11" l="1"/>
  <c r="E37" i="11"/>
  <c r="F37" i="11"/>
  <c r="G37" i="11"/>
  <c r="H37" i="11"/>
  <c r="I37" i="11"/>
  <c r="J37" i="11"/>
  <c r="C37" i="11"/>
  <c r="D29" i="11"/>
  <c r="E29" i="11"/>
  <c r="F29" i="11"/>
  <c r="G29" i="11"/>
  <c r="H29" i="11"/>
  <c r="I29" i="11"/>
  <c r="J29" i="11"/>
  <c r="C29" i="11"/>
  <c r="M71" i="4" l="1"/>
  <c r="O14" i="11" l="1"/>
  <c r="AC41" i="9" l="1"/>
  <c r="E22" i="19"/>
  <c r="F68" i="4"/>
  <c r="F65" i="4"/>
  <c r="F64" i="4"/>
  <c r="F63" i="4"/>
  <c r="J65" i="4" l="1"/>
  <c r="F61" i="4" l="1"/>
  <c r="B85" i="4"/>
  <c r="L37" i="19" l="1"/>
  <c r="D31" i="19" l="1"/>
  <c r="L61" i="4"/>
  <c r="N34" i="9"/>
  <c r="N32" i="9"/>
  <c r="C34" i="9"/>
  <c r="C32" i="9"/>
  <c r="R36" i="11" l="1"/>
  <c r="R23" i="11"/>
  <c r="R14" i="11"/>
  <c r="E41" i="20" l="1"/>
  <c r="J7" i="7" l="1"/>
  <c r="L60" i="4"/>
  <c r="L59" i="4"/>
  <c r="J17" i="17" l="1"/>
  <c r="J32" i="19" l="1"/>
  <c r="J30" i="19"/>
  <c r="J25" i="19"/>
  <c r="N49" i="4" l="1"/>
  <c r="M48" i="4"/>
  <c r="M47" i="4"/>
  <c r="F50" i="4"/>
  <c r="F47" i="4"/>
  <c r="F45" i="4"/>
  <c r="E57" i="4" l="1"/>
  <c r="D57" i="4"/>
  <c r="D49" i="4"/>
  <c r="F49" i="4" s="1"/>
  <c r="M49" i="4" l="1"/>
  <c r="E34" i="19" l="1"/>
  <c r="F21" i="4"/>
  <c r="L69" i="4" l="1"/>
  <c r="J29" i="19" l="1"/>
  <c r="P125" i="8" l="1"/>
  <c r="C52" i="19" l="1"/>
  <c r="D53" i="19"/>
  <c r="G42" i="11" l="1"/>
  <c r="G41" i="11"/>
  <c r="AB41" i="9"/>
  <c r="AA41" i="9"/>
  <c r="Z41" i="9"/>
  <c r="Y41" i="9"/>
  <c r="I17" i="17" l="1"/>
  <c r="F30" i="4"/>
  <c r="R15" i="20" l="1"/>
  <c r="R16" i="20"/>
  <c r="D39" i="20" l="1"/>
  <c r="K30" i="20"/>
  <c r="D28" i="20"/>
  <c r="K16" i="20"/>
  <c r="D14" i="20"/>
  <c r="C11" i="17" s="1"/>
  <c r="C11" i="20"/>
  <c r="C10" i="20"/>
  <c r="C9" i="20"/>
  <c r="R8" i="20"/>
  <c r="C12" i="17" l="1"/>
  <c r="K31" i="20"/>
  <c r="K17" i="20"/>
  <c r="E12" i="10" l="1"/>
  <c r="C26" i="10"/>
  <c r="C18" i="10"/>
  <c r="C10" i="10"/>
  <c r="J8" i="7" l="1"/>
  <c r="J10" i="7"/>
  <c r="J9" i="7"/>
  <c r="D76" i="19" l="1"/>
  <c r="D71" i="19"/>
  <c r="N67" i="19"/>
  <c r="N60" i="19"/>
  <c r="D58" i="19"/>
  <c r="N49" i="19"/>
  <c r="N48" i="19"/>
  <c r="N45" i="19"/>
  <c r="D44" i="19"/>
  <c r="D36" i="19"/>
  <c r="D26" i="19"/>
  <c r="N22" i="19"/>
  <c r="D16" i="19"/>
  <c r="N16" i="19" s="1"/>
  <c r="N13" i="19"/>
  <c r="D12" i="19"/>
  <c r="N8" i="19"/>
  <c r="N6" i="19"/>
  <c r="M6" i="19"/>
  <c r="L4" i="19"/>
  <c r="E26" i="19" l="1"/>
  <c r="N44" i="19"/>
  <c r="N12" i="19"/>
  <c r="N26" i="19"/>
  <c r="N58" i="19"/>
  <c r="N71" i="19"/>
  <c r="N31" i="19"/>
  <c r="D75" i="19"/>
  <c r="D35" i="19"/>
  <c r="W122" i="8" l="1"/>
  <c r="I55" i="17" l="1"/>
  <c r="J51" i="17"/>
  <c r="I51" i="17"/>
  <c r="B43" i="17"/>
  <c r="B39" i="17"/>
  <c r="B38" i="17"/>
  <c r="B37" i="17"/>
  <c r="B36" i="17"/>
  <c r="B33" i="17"/>
  <c r="B32" i="17"/>
  <c r="B31" i="17"/>
  <c r="J14" i="17"/>
  <c r="I14" i="17"/>
  <c r="D10" i="17"/>
  <c r="C10" i="17"/>
  <c r="J9" i="17"/>
  <c r="I9" i="17"/>
  <c r="J8" i="17"/>
  <c r="I8" i="17"/>
  <c r="J7" i="17"/>
  <c r="I7" i="17"/>
  <c r="D11" i="17" l="1"/>
  <c r="J11" i="17" s="1"/>
  <c r="I10" i="17"/>
  <c r="I11" i="17"/>
  <c r="J10" i="17"/>
  <c r="Q36" i="11" l="1"/>
  <c r="I38" i="10" l="1"/>
  <c r="A5" i="2" l="1"/>
  <c r="A4" i="2"/>
  <c r="I99" i="10" l="1"/>
  <c r="I90" i="10"/>
  <c r="I79" i="10"/>
  <c r="I65" i="10"/>
  <c r="I51" i="10"/>
  <c r="D32" i="12" l="1"/>
  <c r="D30" i="12"/>
  <c r="D29" i="12"/>
  <c r="D21" i="12"/>
  <c r="D12" i="12"/>
  <c r="D31" i="11"/>
  <c r="D21" i="11"/>
  <c r="D12" i="11"/>
  <c r="F85" i="4"/>
  <c r="L58" i="4"/>
  <c r="F54" i="4"/>
  <c r="F52" i="4"/>
  <c r="N57" i="4"/>
  <c r="K55" i="4"/>
  <c r="F55" i="4"/>
  <c r="J55" i="4"/>
  <c r="F51" i="4"/>
  <c r="F9" i="4"/>
  <c r="D35" i="12"/>
  <c r="E35" i="12"/>
  <c r="D26" i="12"/>
  <c r="E26" i="12"/>
  <c r="D27" i="12"/>
  <c r="E27" i="12"/>
  <c r="D19" i="12"/>
  <c r="E19" i="12"/>
  <c r="D18" i="12"/>
  <c r="E18" i="12"/>
  <c r="E32" i="12"/>
  <c r="E30" i="12"/>
  <c r="E29" i="12"/>
  <c r="E21" i="12"/>
  <c r="E12" i="12"/>
  <c r="L25" i="11"/>
  <c r="L26" i="11"/>
  <c r="K25" i="11"/>
  <c r="O25" i="11" s="1"/>
  <c r="K26" i="11"/>
  <c r="O26" i="11" s="1"/>
  <c r="L33" i="11"/>
  <c r="L34" i="11"/>
  <c r="L35" i="11"/>
  <c r="L36" i="11"/>
  <c r="L32" i="11"/>
  <c r="L23" i="11"/>
  <c r="L24" i="11"/>
  <c r="L27" i="11"/>
  <c r="L28" i="11"/>
  <c r="L16" i="11"/>
  <c r="L17" i="11"/>
  <c r="L18" i="11"/>
  <c r="L13" i="11"/>
  <c r="L22" i="11"/>
  <c r="D19" i="11"/>
  <c r="H15" i="7"/>
  <c r="G15" i="7"/>
  <c r="D98" i="7"/>
  <c r="C98" i="7"/>
  <c r="E98" i="7" s="1"/>
  <c r="E32" i="4"/>
  <c r="N32" i="4" s="1"/>
  <c r="D30" i="4"/>
  <c r="D26" i="4"/>
  <c r="F26" i="4" s="1"/>
  <c r="M78" i="4"/>
  <c r="M76" i="4"/>
  <c r="AB110" i="8"/>
  <c r="J8" i="12"/>
  <c r="I8" i="12"/>
  <c r="K4" i="12"/>
  <c r="O4" i="11"/>
  <c r="N8" i="11"/>
  <c r="M8" i="11"/>
  <c r="AC4" i="8"/>
  <c r="AG38" i="8"/>
  <c r="AG62" i="8"/>
  <c r="AF38" i="8"/>
  <c r="AE5" i="8"/>
  <c r="AB5" i="8"/>
  <c r="AA5" i="8"/>
  <c r="AE4" i="8"/>
  <c r="Z5" i="8"/>
  <c r="I31" i="11"/>
  <c r="I21" i="11"/>
  <c r="M6" i="12"/>
  <c r="F12" i="12"/>
  <c r="G12" i="12"/>
  <c r="G13" i="12"/>
  <c r="H13" i="12" s="1"/>
  <c r="H14" i="12"/>
  <c r="H15" i="12"/>
  <c r="K15" i="12" s="1"/>
  <c r="H16" i="12"/>
  <c r="H17" i="12"/>
  <c r="K17" i="12" s="1"/>
  <c r="C18" i="12"/>
  <c r="F18" i="12"/>
  <c r="G18" i="12"/>
  <c r="C19" i="12"/>
  <c r="F19" i="12"/>
  <c r="F21" i="12"/>
  <c r="G21" i="12"/>
  <c r="G22" i="12"/>
  <c r="H22" i="12" s="1"/>
  <c r="K22" i="12" s="1"/>
  <c r="H23" i="12"/>
  <c r="K23" i="12"/>
  <c r="H24" i="12"/>
  <c r="K24" i="12" s="1"/>
  <c r="H25" i="12"/>
  <c r="K25" i="12"/>
  <c r="C26" i="12"/>
  <c r="F26" i="12"/>
  <c r="G26" i="12"/>
  <c r="C27" i="12"/>
  <c r="F27" i="12"/>
  <c r="F29" i="12"/>
  <c r="F30" i="12"/>
  <c r="F32" i="12"/>
  <c r="G32" i="12"/>
  <c r="H33" i="12"/>
  <c r="K33" i="12" s="1"/>
  <c r="H34" i="12"/>
  <c r="K34" i="12"/>
  <c r="C35" i="12"/>
  <c r="F35" i="12"/>
  <c r="G35" i="12"/>
  <c r="Q6" i="11"/>
  <c r="E12" i="11"/>
  <c r="C49" i="11" s="1"/>
  <c r="F12" i="11"/>
  <c r="G12" i="11"/>
  <c r="H12" i="11"/>
  <c r="I12" i="11"/>
  <c r="J12" i="11"/>
  <c r="K13" i="11"/>
  <c r="O13" i="11" s="1"/>
  <c r="K16" i="11"/>
  <c r="K17" i="11"/>
  <c r="K18" i="11"/>
  <c r="C19" i="11"/>
  <c r="E19" i="11"/>
  <c r="F19" i="11"/>
  <c r="G19" i="11"/>
  <c r="H19" i="11"/>
  <c r="I19" i="11"/>
  <c r="J19" i="11"/>
  <c r="E21" i="11"/>
  <c r="F21" i="11"/>
  <c r="G21" i="11"/>
  <c r="H21" i="11"/>
  <c r="J21" i="11"/>
  <c r="K22" i="11"/>
  <c r="K23" i="11"/>
  <c r="K27" i="11"/>
  <c r="K28" i="11"/>
  <c r="E31" i="11"/>
  <c r="F31" i="11"/>
  <c r="G31" i="11"/>
  <c r="H31" i="11"/>
  <c r="J31" i="11"/>
  <c r="K32" i="11"/>
  <c r="K33" i="11"/>
  <c r="O33" i="11" s="1"/>
  <c r="K34" i="11"/>
  <c r="K35" i="11"/>
  <c r="O35" i="11"/>
  <c r="K36" i="11"/>
  <c r="E49" i="11"/>
  <c r="F49" i="11"/>
  <c r="G49" i="11"/>
  <c r="H49" i="11"/>
  <c r="I49" i="11"/>
  <c r="J49" i="11"/>
  <c r="L49" i="11"/>
  <c r="M49" i="11"/>
  <c r="C50" i="11"/>
  <c r="C51" i="11"/>
  <c r="C52" i="11"/>
  <c r="E53" i="11"/>
  <c r="F53" i="11"/>
  <c r="G53" i="11"/>
  <c r="H53" i="11"/>
  <c r="I53" i="11"/>
  <c r="J53" i="11"/>
  <c r="L53" i="11"/>
  <c r="M53" i="11"/>
  <c r="C54" i="11"/>
  <c r="C55" i="11"/>
  <c r="C56" i="11"/>
  <c r="E57" i="11"/>
  <c r="F57" i="11"/>
  <c r="G57" i="11"/>
  <c r="H57" i="11"/>
  <c r="I57" i="11"/>
  <c r="J57" i="11"/>
  <c r="L57" i="11"/>
  <c r="M57" i="11"/>
  <c r="C58" i="11"/>
  <c r="M7" i="10"/>
  <c r="D8" i="10"/>
  <c r="F8" i="10"/>
  <c r="G8" i="10"/>
  <c r="D16" i="10"/>
  <c r="F16" i="10"/>
  <c r="G16" i="10"/>
  <c r="E20" i="10"/>
  <c r="D24" i="10"/>
  <c r="F24" i="10"/>
  <c r="G24" i="10"/>
  <c r="D31" i="10"/>
  <c r="F31" i="10"/>
  <c r="G31" i="10"/>
  <c r="G40" i="10" s="1"/>
  <c r="G43" i="10" s="1"/>
  <c r="D44" i="10"/>
  <c r="F44" i="10"/>
  <c r="G44" i="10"/>
  <c r="G53" i="10" s="1"/>
  <c r="G57" i="10" s="1"/>
  <c r="D58" i="10"/>
  <c r="F58" i="10"/>
  <c r="G58" i="10"/>
  <c r="G67" i="10" s="1"/>
  <c r="G71" i="10" s="1"/>
  <c r="D72" i="10"/>
  <c r="F72" i="10"/>
  <c r="G72" i="10"/>
  <c r="G81" i="10" s="1"/>
  <c r="G85" i="10" s="1"/>
  <c r="D86" i="10"/>
  <c r="F86" i="10"/>
  <c r="G86" i="10"/>
  <c r="G93" i="10" s="1"/>
  <c r="G94" i="10" s="1"/>
  <c r="D95" i="10"/>
  <c r="F95" i="10"/>
  <c r="G95" i="10"/>
  <c r="G102" i="10" s="1"/>
  <c r="G103" i="10" s="1"/>
  <c r="C13" i="9"/>
  <c r="M13" i="9" s="1"/>
  <c r="N13" i="9"/>
  <c r="X13" i="9" s="1"/>
  <c r="C14" i="9"/>
  <c r="M14" i="9" s="1"/>
  <c r="N14" i="9"/>
  <c r="X14" i="9" s="1"/>
  <c r="C15" i="9"/>
  <c r="M15" i="9" s="1"/>
  <c r="N15" i="9"/>
  <c r="X15" i="9" s="1"/>
  <c r="C16" i="9"/>
  <c r="M16" i="9" s="1"/>
  <c r="N16" i="9"/>
  <c r="X16" i="9" s="1"/>
  <c r="C17" i="9"/>
  <c r="M17" i="9" s="1"/>
  <c r="N17" i="9"/>
  <c r="X17" i="9" s="1"/>
  <c r="C18" i="9"/>
  <c r="M18" i="9" s="1"/>
  <c r="N18" i="9"/>
  <c r="X18" i="9" s="1"/>
  <c r="C19" i="9"/>
  <c r="M19" i="9" s="1"/>
  <c r="N19" i="9"/>
  <c r="X19" i="9" s="1"/>
  <c r="C20" i="9"/>
  <c r="M20" i="9" s="1"/>
  <c r="N20" i="9"/>
  <c r="X20" i="9" s="1"/>
  <c r="C21" i="9"/>
  <c r="M21" i="9" s="1"/>
  <c r="N21" i="9"/>
  <c r="X21" i="9" s="1"/>
  <c r="C22" i="9"/>
  <c r="M22" i="9" s="1"/>
  <c r="N22" i="9"/>
  <c r="X22" i="9" s="1"/>
  <c r="C23" i="9"/>
  <c r="M23" i="9" s="1"/>
  <c r="N23" i="9"/>
  <c r="X23" i="9" s="1"/>
  <c r="C24" i="9"/>
  <c r="M24" i="9" s="1"/>
  <c r="N24" i="9"/>
  <c r="X24" i="9" s="1"/>
  <c r="C25" i="9"/>
  <c r="M25" i="9" s="1"/>
  <c r="N25" i="9"/>
  <c r="X25" i="9" s="1"/>
  <c r="C26" i="9"/>
  <c r="M26" i="9" s="1"/>
  <c r="N26" i="9"/>
  <c r="X26" i="9" s="1"/>
  <c r="C27" i="9"/>
  <c r="M27" i="9" s="1"/>
  <c r="N27" i="9"/>
  <c r="X27" i="9" s="1"/>
  <c r="C28" i="9"/>
  <c r="M28" i="9" s="1"/>
  <c r="N28" i="9"/>
  <c r="X28" i="9" s="1"/>
  <c r="C29" i="9"/>
  <c r="M29" i="9" s="1"/>
  <c r="N29" i="9"/>
  <c r="X29" i="9" s="1"/>
  <c r="C30" i="9"/>
  <c r="M30" i="9" s="1"/>
  <c r="N30" i="9"/>
  <c r="X30" i="9" s="1"/>
  <c r="C31" i="9"/>
  <c r="M31" i="9" s="1"/>
  <c r="N31" i="9"/>
  <c r="M32" i="9"/>
  <c r="X32" i="9"/>
  <c r="C33" i="9"/>
  <c r="N33" i="9"/>
  <c r="X33" i="9" s="1"/>
  <c r="M34" i="9"/>
  <c r="X34" i="9"/>
  <c r="C35" i="9"/>
  <c r="M35" i="9" s="1"/>
  <c r="N35" i="9"/>
  <c r="C36" i="9"/>
  <c r="M36" i="9" s="1"/>
  <c r="N36" i="9"/>
  <c r="X36" i="9" s="1"/>
  <c r="C37" i="9"/>
  <c r="M37" i="9" s="1"/>
  <c r="N37" i="9"/>
  <c r="X37" i="9" s="1"/>
  <c r="C39" i="9"/>
  <c r="M39" i="9" s="1"/>
  <c r="N39" i="9"/>
  <c r="X39" i="9" s="1"/>
  <c r="D40" i="9"/>
  <c r="E40" i="9"/>
  <c r="F40" i="9"/>
  <c r="G40" i="9"/>
  <c r="H40" i="9"/>
  <c r="I40" i="9"/>
  <c r="J40" i="9"/>
  <c r="K40" i="9"/>
  <c r="L40" i="9"/>
  <c r="O40" i="9"/>
  <c r="P40" i="9"/>
  <c r="Q40" i="9"/>
  <c r="R40" i="9"/>
  <c r="S40" i="9"/>
  <c r="T40" i="9"/>
  <c r="U40" i="9"/>
  <c r="V40" i="9"/>
  <c r="W40" i="9"/>
  <c r="Y40" i="9"/>
  <c r="Z40" i="9"/>
  <c r="AA40" i="9"/>
  <c r="AB40" i="9"/>
  <c r="AC40" i="9"/>
  <c r="AC42" i="9" s="1"/>
  <c r="W13" i="8"/>
  <c r="AH13" i="8" s="1"/>
  <c r="W14" i="8"/>
  <c r="AH14" i="8" s="1"/>
  <c r="W15" i="8"/>
  <c r="AH15" i="8" s="1"/>
  <c r="W16" i="8"/>
  <c r="AH16" i="8" s="1"/>
  <c r="C17" i="8"/>
  <c r="D17" i="8"/>
  <c r="E17" i="8"/>
  <c r="F17" i="8"/>
  <c r="C9" i="9" s="1"/>
  <c r="M9" i="9" s="1"/>
  <c r="G17" i="8"/>
  <c r="H17" i="8"/>
  <c r="I17" i="8"/>
  <c r="J17" i="8"/>
  <c r="L17" i="8"/>
  <c r="M17" i="8"/>
  <c r="N17" i="8"/>
  <c r="R17" i="8"/>
  <c r="S17" i="8"/>
  <c r="T17" i="8"/>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V30" i="8"/>
  <c r="W33" i="8"/>
  <c r="AH33" i="8" s="1"/>
  <c r="W34" i="8"/>
  <c r="AH34" i="8" s="1"/>
  <c r="W35" i="8"/>
  <c r="AH35" i="8" s="1"/>
  <c r="W36" i="8"/>
  <c r="AH36" i="8" s="1"/>
  <c r="C37" i="8"/>
  <c r="D37" i="8"/>
  <c r="E37" i="8"/>
  <c r="F37" i="8"/>
  <c r="C11" i="9" s="1"/>
  <c r="M11" i="9" s="1"/>
  <c r="G37" i="8"/>
  <c r="H37" i="8"/>
  <c r="I37" i="8"/>
  <c r="J37" i="8"/>
  <c r="L37" i="8"/>
  <c r="M37" i="8"/>
  <c r="N37" i="8"/>
  <c r="R37" i="8"/>
  <c r="S37" i="8"/>
  <c r="T37" i="8"/>
  <c r="V37" i="8"/>
  <c r="W39" i="8"/>
  <c r="AH39" i="8" s="1"/>
  <c r="W40" i="8"/>
  <c r="AH40" i="8" s="1"/>
  <c r="W41" i="8"/>
  <c r="AH41" i="8" s="1"/>
  <c r="C42" i="8"/>
  <c r="D42" i="8"/>
  <c r="D43" i="8" s="1"/>
  <c r="E42" i="8"/>
  <c r="F42" i="8"/>
  <c r="C12" i="9" s="1"/>
  <c r="M12" i="9" s="1"/>
  <c r="G42" i="8"/>
  <c r="G43" i="8" s="1"/>
  <c r="H42" i="8"/>
  <c r="N12" i="9" s="1"/>
  <c r="X12" i="9" s="1"/>
  <c r="I42" i="8"/>
  <c r="J42" i="8"/>
  <c r="L42" i="8"/>
  <c r="M42" i="8"/>
  <c r="M43" i="8" s="1"/>
  <c r="N42" i="8"/>
  <c r="R42" i="8"/>
  <c r="S42" i="8"/>
  <c r="T42" i="8"/>
  <c r="V42" i="8"/>
  <c r="W46" i="8"/>
  <c r="AH46" i="8" s="1"/>
  <c r="W47" i="8"/>
  <c r="AH47" i="8" s="1"/>
  <c r="W49" i="8"/>
  <c r="AH49" i="8" s="1"/>
  <c r="W50" i="8"/>
  <c r="AH50" i="8" s="1"/>
  <c r="C51" i="8"/>
  <c r="D51" i="8"/>
  <c r="E51" i="8"/>
  <c r="F51" i="8"/>
  <c r="G51" i="8"/>
  <c r="H51" i="8"/>
  <c r="I51" i="8"/>
  <c r="J51" i="8"/>
  <c r="L51" i="8"/>
  <c r="M51" i="8"/>
  <c r="N51" i="8"/>
  <c r="R51" i="8"/>
  <c r="AE49" i="8" s="1"/>
  <c r="S51" i="8"/>
  <c r="T51" i="8"/>
  <c r="V51" i="8"/>
  <c r="W53" i="8"/>
  <c r="AH53" i="8" s="1"/>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3" i="8"/>
  <c r="AH63" i="8" s="1"/>
  <c r="W64" i="8"/>
  <c r="AH64" i="8" s="1"/>
  <c r="W65" i="8"/>
  <c r="AH65" i="8" s="1"/>
  <c r="W66" i="8"/>
  <c r="AH66" i="8" s="1"/>
  <c r="W70" i="8"/>
  <c r="AH70" i="8" s="1"/>
  <c r="W71" i="8"/>
  <c r="AH71" i="8" s="1"/>
  <c r="W73" i="8"/>
  <c r="AH73" i="8" s="1"/>
  <c r="W74" i="8"/>
  <c r="AH74" i="8" s="1"/>
  <c r="W75" i="8"/>
  <c r="W76" i="8"/>
  <c r="AH76" i="8" s="1"/>
  <c r="C77" i="8"/>
  <c r="D77" i="8"/>
  <c r="E77" i="8"/>
  <c r="E85" i="8" s="1"/>
  <c r="F77" i="8"/>
  <c r="G77" i="8"/>
  <c r="H77" i="8"/>
  <c r="I77" i="8"/>
  <c r="J77" i="8"/>
  <c r="L77" i="8"/>
  <c r="M77" i="8"/>
  <c r="N77" i="8"/>
  <c r="N85" i="8" s="1"/>
  <c r="R77" i="8"/>
  <c r="S77" i="8"/>
  <c r="T77" i="8"/>
  <c r="V77" i="8"/>
  <c r="W79" i="8"/>
  <c r="AH79" i="8" s="1"/>
  <c r="W80" i="8"/>
  <c r="AH80" i="8" s="1"/>
  <c r="W81" i="8"/>
  <c r="AH81" i="8" s="1"/>
  <c r="W82" i="8"/>
  <c r="AH82" i="8" s="1"/>
  <c r="C83" i="8"/>
  <c r="D83" i="8"/>
  <c r="E83" i="8"/>
  <c r="F83" i="8"/>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V108" i="8"/>
  <c r="P111" i="8"/>
  <c r="W111" i="8"/>
  <c r="P112" i="8"/>
  <c r="M114" i="8"/>
  <c r="C15" i="7"/>
  <c r="D15" i="7"/>
  <c r="F15" i="7"/>
  <c r="C33" i="7"/>
  <c r="D33" i="7"/>
  <c r="E33" i="7"/>
  <c r="F33" i="7"/>
  <c r="C40" i="7"/>
  <c r="C41" i="7" s="1"/>
  <c r="C49" i="7" s="1"/>
  <c r="D40" i="7"/>
  <c r="D41" i="7"/>
  <c r="E40" i="7"/>
  <c r="E41" i="7" s="1"/>
  <c r="F40" i="7"/>
  <c r="F41" i="7" s="1"/>
  <c r="C47" i="7"/>
  <c r="D47" i="7"/>
  <c r="E47" i="7"/>
  <c r="F47" i="7"/>
  <c r="C54" i="7"/>
  <c r="D54" i="7"/>
  <c r="E54" i="7"/>
  <c r="F54" i="7"/>
  <c r="C58" i="7"/>
  <c r="D58" i="7"/>
  <c r="E58" i="7"/>
  <c r="F58" i="7"/>
  <c r="C63" i="7"/>
  <c r="D63" i="7"/>
  <c r="E63" i="7"/>
  <c r="F63" i="7"/>
  <c r="D12" i="4"/>
  <c r="M12" i="4" s="1"/>
  <c r="N12" i="4"/>
  <c r="D17" i="4"/>
  <c r="E15" i="7" s="1"/>
  <c r="N17" i="4"/>
  <c r="E18" i="4"/>
  <c r="M19" i="4"/>
  <c r="N19" i="4"/>
  <c r="F31" i="4"/>
  <c r="M57" i="4"/>
  <c r="D68" i="4"/>
  <c r="M68" i="4" s="1"/>
  <c r="N68" i="4"/>
  <c r="N76" i="4"/>
  <c r="M77" i="4"/>
  <c r="N77" i="4"/>
  <c r="N78" i="4"/>
  <c r="M79" i="4"/>
  <c r="N79" i="4"/>
  <c r="M80" i="4"/>
  <c r="N80" i="4"/>
  <c r="D81" i="4"/>
  <c r="E81" i="4"/>
  <c r="K26" i="12"/>
  <c r="R109" i="8"/>
  <c r="S85" i="8"/>
  <c r="I43" i="8"/>
  <c r="N11" i="9"/>
  <c r="X11" i="9" s="1"/>
  <c r="T43" i="8"/>
  <c r="E43" i="8"/>
  <c r="N9" i="9"/>
  <c r="X9" i="9" s="1"/>
  <c r="H43" i="8"/>
  <c r="M33" i="9"/>
  <c r="M95" i="10"/>
  <c r="F64" i="7"/>
  <c r="D49" i="7"/>
  <c r="H26" i="12"/>
  <c r="E44" i="10"/>
  <c r="E95" i="10"/>
  <c r="E102" i="10" s="1"/>
  <c r="E103" i="10" s="1"/>
  <c r="AH60" i="8"/>
  <c r="C82" i="7"/>
  <c r="K16" i="12"/>
  <c r="E69" i="4"/>
  <c r="M58" i="10" l="1"/>
  <c r="V109" i="8"/>
  <c r="AE48" i="8"/>
  <c r="F109" i="8"/>
  <c r="C38" i="9" s="1"/>
  <c r="N43" i="8"/>
  <c r="T109" i="8"/>
  <c r="F49" i="7"/>
  <c r="O34" i="11"/>
  <c r="G19" i="12"/>
  <c r="G31" i="12"/>
  <c r="S68" i="8"/>
  <c r="M109" i="8"/>
  <c r="D109" i="8"/>
  <c r="M72" i="10"/>
  <c r="E58" i="10"/>
  <c r="E67" i="10" s="1"/>
  <c r="E71" i="10" s="1"/>
  <c r="W102" i="8"/>
  <c r="E49" i="7"/>
  <c r="V43" i="8"/>
  <c r="M68" i="8"/>
  <c r="E53" i="10"/>
  <c r="E57" i="10" s="1"/>
  <c r="C53" i="11"/>
  <c r="E33" i="4"/>
  <c r="F12" i="4"/>
  <c r="M17" i="4"/>
  <c r="E24" i="10"/>
  <c r="F43" i="8"/>
  <c r="H85" i="8"/>
  <c r="AE80" i="8" s="1"/>
  <c r="L85" i="8"/>
  <c r="G85" i="8"/>
  <c r="F68" i="8"/>
  <c r="E72" i="10"/>
  <c r="E81" i="10" s="1"/>
  <c r="E85" i="10" s="1"/>
  <c r="H109" i="8"/>
  <c r="N38" i="9" s="1"/>
  <c r="X38" i="9" s="1"/>
  <c r="L68" i="8"/>
  <c r="G68" i="8"/>
  <c r="T85" i="8"/>
  <c r="R68" i="8"/>
  <c r="C43" i="8"/>
  <c r="W42" i="8"/>
  <c r="AH42" i="8" s="1"/>
  <c r="G109" i="8"/>
  <c r="E8" i="10"/>
  <c r="W17" i="8"/>
  <c r="AH17" i="8" s="1"/>
  <c r="E16" i="10"/>
  <c r="X35" i="9"/>
  <c r="W108" i="8"/>
  <c r="J109" i="8"/>
  <c r="R85" i="8"/>
  <c r="J85" i="8"/>
  <c r="J68" i="8"/>
  <c r="D68" i="8"/>
  <c r="S43" i="8"/>
  <c r="S90" i="8" s="1"/>
  <c r="L43" i="8"/>
  <c r="D31" i="12"/>
  <c r="E93" i="10"/>
  <c r="E94" i="10" s="1"/>
  <c r="E31" i="12"/>
  <c r="W77" i="8"/>
  <c r="AH77" i="8" s="1"/>
  <c r="O17" i="11"/>
  <c r="O16" i="11"/>
  <c r="I12" i="17"/>
  <c r="C13" i="17"/>
  <c r="I48" i="17"/>
  <c r="D12" i="17"/>
  <c r="I47" i="17"/>
  <c r="I53" i="17"/>
  <c r="I52" i="17"/>
  <c r="C85" i="8"/>
  <c r="L56" i="4"/>
  <c r="L57" i="4"/>
  <c r="M72" i="4"/>
  <c r="D69" i="4"/>
  <c r="F17" i="4"/>
  <c r="F31" i="12"/>
  <c r="C64" i="7"/>
  <c r="C66" i="7" s="1"/>
  <c r="O27" i="11"/>
  <c r="O23" i="11"/>
  <c r="O32" i="11"/>
  <c r="M86" i="10"/>
  <c r="M101" i="10" s="1"/>
  <c r="K14" i="12"/>
  <c r="K13" i="12"/>
  <c r="M44" i="10"/>
  <c r="W51" i="8"/>
  <c r="AH51" i="8" s="1"/>
  <c r="O22" i="11"/>
  <c r="O24" i="11"/>
  <c r="E68" i="8"/>
  <c r="E90" i="8" s="1"/>
  <c r="W58" i="8"/>
  <c r="W67" i="8" s="1"/>
  <c r="AH67" i="8" s="1"/>
  <c r="E31" i="10"/>
  <c r="E40" i="10" s="1"/>
  <c r="E43" i="10" s="1"/>
  <c r="M31" i="10"/>
  <c r="I85" i="8"/>
  <c r="AH75" i="8"/>
  <c r="F85" i="8"/>
  <c r="AE79" i="8" s="1"/>
  <c r="Z42" i="9"/>
  <c r="AA42" i="9"/>
  <c r="X31" i="9"/>
  <c r="X40" i="9" s="1"/>
  <c r="G27" i="12"/>
  <c r="M81" i="4"/>
  <c r="I117" i="8"/>
  <c r="N81" i="4"/>
  <c r="D32" i="4"/>
  <c r="M32" i="4" s="1"/>
  <c r="L109" i="8"/>
  <c r="I68" i="8"/>
  <c r="Y42" i="9"/>
  <c r="H18" i="12"/>
  <c r="K18" i="12" s="1"/>
  <c r="S109" i="8"/>
  <c r="D85" i="8"/>
  <c r="D90" i="8" s="1"/>
  <c r="D110" i="8" s="1"/>
  <c r="D113" i="8" s="1"/>
  <c r="V68" i="8"/>
  <c r="N68" i="8"/>
  <c r="N90" i="8" s="1"/>
  <c r="W37" i="8"/>
  <c r="AH37" i="8" s="1"/>
  <c r="AH43" i="8" s="1"/>
  <c r="AB42" i="9"/>
  <c r="D18" i="4"/>
  <c r="E64" i="7"/>
  <c r="E66" i="7" s="1"/>
  <c r="E109" i="8"/>
  <c r="V85" i="8"/>
  <c r="T68" i="8"/>
  <c r="T90" i="8" s="1"/>
  <c r="T110" i="8" s="1"/>
  <c r="T113" i="8" s="1"/>
  <c r="H68" i="8"/>
  <c r="H90" i="8" s="1"/>
  <c r="H110" i="8" s="1"/>
  <c r="H113" i="8" s="1"/>
  <c r="C68" i="8"/>
  <c r="R43" i="8"/>
  <c r="R90" i="8" s="1"/>
  <c r="R110" i="8" s="1"/>
  <c r="R113" i="8" s="1"/>
  <c r="J43" i="8"/>
  <c r="C109" i="8"/>
  <c r="M85" i="8"/>
  <c r="C40" i="9"/>
  <c r="M38" i="9"/>
  <c r="M40" i="9" s="1"/>
  <c r="F66" i="7"/>
  <c r="N40" i="9"/>
  <c r="D64" i="7"/>
  <c r="D66" i="7" s="1"/>
  <c r="N109" i="8"/>
  <c r="AH88" i="8"/>
  <c r="W89" i="8"/>
  <c r="AH89" i="8" s="1"/>
  <c r="I109" i="8"/>
  <c r="AH95" i="8"/>
  <c r="AH97" i="8" s="1"/>
  <c r="W97" i="8"/>
  <c r="W43" i="8"/>
  <c r="C57" i="11"/>
  <c r="W83" i="8"/>
  <c r="AH108" i="8"/>
  <c r="AH102" i="8"/>
  <c r="W30" i="8"/>
  <c r="I90" i="8" l="1"/>
  <c r="M90" i="8"/>
  <c r="M110" i="8" s="1"/>
  <c r="M113" i="8" s="1"/>
  <c r="L90" i="8"/>
  <c r="L110" i="8" s="1"/>
  <c r="I54" i="17"/>
  <c r="G90" i="8"/>
  <c r="G110" i="8" s="1"/>
  <c r="G113" i="8" s="1"/>
  <c r="C16" i="17"/>
  <c r="I49" i="17" s="1"/>
  <c r="I13" i="17"/>
  <c r="E110" i="8"/>
  <c r="E113" i="8" s="1"/>
  <c r="S110" i="8"/>
  <c r="S113" i="8" s="1"/>
  <c r="J90" i="8"/>
  <c r="J110" i="8" s="1"/>
  <c r="J113" i="8" s="1"/>
  <c r="V90" i="8"/>
  <c r="V110" i="8" s="1"/>
  <c r="F90" i="8"/>
  <c r="F110" i="8" s="1"/>
  <c r="F113" i="8" s="1"/>
  <c r="C90" i="8"/>
  <c r="C110" i="8" s="1"/>
  <c r="C113" i="8" s="1"/>
  <c r="N110" i="8"/>
  <c r="N113" i="8" s="1"/>
  <c r="I119" i="8" s="1"/>
  <c r="I120" i="8" s="1"/>
  <c r="W109" i="8"/>
  <c r="AH109" i="8" s="1"/>
  <c r="W68" i="8"/>
  <c r="J12" i="17"/>
  <c r="D13" i="17"/>
  <c r="J47" i="17"/>
  <c r="J48" i="17"/>
  <c r="X41" i="9"/>
  <c r="AH58" i="8"/>
  <c r="AH68" i="8" s="1"/>
  <c r="D33" i="4"/>
  <c r="AH83" i="8"/>
  <c r="AH85" i="8" s="1"/>
  <c r="W85" i="8"/>
  <c r="I110" i="8"/>
  <c r="I113" i="8" s="1"/>
  <c r="AH30" i="8"/>
  <c r="P48" i="8" l="1"/>
  <c r="L113" i="8"/>
  <c r="P115" i="8" s="1"/>
  <c r="W90" i="8"/>
  <c r="W110" i="8" s="1"/>
  <c r="P116" i="8"/>
  <c r="I16" i="17"/>
  <c r="C18" i="17"/>
  <c r="C30" i="17" s="1"/>
  <c r="D16" i="17"/>
  <c r="J16" i="17" s="1"/>
  <c r="J13" i="17"/>
  <c r="AE92" i="8"/>
  <c r="AH90" i="8"/>
  <c r="AH110" i="8" s="1"/>
  <c r="P82" i="8"/>
  <c r="P40" i="8"/>
  <c r="P28" i="8"/>
  <c r="P84" i="8"/>
  <c r="P101" i="8"/>
  <c r="P64" i="8"/>
  <c r="P74" i="8"/>
  <c r="P26" i="8"/>
  <c r="P81" i="8"/>
  <c r="P80" i="8"/>
  <c r="P27" i="8"/>
  <c r="P21" i="8"/>
  <c r="P15" i="8"/>
  <c r="P79" i="8"/>
  <c r="P94" i="8"/>
  <c r="P47" i="8"/>
  <c r="C8" i="10" s="1"/>
  <c r="D11" i="10" s="1"/>
  <c r="P71" i="8"/>
  <c r="P65" i="8"/>
  <c r="P95" i="8"/>
  <c r="P24" i="8"/>
  <c r="P29" i="8"/>
  <c r="P76" i="8"/>
  <c r="P105" i="8"/>
  <c r="P50" i="8"/>
  <c r="P23" i="8"/>
  <c r="P63" i="8"/>
  <c r="P16" i="8"/>
  <c r="P49" i="8"/>
  <c r="O83" i="8"/>
  <c r="P20" i="8"/>
  <c r="P96" i="8"/>
  <c r="P36" i="8"/>
  <c r="P14" i="8"/>
  <c r="P100" i="8"/>
  <c r="P107" i="8"/>
  <c r="P41" i="8"/>
  <c r="P34" i="8"/>
  <c r="P66" i="8"/>
  <c r="P35" i="8"/>
  <c r="P25" i="8"/>
  <c r="P88" i="8"/>
  <c r="Z88" i="8" s="1"/>
  <c r="P22" i="8"/>
  <c r="P106" i="8"/>
  <c r="V112" i="8"/>
  <c r="C21" i="11" l="1"/>
  <c r="P60" i="8"/>
  <c r="D92" i="10"/>
  <c r="P57" i="8"/>
  <c r="D80" i="10"/>
  <c r="P56" i="8"/>
  <c r="D66" i="10"/>
  <c r="P61" i="8"/>
  <c r="D101" i="10"/>
  <c r="P55" i="8"/>
  <c r="D52" i="10"/>
  <c r="P54" i="8"/>
  <c r="J49" i="17"/>
  <c r="D18" i="17"/>
  <c r="E41" i="4" s="1"/>
  <c r="D41" i="4"/>
  <c r="D43" i="4" s="1"/>
  <c r="M74" i="4" s="1"/>
  <c r="I19" i="17"/>
  <c r="I50" i="17"/>
  <c r="C36" i="17"/>
  <c r="C39" i="17" s="1"/>
  <c r="C43" i="17" s="1"/>
  <c r="I30" i="17"/>
  <c r="P75" i="8"/>
  <c r="AA88" i="8"/>
  <c r="P87" i="8"/>
  <c r="Z87" i="8" s="1"/>
  <c r="O89" i="8"/>
  <c r="Z80" i="8"/>
  <c r="AA80" i="8"/>
  <c r="AC80" i="8" s="1"/>
  <c r="C21" i="12"/>
  <c r="P53" i="8"/>
  <c r="O58" i="8"/>
  <c r="O67" i="8" s="1"/>
  <c r="P13" i="8"/>
  <c r="O17" i="8"/>
  <c r="O108" i="8"/>
  <c r="P104" i="8"/>
  <c r="P39" i="8"/>
  <c r="O42" i="8"/>
  <c r="P42" i="8" s="1"/>
  <c r="C16" i="10"/>
  <c r="D19" i="10" s="1"/>
  <c r="O97" i="8"/>
  <c r="P93" i="8"/>
  <c r="AA81" i="8"/>
  <c r="Z81" i="8"/>
  <c r="C29" i="12"/>
  <c r="C32" i="12"/>
  <c r="Z84" i="8"/>
  <c r="AA84" i="8"/>
  <c r="AC84" i="8" s="1"/>
  <c r="Z79" i="8"/>
  <c r="AA79" i="8"/>
  <c r="AC79" i="8" s="1"/>
  <c r="P83" i="8"/>
  <c r="C12" i="12"/>
  <c r="P99" i="8"/>
  <c r="O102" i="8"/>
  <c r="Z36" i="8"/>
  <c r="AA36" i="8"/>
  <c r="P73" i="8"/>
  <c r="O77" i="8"/>
  <c r="O85" i="8" s="1"/>
  <c r="P46" i="8"/>
  <c r="O51" i="8"/>
  <c r="O30" i="8"/>
  <c r="P19" i="8"/>
  <c r="Z82" i="8"/>
  <c r="AA82" i="8"/>
  <c r="AC82" i="8" s="1"/>
  <c r="C30" i="12"/>
  <c r="W112" i="8"/>
  <c r="W113" i="8" s="1"/>
  <c r="V113" i="8"/>
  <c r="W116" i="8" s="1"/>
  <c r="P33" i="8"/>
  <c r="O37" i="8"/>
  <c r="Z76" i="8"/>
  <c r="AA76" i="8"/>
  <c r="AC76" i="8" s="1"/>
  <c r="AA74" i="8"/>
  <c r="AC74" i="8" s="1"/>
  <c r="Z74" i="8"/>
  <c r="P70" i="8"/>
  <c r="M73" i="4" l="1"/>
  <c r="C12" i="11"/>
  <c r="C86" i="10"/>
  <c r="D90" i="10" s="1"/>
  <c r="C44" i="10"/>
  <c r="C58" i="10"/>
  <c r="C31" i="10"/>
  <c r="J50" i="17"/>
  <c r="J19" i="17"/>
  <c r="M43" i="4"/>
  <c r="C95" i="10"/>
  <c r="D99" i="10" s="1"/>
  <c r="C72" i="10"/>
  <c r="I43" i="17"/>
  <c r="I39" i="17"/>
  <c r="AC88" i="8"/>
  <c r="AA75" i="8"/>
  <c r="C31" i="11"/>
  <c r="Z75" i="8"/>
  <c r="O43" i="8"/>
  <c r="O68" i="8"/>
  <c r="H30" i="12"/>
  <c r="K30" i="12" s="1"/>
  <c r="P30" i="8"/>
  <c r="P51" i="8"/>
  <c r="Z73" i="8"/>
  <c r="AA73" i="8"/>
  <c r="P77" i="8"/>
  <c r="P85" i="8" s="1"/>
  <c r="AC36" i="8"/>
  <c r="H29" i="12"/>
  <c r="K29" i="12" s="1"/>
  <c r="P97" i="8"/>
  <c r="AA87" i="8"/>
  <c r="P89" i="8"/>
  <c r="P37" i="8"/>
  <c r="P102" i="8"/>
  <c r="C31" i="12"/>
  <c r="H12" i="12"/>
  <c r="K12" i="12" s="1"/>
  <c r="O109" i="8"/>
  <c r="Z42" i="8"/>
  <c r="AA42" i="8"/>
  <c r="P17" i="8"/>
  <c r="P58" i="8"/>
  <c r="C24" i="10"/>
  <c r="D27" i="10" s="1"/>
  <c r="K21" i="11"/>
  <c r="L21" i="11"/>
  <c r="W121" i="8"/>
  <c r="C9" i="10"/>
  <c r="AA83" i="8"/>
  <c r="Z83" i="8"/>
  <c r="H32" i="12"/>
  <c r="AC81" i="8"/>
  <c r="C17" i="10"/>
  <c r="P108" i="8"/>
  <c r="H21" i="12"/>
  <c r="K21" i="12" s="1"/>
  <c r="AC83" i="8" l="1"/>
  <c r="AE86" i="8"/>
  <c r="AE83" i="8"/>
  <c r="AE84" i="8"/>
  <c r="M18" i="10"/>
  <c r="M23" i="10"/>
  <c r="D50" i="10"/>
  <c r="D48" i="10"/>
  <c r="D35" i="10"/>
  <c r="D37" i="10"/>
  <c r="D78" i="10"/>
  <c r="D76" i="10"/>
  <c r="D62" i="10"/>
  <c r="D64" i="10"/>
  <c r="C93" i="10"/>
  <c r="C94" i="10" s="1"/>
  <c r="C53" i="10"/>
  <c r="C57" i="10" s="1"/>
  <c r="C81" i="10"/>
  <c r="C85" i="10" s="1"/>
  <c r="C67" i="10"/>
  <c r="C71" i="10" s="1"/>
  <c r="C102" i="10"/>
  <c r="C103" i="10" s="1"/>
  <c r="C40" i="10"/>
  <c r="C43" i="10" s="1"/>
  <c r="M15" i="10"/>
  <c r="M10" i="10"/>
  <c r="AC78" i="8"/>
  <c r="AC75" i="8"/>
  <c r="K32" i="12"/>
  <c r="L31" i="11"/>
  <c r="AC87" i="8"/>
  <c r="K31" i="11"/>
  <c r="O90" i="8"/>
  <c r="O110" i="8" s="1"/>
  <c r="O113" i="8" s="1"/>
  <c r="P117" i="8" s="1"/>
  <c r="E43" i="4"/>
  <c r="Z89" i="8"/>
  <c r="AA89" i="8"/>
  <c r="C25" i="10"/>
  <c r="K12" i="11"/>
  <c r="L12" i="11"/>
  <c r="AC42" i="8"/>
  <c r="Z37" i="8"/>
  <c r="P43" i="8"/>
  <c r="P109" i="8"/>
  <c r="Z77" i="8"/>
  <c r="Z30" i="8"/>
  <c r="AA30" i="8"/>
  <c r="Z17" i="8"/>
  <c r="H31" i="12"/>
  <c r="K31" i="12" s="1"/>
  <c r="AE72" i="8"/>
  <c r="AC73" i="8"/>
  <c r="P67" i="8"/>
  <c r="P68" i="8" s="1"/>
  <c r="Z51" i="8"/>
  <c r="M26" i="10" l="1"/>
  <c r="O31" i="11"/>
  <c r="E70" i="4"/>
  <c r="N74" i="4"/>
  <c r="N73" i="4"/>
  <c r="N43" i="4"/>
  <c r="AA37" i="8"/>
  <c r="AA77" i="8"/>
  <c r="AE74" i="8"/>
  <c r="Z67" i="8"/>
  <c r="AA67" i="8"/>
  <c r="AA17" i="8"/>
  <c r="AC89" i="8"/>
  <c r="AE30" i="8"/>
  <c r="AE31" i="8"/>
  <c r="AC30" i="8"/>
  <c r="AA51" i="8"/>
  <c r="P90" i="8"/>
  <c r="AA109" i="8"/>
  <c r="Z109" i="8"/>
  <c r="AC37" i="8" l="1"/>
  <c r="P110" i="8"/>
  <c r="Z90" i="8"/>
  <c r="Z110" i="8" s="1"/>
  <c r="AC17" i="8"/>
  <c r="AA90" i="8"/>
  <c r="AE85" i="8" s="1"/>
  <c r="AC77" i="8"/>
  <c r="AE78" i="8"/>
  <c r="AE77" i="8"/>
  <c r="AC67" i="8"/>
  <c r="AE67" i="8"/>
  <c r="AE68" i="8"/>
  <c r="AE51" i="8"/>
  <c r="AE52" i="8"/>
  <c r="AC51" i="8"/>
  <c r="AE109" i="8"/>
  <c r="AE110" i="8"/>
  <c r="AC109" i="8"/>
  <c r="P113" i="8" l="1"/>
  <c r="P124" i="8"/>
  <c r="AC90" i="8"/>
  <c r="AE90" i="8"/>
  <c r="AE91" i="8"/>
  <c r="AA110" i="8"/>
  <c r="AE93" i="8"/>
  <c r="P303" i="8" l="1"/>
  <c r="D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C78" authorId="0"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scbingj</author>
    <author>Siegrist Elisabeth DFO/OU-Ö</author>
  </authors>
  <commentList>
    <comment ref="C21" authorId="0"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B37" authorId="0" shapeId="0" xr:uid="{820EF438-94EA-4E33-9398-368E9670BD49}">
      <text>
        <r>
          <rPr>
            <b/>
            <sz val="9"/>
            <color indexed="81"/>
            <rFont val="Tahoma"/>
            <family val="2"/>
          </rPr>
          <t>SCB:</t>
        </r>
        <r>
          <rPr>
            <sz val="9"/>
            <color indexed="81"/>
            <rFont val="Tahoma"/>
            <family val="2"/>
          </rPr>
          <t xml:space="preserve"> Skolformen grundsärskola har bytt namn till anpassad grundskola.</t>
        </r>
        <r>
          <rPr>
            <sz val="9"/>
            <color indexed="81"/>
            <rFont val="Tahoma"/>
            <family val="2"/>
          </rPr>
          <t xml:space="preserve">
</t>
        </r>
      </text>
    </comment>
    <comment ref="B38" authorId="0" shapeId="0" xr:uid="{EA8F70FF-0D7C-40B8-B6D6-5E1C530444B6}">
      <text>
        <r>
          <rPr>
            <b/>
            <sz val="9"/>
            <color indexed="81"/>
            <rFont val="Tahoma"/>
            <family val="2"/>
          </rPr>
          <t>SCB:</t>
        </r>
        <r>
          <rPr>
            <sz val="9"/>
            <color indexed="81"/>
            <rFont val="Tahoma"/>
            <family val="2"/>
          </rPr>
          <t xml:space="preserve"> Skolformen gymnasiesärskola har bytt namn till anpassad gymnasieskola.</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B55" authorId="0" shapeId="0" xr:uid="{9F7DAEE2-4EBC-40EA-B3CD-F6A4A9C8FA07}">
      <text>
        <r>
          <rPr>
            <b/>
            <sz val="9"/>
            <color indexed="81"/>
            <rFont val="Tahoma"/>
            <family val="2"/>
          </rPr>
          <t xml:space="preserve">SCB: </t>
        </r>
        <r>
          <rPr>
            <sz val="9"/>
            <color indexed="81"/>
            <rFont val="Tahoma"/>
            <family val="2"/>
          </rPr>
          <t xml:space="preserve">Namnändring, tidigare grundsärskola. </t>
        </r>
      </text>
    </comment>
    <comment ref="B57" authorId="0" shapeId="0" xr:uid="{D67845F5-637B-4AE6-B4F1-37B7F372B0A8}">
      <text>
        <r>
          <rPr>
            <b/>
            <sz val="9"/>
            <color indexed="81"/>
            <rFont val="Tahoma"/>
            <family val="2"/>
          </rPr>
          <t xml:space="preserve">SCB: </t>
        </r>
        <r>
          <rPr>
            <sz val="9"/>
            <color indexed="81"/>
            <rFont val="Tahoma"/>
            <family val="2"/>
          </rPr>
          <t>Namnändring, tidigare Gymnasiesärskola</t>
        </r>
      </text>
    </comment>
    <comment ref="B63" authorId="0" shapeId="0" xr:uid="{D16FD25D-164F-4CF4-9B99-4B9203D638F8}">
      <text>
        <r>
          <rPr>
            <b/>
            <sz val="9"/>
            <color indexed="81"/>
            <rFont val="Tahoma"/>
            <family val="2"/>
          </rPr>
          <t xml:space="preserve">SCB: </t>
        </r>
        <r>
          <rPr>
            <sz val="9"/>
            <color indexed="81"/>
            <rFont val="Tahoma"/>
            <family val="2"/>
          </rPr>
          <t>Namnändring, tidigare särskild utbildning för vuxna.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Pettersson Åsa D/INS/FS-Ö</author>
  </authors>
  <commentList>
    <comment ref="B19" authorId="0" shapeId="0" xr:uid="{708AE500-A1CA-43DF-8D93-057CE714D664}">
      <text>
        <r>
          <rPr>
            <b/>
            <sz val="9"/>
            <color indexed="81"/>
            <rFont val="Tahoma"/>
            <family val="2"/>
          </rPr>
          <t xml:space="preserve">SCB: </t>
        </r>
        <r>
          <rPr>
            <sz val="9"/>
            <color indexed="81"/>
            <rFont val="Tahoma"/>
            <family val="2"/>
          </rPr>
          <t>Namnändring, tidigare grundsärskola</t>
        </r>
        <r>
          <rPr>
            <sz val="9"/>
            <color indexed="81"/>
            <rFont val="Tahoma"/>
            <family val="2"/>
          </rPr>
          <t xml:space="preserve">
</t>
        </r>
      </text>
    </comment>
    <comment ref="B21" authorId="0" shapeId="0" xr:uid="{F99F78D7-9D80-41D0-AE9B-8E9601AC4241}">
      <text>
        <r>
          <rPr>
            <b/>
            <sz val="9"/>
            <color indexed="81"/>
            <rFont val="Tahoma"/>
            <family val="2"/>
          </rPr>
          <t xml:space="preserve">SCB: </t>
        </r>
        <r>
          <rPr>
            <sz val="9"/>
            <color indexed="81"/>
            <rFont val="Tahoma"/>
            <family val="2"/>
          </rPr>
          <t xml:space="preserve">Namnändring, tidigare gymnasiesärskola.
</t>
        </r>
      </text>
    </comment>
    <comment ref="B24" authorId="1" shapeId="0" xr:uid="{445BBDD0-2E53-4F3D-B9E2-82D314D0CD22}">
      <text>
        <r>
          <rPr>
            <b/>
            <sz val="9"/>
            <color indexed="81"/>
            <rFont val="Tahoma"/>
            <family val="2"/>
          </rPr>
          <t xml:space="preserve">SCB: </t>
        </r>
        <r>
          <rPr>
            <sz val="9"/>
            <color indexed="81"/>
            <rFont val="Tahoma"/>
            <family val="2"/>
          </rPr>
          <t xml:space="preserve">
Namnändring, tidigare Särskild utbildning för vuxna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B44" authorId="0" shapeId="0" xr:uid="{A8CF4BF9-9B9F-4B80-85A0-F4650D09BAA5}">
      <text>
        <r>
          <rPr>
            <sz val="9"/>
            <color indexed="81"/>
            <rFont val="Tahoma"/>
            <family val="2"/>
          </rPr>
          <t>SCB: Namnändring, tidigare grundsärskola.</t>
        </r>
      </text>
    </comment>
    <comment ref="B72" authorId="0" shapeId="0" xr:uid="{B6032A76-54E1-48E5-A8D8-BE53C506C335}">
      <text>
        <r>
          <rPr>
            <sz val="9"/>
            <color indexed="81"/>
            <rFont val="Tahoma"/>
            <family val="2"/>
          </rPr>
          <t xml:space="preserve">SCB: Namnändring, tidigare gymnasiesärskola.
</t>
        </r>
      </text>
    </comment>
  </commentList>
</comments>
</file>

<file path=xl/sharedStrings.xml><?xml version="1.0" encoding="utf-8"?>
<sst xmlns="http://schemas.openxmlformats.org/spreadsheetml/2006/main" count="1573" uniqueCount="1222">
  <si>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</si>
  <si>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</si>
  <si>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</si>
  <si>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</si>
  <si>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</si>
  <si>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</si>
  <si>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</si>
  <si>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</si>
  <si>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</si>
  <si>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</si>
  <si>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</si>
  <si>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</si>
  <si>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</si>
  <si>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</si>
  <si>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</si>
  <si>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</si>
  <si>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</si>
  <si>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</si>
  <si>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</si>
  <si>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</si>
  <si>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</si>
  <si>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</si>
  <si>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</si>
  <si>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</si>
  <si>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</si>
  <si>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</si>
  <si>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</si>
  <si>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</si>
  <si>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</si>
  <si>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</si>
  <si>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</si>
  <si>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</si>
  <si>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</si>
  <si>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</si>
  <si>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</si>
  <si>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</si>
  <si>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</si>
  <si>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</si>
  <si>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</si>
  <si>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</si>
  <si>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</si>
  <si>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</si>
  <si>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</si>
  <si>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</si>
  <si>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</si>
  <si>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</si>
  <si>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</si>
  <si>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</si>
  <si>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</si>
  <si>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</si>
  <si>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</si>
  <si>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</si>
  <si>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</si>
  <si>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</si>
  <si>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</si>
  <si>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</si>
  <si>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</si>
  <si>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</si>
  <si>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</si>
  <si>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</si>
  <si>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</si>
  <si>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</si>
  <si>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</si>
  <si>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</si>
  <si>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</si>
  <si>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</si>
  <si>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</si>
  <si>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</si>
  <si>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</si>
  <si>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</si>
  <si>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</si>
  <si>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</si>
  <si>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</si>
  <si>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</si>
  <si>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</si>
  <si>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</si>
  <si>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</si>
  <si>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</si>
  <si>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</si>
  <si>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</si>
  <si>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</si>
  <si>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</si>
  <si>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</si>
  <si>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</si>
  <si>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</si>
  <si>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</si>
  <si>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</si>
  <si>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</si>
  <si>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Verksamhetens kostnad enligt RR</t>
  </si>
  <si>
    <t>Verksamhetens intäkter enl. RR</t>
  </si>
  <si>
    <t>Verksamhetens kostnader enl. RR</t>
  </si>
  <si>
    <t>Verksamhetens intäkter enl.RR</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</si>
  <si>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</si>
  <si>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</si>
  <si>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</si>
  <si>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</si>
  <si>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</si>
  <si>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</si>
  <si>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</si>
  <si>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</si>
  <si>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</si>
  <si>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</si>
  <si>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</si>
  <si>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</si>
  <si>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</si>
  <si>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</si>
  <si>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</si>
  <si>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</si>
  <si>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</si>
  <si>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</si>
  <si>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</si>
  <si>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</si>
  <si>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</si>
  <si>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</si>
  <si>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</si>
  <si>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</si>
  <si>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</si>
  <si>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</si>
  <si>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</si>
  <si>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</si>
  <si>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</si>
  <si>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</si>
  <si>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</si>
  <si>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</si>
  <si>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</si>
  <si>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</si>
  <si>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</si>
  <si>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</si>
  <si>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</si>
  <si>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</si>
  <si>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</si>
  <si>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</si>
  <si>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</si>
  <si>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</si>
  <si>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</si>
  <si>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</si>
  <si>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</si>
  <si>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</si>
  <si>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</si>
  <si>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</si>
  <si>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</si>
  <si>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</si>
  <si>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</si>
  <si>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</si>
  <si>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</si>
  <si>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</si>
  <si>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</si>
  <si>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</si>
  <si>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</si>
  <si>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</si>
  <si>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</si>
  <si>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</si>
  <si>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</si>
  <si>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</si>
  <si>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</si>
  <si>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</si>
  <si>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</si>
  <si>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</si>
  <si>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</si>
  <si>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</si>
  <si>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</si>
  <si>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</si>
  <si>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</si>
  <si>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</si>
  <si>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</si>
  <si>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</si>
  <si>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</si>
  <si>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</si>
  <si>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</si>
  <si>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</si>
  <si>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</si>
  <si>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</si>
  <si>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</si>
  <si>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</si>
  <si>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</si>
  <si>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</si>
  <si>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</si>
  <si>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</si>
  <si>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</si>
  <si>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</si>
  <si>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</si>
  <si>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</si>
  <si>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</si>
  <si>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</si>
  <si>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</si>
  <si>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</si>
  <si>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Ange kommunens kostnad för rådgivning och annat personligt stöd enl 9 § punkt 1 LSS, tkr</t>
  </si>
  <si>
    <t>Övriga tilläggsupplysningar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</si>
  <si>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</si>
  <si>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</si>
  <si>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</si>
  <si>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</si>
  <si>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</si>
  <si>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</si>
  <si>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</si>
  <si>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</si>
  <si>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</si>
  <si>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</si>
  <si>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</si>
  <si>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</si>
  <si>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</si>
  <si>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</si>
  <si>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</si>
  <si>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</si>
  <si>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</si>
  <si>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</si>
  <si>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</si>
  <si>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</si>
  <si>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</si>
  <si>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</si>
  <si>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</si>
  <si>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</si>
  <si>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</si>
  <si>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</si>
  <si>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</si>
  <si>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</si>
  <si>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</si>
  <si>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</si>
  <si>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</si>
  <si>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</si>
  <si>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</si>
  <si>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</si>
  <si>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</si>
  <si>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</si>
  <si>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</si>
  <si>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</si>
  <si>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</si>
  <si>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</si>
  <si>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</si>
  <si>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</si>
  <si>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</si>
  <si>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</si>
  <si>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</si>
  <si>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</si>
  <si>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</si>
  <si>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</si>
  <si>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</si>
  <si>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</si>
  <si>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</si>
  <si>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</si>
  <si>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</si>
  <si>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</si>
  <si>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</si>
  <si>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</si>
  <si>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</si>
  <si>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476</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</si>
  <si>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</si>
  <si>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</si>
  <si>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</si>
  <si>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</si>
  <si>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</si>
  <si>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</si>
  <si>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</si>
  <si>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</si>
  <si>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</si>
  <si>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</si>
  <si>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</si>
  <si>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</si>
  <si>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</si>
  <si>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</si>
  <si>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</si>
  <si>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</si>
  <si>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</si>
  <si>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</si>
  <si>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</si>
  <si>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</si>
  <si>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</si>
  <si>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</si>
  <si>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</si>
  <si>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</si>
  <si>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</si>
  <si>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</si>
  <si>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</si>
  <si>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</si>
  <si>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</si>
  <si>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</si>
  <si>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</si>
  <si>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</si>
  <si>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</si>
  <si>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</si>
  <si>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</si>
  <si>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</si>
  <si>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</si>
  <si>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</si>
  <si>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</si>
  <si>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</si>
  <si>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</si>
  <si>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</si>
  <si>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</si>
  <si>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</si>
  <si>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</si>
  <si>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</si>
  <si>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</si>
  <si>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</si>
  <si>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</si>
  <si>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</si>
  <si>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</si>
  <si>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</si>
  <si>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</si>
  <si>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</si>
  <si>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</si>
  <si>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</si>
  <si>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</si>
  <si>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</si>
  <si>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</si>
  <si>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</si>
  <si>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</si>
  <si>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</si>
  <si>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</si>
  <si>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</si>
  <si>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</si>
  <si>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</si>
  <si>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</si>
  <si>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</si>
  <si>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</si>
  <si>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</si>
  <si>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</si>
  <si>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</si>
  <si>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</si>
  <si>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</si>
  <si>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</si>
  <si>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</si>
  <si>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</si>
  <si>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</si>
  <si>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</si>
  <si>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</si>
  <si>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</si>
  <si>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</si>
  <si>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</si>
  <si>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</si>
  <si>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</si>
  <si>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</si>
  <si>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</si>
  <si>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108</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</si>
  <si>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</si>
  <si>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</si>
  <si>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</si>
  <si>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</si>
  <si>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</si>
  <si>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</si>
  <si>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</si>
  <si>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</si>
  <si>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</si>
  <si>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</si>
  <si>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</si>
  <si>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</si>
  <si>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</si>
  <si>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</si>
  <si>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</si>
  <si>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</si>
  <si>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</si>
  <si>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</si>
  <si>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</si>
  <si>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</si>
  <si>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</si>
  <si>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</si>
  <si>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</si>
  <si>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</si>
  <si>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</si>
  <si>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</si>
  <si>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Övriga insatser i ordinärt boende</t>
  </si>
  <si>
    <t>IB Anläggningstillgångar</t>
  </si>
  <si>
    <t>UB Anläggningstillgångar</t>
  </si>
  <si>
    <t>Insatser till personer med funktionsnedsättning (ej LSS/SFB)</t>
  </si>
  <si>
    <t>Insatser enligt LSS/SFB</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</si>
  <si>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</si>
  <si>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</si>
  <si>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</si>
  <si>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</si>
  <si>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</si>
  <si>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</si>
  <si>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</si>
  <si>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</si>
  <si>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</si>
  <si>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</si>
  <si>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</si>
  <si>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</si>
  <si>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</si>
  <si>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</si>
  <si>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</si>
  <si>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</si>
  <si>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</si>
  <si>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</si>
  <si>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</si>
  <si>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</si>
  <si>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</si>
  <si>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</si>
  <si>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</si>
  <si>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</si>
  <si>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</si>
  <si>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</si>
  <si>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</si>
  <si>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</si>
  <si>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</si>
  <si>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</si>
  <si>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</si>
  <si>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</si>
  <si>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</si>
  <si>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</si>
  <si>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</si>
  <si>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</si>
  <si>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</si>
  <si>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</si>
  <si>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</si>
  <si>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</si>
  <si>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</si>
  <si>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</si>
  <si>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</si>
  <si>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</si>
  <si>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</si>
  <si>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</si>
  <si>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</si>
  <si>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</si>
  <si>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</si>
  <si>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</si>
  <si>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</si>
  <si>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</si>
  <si>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</si>
  <si>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</si>
  <si>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</si>
  <si>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</si>
  <si>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</si>
  <si>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</si>
  <si>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</si>
  <si>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</si>
  <si>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</si>
  <si>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</si>
  <si>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</si>
  <si>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</si>
  <si>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</si>
  <si>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Övrig utbildning (rad 475+476+478)</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</si>
  <si>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</si>
  <si>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</si>
  <si>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</si>
  <si>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</si>
  <si>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</si>
  <si>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</si>
  <si>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</si>
  <si>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</si>
  <si>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</si>
  <si>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</si>
  <si>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</si>
  <si>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</si>
  <si>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</si>
  <si>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</si>
  <si>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</si>
  <si>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</si>
  <si>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</si>
  <si>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</si>
  <si>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</si>
  <si>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</si>
  <si>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</si>
  <si>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</si>
  <si>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</si>
  <si>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</si>
  <si>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</si>
  <si>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</si>
  <si>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</si>
  <si>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</si>
  <si>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</si>
  <si>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</si>
  <si>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</si>
  <si>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</si>
  <si>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</si>
  <si>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</si>
  <si>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</si>
  <si>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</si>
  <si>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</si>
  <si>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</si>
  <si>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</si>
  <si>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</si>
  <si>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</si>
  <si>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</si>
  <si>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</si>
  <si>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</si>
  <si>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</si>
  <si>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</si>
  <si>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</si>
  <si>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</si>
  <si>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</si>
  <si>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</si>
  <si>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</si>
  <si>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</si>
  <si>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</si>
  <si>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</si>
  <si>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</si>
  <si>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</si>
  <si>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</si>
  <si>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</si>
  <si>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</si>
  <si>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</si>
  <si>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</si>
  <si>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</si>
  <si>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</si>
  <si>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</si>
  <si>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</si>
  <si>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</si>
  <si>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</si>
  <si>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Differens grundskolan</t>
  </si>
  <si>
    <t>Differens gymnasieskolan</t>
  </si>
  <si>
    <t>Differens grundläggande vuxenutbildning</t>
  </si>
  <si>
    <t>Differens gymnasial vuxenutbildning</t>
  </si>
  <si>
    <t>Differens mot drift-  redovisningen</t>
  </si>
  <si>
    <t>Vård och omsorg om äldre (från motpart)</t>
  </si>
  <si>
    <t>inv 21-64 år</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</si>
  <si>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</si>
  <si>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</si>
  <si>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</si>
  <si>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</si>
  <si>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</si>
  <si>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</si>
  <si>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</si>
  <si>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</si>
  <si>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</si>
  <si>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Förskola, avgiftsfinansierringsgrad %</t>
  </si>
  <si>
    <t>Fritidshem, avgiftsfinansieringsgrad</t>
  </si>
  <si>
    <t>Soliditet, % enligt balansräkningen</t>
  </si>
  <si>
    <t>Soliditet, % inkl. pensionsåtaganden före 1998</t>
  </si>
  <si>
    <t>Långfristiga skulder exkl. utlåning till kommunägda bolag</t>
  </si>
  <si>
    <t>Verksamhetens självfinansieringsgrad</t>
  </si>
  <si>
    <t>Förs. expl.fastigheter, tomträtter [37]</t>
  </si>
  <si>
    <t>Interna lokal-kostnader</t>
  </si>
  <si>
    <t>Utlämnade lån till koncernföretag  (rad 088)</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</si>
  <si>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</si>
  <si>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</si>
  <si>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</si>
  <si>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</si>
  <si>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</si>
  <si>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</si>
  <si>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</si>
  <si>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</si>
  <si>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</si>
  <si>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</si>
  <si>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</si>
  <si>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</si>
  <si>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</si>
  <si>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</si>
  <si>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</si>
  <si>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</si>
  <si>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</si>
  <si>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</si>
  <si>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</si>
  <si>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</si>
  <si>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</si>
  <si>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</si>
  <si>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</si>
  <si>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</si>
  <si>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</si>
  <si>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</si>
  <si>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</si>
  <si>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</si>
  <si>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</si>
  <si>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</si>
  <si>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</si>
  <si>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</si>
  <si>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</si>
  <si>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</si>
  <si>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</si>
  <si>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</si>
  <si>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</si>
  <si>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</si>
  <si>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</si>
  <si>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</si>
  <si>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</si>
  <si>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</si>
  <si>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</si>
  <si>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</si>
  <si>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</si>
  <si>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</si>
  <si>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</si>
  <si>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</si>
  <si>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</si>
  <si>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</si>
  <si>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</si>
  <si>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</si>
  <si>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</si>
  <si>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</si>
  <si>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</si>
  <si>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</si>
  <si>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</si>
  <si>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</si>
  <si>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</si>
  <si>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</si>
  <si>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</si>
  <si>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</si>
  <si>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</si>
  <si>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</si>
  <si>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</si>
  <si>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</si>
  <si>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</si>
  <si>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</si>
  <si>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</si>
  <si>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</si>
  <si>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</si>
  <si>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</si>
  <si>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</si>
  <si>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</si>
  <si>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</si>
  <si>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</si>
  <si>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</si>
  <si>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</si>
  <si>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</si>
  <si>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</si>
  <si>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</si>
  <si>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</si>
  <si>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</si>
  <si>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r>
      <t>Omsättningstillgångar</t>
    </r>
    <r>
      <rPr>
        <sz val="7"/>
        <rFont val="Helvetica"/>
        <family val="2"/>
      </rPr>
      <t xml:space="preserve">                                       </t>
    </r>
  </si>
  <si>
    <t>Rad-</t>
  </si>
  <si>
    <t>Text</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</si>
  <si>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</si>
  <si>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</si>
  <si>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</si>
  <si>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</si>
  <si>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</si>
  <si>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</si>
  <si>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</si>
  <si>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</si>
  <si>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</si>
  <si>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</si>
  <si>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</si>
  <si>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</si>
  <si>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</si>
  <si>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</si>
  <si>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</si>
  <si>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</si>
  <si>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</si>
  <si>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</si>
  <si>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</si>
  <si>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</si>
  <si>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</si>
  <si>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</si>
  <si>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</si>
  <si>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</si>
  <si>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</si>
  <si>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</si>
  <si>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</si>
  <si>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Eget kapital, ingående värde</t>
  </si>
  <si>
    <t>221</t>
  </si>
  <si>
    <t>222</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</si>
  <si>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</si>
  <si>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</si>
  <si>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</si>
  <si>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</si>
  <si>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</si>
  <si>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</si>
  <si>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</si>
  <si>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</si>
  <si>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</si>
  <si>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</si>
  <si>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</si>
  <si>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</si>
  <si>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</si>
  <si>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</si>
  <si>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</si>
  <si>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</si>
  <si>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</si>
  <si>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</si>
  <si>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</si>
  <si>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</si>
  <si>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</si>
  <si>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</si>
  <si>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</si>
  <si>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</si>
  <si>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</si>
  <si>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</si>
  <si>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</si>
  <si>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</si>
  <si>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</si>
  <si>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</si>
  <si>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</si>
  <si>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</si>
  <si>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</si>
  <si>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</si>
  <si>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</si>
  <si>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</si>
  <si>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</si>
  <si>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</si>
  <si>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</si>
  <si>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</si>
  <si>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</si>
  <si>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</si>
  <si>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</si>
  <si>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</si>
  <si>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</si>
  <si>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</si>
  <si>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</si>
  <si>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</si>
  <si>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</si>
  <si>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</si>
  <si>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</si>
  <si>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</si>
  <si>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</si>
  <si>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</si>
  <si>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</si>
  <si>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</si>
  <si>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</si>
  <si>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</si>
  <si>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</si>
  <si>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</si>
  <si>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</si>
  <si>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</si>
  <si>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</si>
  <si>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</si>
  <si>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</si>
  <si>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</si>
  <si>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</si>
  <si>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</si>
  <si>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</si>
  <si>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</si>
  <si>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</si>
  <si>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</si>
  <si>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</si>
  <si>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</si>
  <si>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</si>
  <si>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</si>
  <si>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</si>
  <si>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</si>
  <si>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</si>
  <si>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</si>
  <si>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</si>
  <si>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</si>
  <si>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</si>
  <si>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</si>
  <si>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</si>
  <si>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</si>
  <si>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</si>
  <si>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Borgensförbindelser och övriga ansvarsförbindelser</t>
  </si>
  <si>
    <t>Förskola, fritidshem o annan pedagogisk verksamhet, totalt</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</si>
  <si>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</si>
  <si>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</si>
  <si>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</si>
  <si>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</si>
  <si>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</si>
  <si>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</si>
  <si>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</si>
  <si>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</si>
  <si>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</si>
  <si>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</si>
  <si>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Förändring av avsättning</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</si>
  <si>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</si>
  <si>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</si>
  <si>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</si>
  <si>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</si>
  <si>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</si>
  <si>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</si>
  <si>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</si>
  <si>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</si>
  <si>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</si>
  <si>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</si>
  <si>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</si>
  <si>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</si>
  <si>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</si>
  <si>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</si>
  <si>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</si>
  <si>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</si>
  <si>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</si>
  <si>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</si>
  <si>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</si>
  <si>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</si>
  <si>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</si>
  <si>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</si>
  <si>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</si>
  <si>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</si>
  <si>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</si>
  <si>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</si>
  <si>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</si>
  <si>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238</t>
  </si>
  <si>
    <t>232, 239</t>
  </si>
  <si>
    <t>Upplupna sociala avgifter</t>
  </si>
  <si>
    <t>62, 691</t>
  </si>
  <si>
    <t>361, 363, 365</t>
  </si>
  <si>
    <t>Övriga främmande tjänster</t>
  </si>
  <si>
    <t>781, 782,784</t>
  </si>
  <si>
    <t>Pensionsutbetalningar intjänade fr.o.m.98</t>
  </si>
  <si>
    <t>Generella bidrag från staten  m.m.</t>
  </si>
  <si>
    <t>[46]</t>
  </si>
  <si>
    <t>Köp av huvudverksamhet [46]</t>
  </si>
  <si>
    <t>verksamhet [46]</t>
  </si>
  <si>
    <t>617, 618</t>
  </si>
  <si>
    <t>63, 695</t>
  </si>
  <si>
    <t>361, 363</t>
  </si>
  <si>
    <t>361</t>
  </si>
  <si>
    <t>Därav köp av huvudverksamhet</t>
  </si>
  <si>
    <t>Motpartsredovisning av köp av huvudverksamhet [46]</t>
  </si>
  <si>
    <t>341</t>
  </si>
  <si>
    <t>651</t>
  </si>
  <si>
    <t>317</t>
  </si>
  <si>
    <t>327</t>
  </si>
  <si>
    <t>087</t>
  </si>
  <si>
    <t>062</t>
  </si>
  <si>
    <t>064</t>
  </si>
  <si>
    <t xml:space="preserve">6192, 692, 696 </t>
  </si>
  <si>
    <t>Differens mellan summan av rad 900-984 och RR rad 070</t>
  </si>
  <si>
    <t>Enskilda personer, hushåll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</si>
  <si>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</si>
  <si>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</si>
  <si>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</si>
  <si>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</si>
  <si>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</si>
  <si>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</si>
  <si>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Reaförluster o div. period. [78 "ej 787,"]</t>
  </si>
  <si>
    <t>138</t>
  </si>
  <si>
    <t>Grundfondskapital</t>
  </si>
  <si>
    <t>133, 134</t>
  </si>
  <si>
    <t>132, 137</t>
  </si>
  <si>
    <t>104</t>
  </si>
  <si>
    <t>[31]</t>
  </si>
  <si>
    <t>Buss, bil och spårbundna persontransporter</t>
  </si>
  <si>
    <t>Väg- och järnvägsnät, parkering</t>
  </si>
  <si>
    <t xml:space="preserve">Lärverktyg </t>
  </si>
  <si>
    <t>Varor m.m.</t>
  </si>
  <si>
    <t>Kommun-                  nyckel</t>
  </si>
  <si>
    <t>SCB-             nyckel</t>
  </si>
  <si>
    <t xml:space="preserve">             Fördelning i kolumnen kommunnyckel </t>
  </si>
  <si>
    <t xml:space="preserve">             Fördelning i kolumnen SCB-nyckel</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</si>
  <si>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</si>
  <si>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</si>
  <si>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</si>
  <si>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</si>
  <si>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</si>
  <si>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</si>
  <si>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</si>
  <si>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</si>
  <si>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</si>
  <si>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</si>
  <si>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</si>
  <si>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</si>
  <si>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</si>
  <si>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</si>
  <si>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</si>
  <si>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</si>
  <si>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</si>
  <si>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</si>
  <si>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</si>
  <si>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</si>
  <si>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</si>
  <si>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</si>
  <si>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</si>
  <si>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</si>
  <si>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</si>
  <si>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</si>
  <si>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</si>
  <si>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</si>
  <si>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</si>
  <si>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</si>
  <si>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</si>
  <si>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</si>
  <si>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</si>
  <si>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</si>
  <si>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</si>
  <si>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</si>
  <si>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</si>
  <si>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</si>
  <si>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</si>
  <si>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</si>
  <si>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</si>
  <si>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</si>
  <si>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</si>
  <si>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</si>
  <si>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</si>
  <si>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</si>
  <si>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</si>
  <si>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</si>
  <si>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</si>
  <si>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</si>
  <si>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</si>
  <si>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</si>
  <si>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</si>
  <si>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</si>
  <si>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</si>
  <si>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</si>
  <si>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</si>
  <si>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</si>
  <si>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</si>
  <si>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</si>
  <si>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</si>
  <si>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</si>
  <si>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 xml:space="preserve">      varav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</si>
  <si>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</si>
  <si>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</si>
  <si>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</si>
  <si>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</si>
  <si>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</si>
  <si>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</si>
  <si>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</si>
  <si>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</si>
  <si>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</si>
  <si>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</si>
  <si>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</si>
  <si>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</si>
  <si>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</si>
  <si>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</si>
  <si>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</si>
  <si>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</si>
  <si>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Pensionsutbetalningar</t>
  </si>
  <si>
    <t>Uppdragsutbildning m.m.</t>
  </si>
  <si>
    <t>Avgifter till utjämningssystemen</t>
  </si>
  <si>
    <t>(Reavinst vid) Försälj. av anl.tillg.[38]</t>
  </si>
  <si>
    <t>Nyckeltal kostnad kr per invånare eller andel av verksamhet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</si>
  <si>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</si>
  <si>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</si>
  <si>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</si>
  <si>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</si>
  <si>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</si>
  <si>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</si>
  <si>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</si>
  <si>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</si>
  <si>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</si>
  <si>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</si>
  <si>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</si>
  <si>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</si>
  <si>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</si>
  <si>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</si>
  <si>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</si>
  <si>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</si>
  <si>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</si>
  <si>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</si>
  <si>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</si>
  <si>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</si>
  <si>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</si>
  <si>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</si>
  <si>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Intern hantering inom kommunen: Synnerliga skäl att inte täcka underskott eller andra interna justeringar</t>
  </si>
  <si>
    <t>avgår: övriga justeringar</t>
  </si>
  <si>
    <t>tillägg: övriga justeringar</t>
  </si>
  <si>
    <t>varav synnerliga skäl för att inte behöva återställa ett negativt resultat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</si>
  <si>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</si>
  <si>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</si>
  <si>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</si>
  <si>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</si>
  <si>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</si>
  <si>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</si>
  <si>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</si>
  <si>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</si>
  <si>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</si>
  <si>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Avskrivningar, inklusive nedskrivningar</t>
  </si>
  <si>
    <t>bindelser (inklusive borgens- o förlustansvar                   småhus)</t>
  </si>
  <si>
    <t>Pensionsförplikt.    Inkl. löneskatt på</t>
  </si>
  <si>
    <t xml:space="preserve"> som inte har upptagits bland skulder el. avsättningar                pensionsförpliktelse</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</si>
  <si>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</si>
  <si>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</si>
  <si>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</si>
  <si>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</si>
  <si>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</si>
  <si>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</si>
  <si>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</si>
  <si>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</si>
  <si>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</si>
  <si>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</si>
  <si>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</si>
  <si>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</si>
  <si>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</si>
  <si>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</si>
  <si>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</si>
  <si>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</si>
  <si>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</si>
  <si>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</si>
  <si>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</si>
  <si>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</si>
  <si>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</si>
  <si>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</si>
  <si>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</si>
  <si>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</si>
  <si>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</si>
  <si>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</si>
  <si>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</si>
  <si>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</si>
  <si>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</si>
  <si>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</si>
  <si>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</si>
  <si>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</si>
  <si>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</si>
  <si>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</si>
  <si>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</si>
  <si>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</si>
  <si>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</si>
  <si>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</si>
  <si>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</si>
  <si>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</si>
  <si>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</si>
  <si>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</si>
  <si>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</si>
  <si>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</si>
  <si>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</si>
  <si>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</si>
  <si>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</si>
  <si>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</si>
  <si>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</si>
  <si>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del av 238</t>
  </si>
  <si>
    <t>del av 23</t>
  </si>
  <si>
    <t>del av 228</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</si>
  <si>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</si>
  <si>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</si>
  <si>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</si>
  <si>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</si>
  <si>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</si>
  <si>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</si>
  <si>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</si>
  <si>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</si>
  <si>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</si>
  <si>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</si>
  <si>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</si>
  <si>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</si>
  <si>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</si>
  <si>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</si>
  <si>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</si>
  <si>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</si>
  <si>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Därav                                köp av huvud-verksamhet</t>
  </si>
  <si>
    <t>Differens mellan summan av rad 800-844 och RR rad 060:</t>
  </si>
  <si>
    <t>Självrisker</t>
  </si>
  <si>
    <t>Infriad borgen</t>
  </si>
  <si>
    <t>Avgifter</t>
  </si>
  <si>
    <t>Nämnare nyckeltal och kommentar till kontroller</t>
  </si>
  <si>
    <t>Följande jämförelsestörande poster ingår i Resultaträkningen ovan:</t>
  </si>
  <si>
    <t>170</t>
  </si>
  <si>
    <t>175</t>
  </si>
  <si>
    <t>180</t>
  </si>
  <si>
    <t>del av 16</t>
  </si>
  <si>
    <t>Fördelad gemensam verksamhet (rad 920)</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</si>
  <si>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</si>
  <si>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</si>
  <si>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</si>
  <si>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</si>
  <si>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</si>
  <si>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</si>
  <si>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</si>
  <si>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</si>
  <si>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</si>
  <si>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</si>
  <si>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</si>
  <si>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</si>
  <si>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</si>
  <si>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</si>
  <si>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</si>
  <si>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</si>
  <si>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</si>
  <si>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</si>
  <si>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</si>
  <si>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</si>
  <si>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</si>
  <si>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</si>
  <si>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</si>
  <si>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</si>
  <si>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</si>
  <si>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</si>
  <si>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</si>
  <si>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</si>
  <si>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</si>
  <si>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</si>
  <si>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</si>
  <si>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</si>
  <si>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</si>
  <si>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</si>
  <si>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</si>
  <si>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</si>
  <si>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</si>
  <si>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</si>
  <si>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</si>
  <si>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</si>
  <si>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</si>
  <si>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</si>
  <si>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</si>
  <si>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</si>
  <si>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</si>
  <si>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</si>
  <si>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</si>
  <si>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</si>
  <si>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</si>
  <si>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</si>
  <si>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</si>
  <si>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</si>
  <si>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Verksamhetens resultat</t>
  </si>
  <si>
    <t>[50-51, 53, 54, 55x2, 5598, del av 591]</t>
  </si>
  <si>
    <t>Soc.avg o pens.utbet./kostn. (56(ej 5635), del av 591, 57 (ej572)</t>
  </si>
  <si>
    <t>Förändr.pens.avs.[572] o.särsk.lönesk.pens.avs.[5635], del av 591</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</si>
  <si>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</si>
  <si>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</si>
  <si>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</si>
  <si>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</si>
  <si>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</si>
  <si>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Kommunalförbund och SKR</t>
  </si>
  <si>
    <t>Kostn.ers. o rikt bidrag, MP Arbetsförmedlingen</t>
  </si>
  <si>
    <t>Kostn.ers. o rikt.bidrag, MP kommuner, komm.förb. o region</t>
  </si>
  <si>
    <t>Kostn.ers. o rikt. bidrag, MP staten o statl. myndigh exkl AF, ej invest</t>
  </si>
  <si>
    <t>Förs. av v-het. till region</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</si>
  <si>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</si>
  <si>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</si>
  <si>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</si>
  <si>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</si>
  <si>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</si>
  <si>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</si>
  <si>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</si>
  <si>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</si>
  <si>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</si>
  <si>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</si>
  <si>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</si>
  <si>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</si>
  <si>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Obligations- och förlagslån</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</si>
  <si>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</si>
  <si>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</si>
  <si>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</si>
  <si>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</si>
  <si>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</si>
  <si>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</si>
  <si>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</si>
  <si>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[40"ej 401", 41"ej 418", 43, 617, 618, 62, 64-65, 691]</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</si>
  <si>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</si>
  <si>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</si>
  <si>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</si>
  <si>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</si>
  <si>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</si>
  <si>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</si>
  <si>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</si>
  <si>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</si>
  <si>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</si>
  <si>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</si>
  <si>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</si>
  <si>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[55x1, 5597, 60,"ej 601", 61"ej 617,618", 63, 66, 68, 69"ej 691", 70-72, 731-734, 74, 75, 76, 787]</t>
  </si>
  <si>
    <t>[601 (interna poster)]</t>
  </si>
  <si>
    <t xml:space="preserve">Försäljning av mark, brutto </t>
  </si>
  <si>
    <t>79,                  852 (interna poster) ]</t>
  </si>
  <si>
    <t>+/- Omklassificeringar mellan kontogrupper</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</si>
  <si>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</si>
  <si>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</si>
  <si>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</si>
  <si>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</si>
  <si>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</si>
  <si>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</si>
  <si>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</si>
  <si>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</si>
  <si>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</si>
  <si>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</si>
  <si>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</si>
  <si>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</si>
  <si>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</si>
  <si>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</si>
  <si>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</si>
  <si>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</si>
  <si>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</si>
  <si>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</si>
  <si>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</si>
  <si>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</si>
  <si>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</si>
  <si>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</si>
  <si>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EGET KAPITAL, UTGÅENDE VÄRDE</t>
  </si>
  <si>
    <t>Justering av eget kapital, ingående värde</t>
  </si>
  <si>
    <t>Övrig justeringar i eget kapital</t>
  </si>
  <si>
    <t xml:space="preserve">        därav resultatutjämningsreserv</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</si>
  <si>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</si>
  <si>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</si>
  <si>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</si>
  <si>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</si>
  <si>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</si>
  <si>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</si>
  <si>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</si>
  <si>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</si>
  <si>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</si>
  <si>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</si>
  <si>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</si>
  <si>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</si>
  <si>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</si>
  <si>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</si>
  <si>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</si>
  <si>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</si>
  <si>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</si>
  <si>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</si>
  <si>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</si>
  <si>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</si>
  <si>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</si>
  <si>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</si>
  <si>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</si>
  <si>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</si>
  <si>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</si>
  <si>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</si>
  <si>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</si>
  <si>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</si>
  <si>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</si>
  <si>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</si>
  <si>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</si>
  <si>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</si>
  <si>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</si>
  <si>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</si>
  <si>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</si>
  <si>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</si>
  <si>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</si>
  <si>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</si>
  <si>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</si>
  <si>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</si>
  <si>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</si>
  <si>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</si>
  <si>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</si>
  <si>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</si>
  <si>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</si>
  <si>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</si>
  <si>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</si>
  <si>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</si>
  <si>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</si>
  <si>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</si>
  <si>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</si>
  <si>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</si>
  <si>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</si>
  <si>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</si>
  <si>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</si>
  <si>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</si>
  <si>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</si>
  <si>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</si>
  <si>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</si>
  <si>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</si>
  <si>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</si>
  <si>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</si>
  <si>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</si>
  <si>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</si>
  <si>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Komvux, anpassad utbildning</t>
  </si>
  <si>
    <t>Grundskola inkl förskoleklass och anpassad grundskola</t>
  </si>
  <si>
    <t>Gymnasieskola inkl anpassad gymnasieskola</t>
  </si>
  <si>
    <t>RIKSTOTAL</t>
  </si>
  <si>
    <t>Kommunernas finanser</t>
  </si>
  <si>
    <t>Räkenskapssammandraget 2023</t>
  </si>
  <si>
    <t>Värde Mnkr</t>
  </si>
  <si>
    <t>Därav interna intäkter</t>
  </si>
  <si>
    <t>Publiceringsdatum: 240614</t>
  </si>
  <si>
    <t>Kommunen 
2023</t>
  </si>
  <si>
    <r>
      <t xml:space="preserve">till 50 % av kommunen, anges på raden för fastighetsverksamhet. I beloppet ska bolagets samtliga investeringsutgifter/inkomster </t>
    </r>
    <r>
      <rPr>
        <i/>
        <sz val="8"/>
        <rFont val="Helvetica"/>
        <family val="2"/>
      </rPr>
      <t>avseende materiella och immateriella</t>
    </r>
    <r>
      <rPr>
        <i/>
        <sz val="8"/>
        <color rgb="FFFF0000"/>
        <rFont val="Helvetica"/>
        <family val="2"/>
      </rPr>
      <t xml:space="preserve"> </t>
    </r>
    <r>
      <rPr>
        <i/>
        <sz val="8"/>
        <rFont val="Helvetica"/>
        <family val="2"/>
      </rPr>
      <t>anläggningstillgångar</t>
    </r>
    <r>
      <rPr>
        <sz val="8"/>
        <rFont val="Helvetica"/>
        <family val="2"/>
      </rPr>
      <t xml:space="preserve"> ingå, dvs. inte enbart fastighetsinvesteringar.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</si>
</sst>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kr&quot;#,##0_);[Red]\(&quot;kr&quot;#,##0\)"/>
    <numFmt numFmtId="165" formatCode="_(* #,##0.00_);_(* \(#,##0.00\);_(* &quot;-&quot;??_);_(@_)"/>
    <numFmt numFmtId="166" formatCode="000"/>
    <numFmt numFmtId="167" formatCode="###,###,###"/>
    <numFmt numFmtId="168" formatCode=";;;"/>
    <numFmt numFmtId="169" formatCode="#,##0.0000"/>
    <numFmt numFmtId="170" formatCode="0.0000"/>
    <numFmt numFmtId="171" formatCode="###,##0"/>
    <numFmt numFmtId="172" formatCode="#,###"/>
    <numFmt numFmtId="173" formatCode="#,##0.0000000"/>
    <numFmt numFmtId="174" formatCode="#\ ##0"/>
  </numFmts>
  <fonts count="150">
    <font>
      <sz val="10"/>
      <name val="Arial"/>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8"/>
      <name val="Arial"/>
      <family val="2"/>
    </font>
    <font>
      <sz val="7"/>
      <color indexed="10"/>
      <name val="Arial"/>
      <family val="2"/>
    </font>
    <font>
      <sz val="10"/>
      <color indexed="39"/>
      <name val="Helvetica"/>
      <family val="2"/>
    </font>
    <font>
      <b/>
      <sz val="9"/>
      <name val="Arial"/>
      <family val="2"/>
    </font>
    <font>
      <sz val="10"/>
      <color indexed="9"/>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7"/>
      <name val="Helvetica "/>
    </font>
    <font>
      <sz val="8"/>
      <color indexed="9"/>
      <name val="Helvetica"/>
      <family val="2"/>
    </font>
    <font>
      <sz val="8"/>
      <color indexed="9"/>
      <name val="Cambria"/>
      <family val="1"/>
    </font>
    <font>
      <sz val="10"/>
      <color indexed="9"/>
      <name val="Cambria"/>
      <family val="1"/>
    </font>
    <font>
      <sz val="7"/>
      <name val="Cambria"/>
      <family val="1"/>
    </font>
    <font>
      <sz val="6.5"/>
      <name val="Helvetica"/>
      <family val="2"/>
    </font>
    <font>
      <sz val="9"/>
      <color indexed="81"/>
      <name val="Tahoma"/>
      <family val="2"/>
    </font>
    <font>
      <b/>
      <sz val="9"/>
      <color indexed="81"/>
      <name val="Tahoma"/>
      <family val="2"/>
    </font>
    <font>
      <sz val="11"/>
      <color theme="1"/>
      <name val="Calibri"/>
      <family val="2"/>
      <scheme val="minor"/>
    </font>
    <font>
      <sz val="11"/>
      <color rgb="FF9C0006"/>
      <name val="Calibri"/>
      <family val="2"/>
      <scheme val="minor"/>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theme="7" tint="0.59999389629810485"/>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sz val="8"/>
      <color rgb="FFFFFFCC"/>
      <name val="Helvetica"/>
      <family val="2"/>
    </font>
    <font>
      <b/>
      <sz val="7"/>
      <color rgb="FFFFFFCC"/>
      <name val="Helvetica"/>
      <family val="2"/>
    </font>
    <font>
      <sz val="7"/>
      <color rgb="FFFF0000"/>
      <name val="Helvetica"/>
      <family val="2"/>
    </font>
    <font>
      <sz val="7"/>
      <color indexed="1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7"/>
      <color theme="0"/>
      <name val="Helvetica"/>
      <family val="2"/>
    </font>
    <font>
      <b/>
      <sz val="8"/>
      <color indexed="10"/>
      <name val="Tahoma"/>
      <family val="2"/>
    </font>
    <font>
      <sz val="7"/>
      <color rgb="FFFF0000"/>
      <name val="Helvetica"/>
      <family val="2"/>
    </font>
    <font>
      <sz val="7"/>
      <color rgb="FFFF0000"/>
      <name val="Calibri"/>
      <family val="2"/>
      <scheme val="minor"/>
    </font>
    <font>
      <sz val="10"/>
      <name val="Arial"/>
      <family val="2"/>
    </font>
    <font>
      <b/>
      <sz val="10"/>
      <color rgb="FFFFFFC0"/>
      <name val="Helvetica"/>
      <family val="2"/>
    </font>
    <font>
      <sz val="26"/>
      <name val="Arial"/>
      <family val="2"/>
    </font>
    <font>
      <i/>
      <sz val="8"/>
      <name val="Helvetica"/>
      <family val="2"/>
    </font>
  </fonts>
  <fills count="40">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gray125">
        <fgColor indexed="22"/>
        <bgColor theme="0"/>
      </patternFill>
    </fill>
    <fill>
      <patternFill patternType="solid">
        <fgColor theme="0"/>
        <bgColor indexed="64"/>
      </patternFill>
    </fill>
    <fill>
      <patternFill patternType="solid">
        <fgColor rgb="FFFFFFE5"/>
        <bgColor indexed="64"/>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solid">
        <fgColor indexed="9"/>
        <bgColor theme="0"/>
      </patternFill>
    </fill>
    <fill>
      <patternFill patternType="solid">
        <fgColor rgb="FFFFFFFF"/>
        <bgColor indexed="64"/>
      </patternFill>
    </fill>
    <fill>
      <patternFill patternType="solid">
        <fgColor rgb="FFFFFFCC"/>
        <bgColor rgb="FFFFFFFF"/>
      </patternFill>
    </fill>
    <fill>
      <patternFill patternType="solid">
        <fgColor rgb="FFFFFFFF"/>
        <bgColor indexed="22"/>
      </patternFill>
    </fill>
    <fill>
      <patternFill patternType="solid">
        <fgColor rgb="FFFFFFFF"/>
        <bgColor rgb="FFFFFFFF"/>
      </patternFill>
    </fill>
    <fill>
      <patternFill patternType="lightGray">
        <fgColor rgb="FF00CCFF"/>
        <bgColor rgb="FFFFFFFF"/>
      </patternFill>
    </fill>
  </fills>
  <borders count="314">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hair">
        <color indexed="64"/>
      </left>
      <right style="medium">
        <color indexed="64"/>
      </right>
      <top style="thin">
        <color indexed="64"/>
      </top>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rgb="FF000000"/>
      </right>
      <top style="medium">
        <color indexed="64"/>
      </top>
      <bottom/>
      <diagonal/>
    </border>
    <border>
      <left style="hair">
        <color indexed="64"/>
      </left>
      <right style="medium">
        <color rgb="FF000000"/>
      </right>
      <top/>
      <bottom/>
      <diagonal/>
    </border>
    <border>
      <left style="hair">
        <color indexed="64"/>
      </left>
      <right style="medium">
        <color rgb="FF000000"/>
      </right>
      <top/>
      <bottom style="thin">
        <color indexed="64"/>
      </bottom>
      <diagonal/>
    </border>
    <border>
      <left style="hair">
        <color indexed="64"/>
      </left>
      <right style="medium">
        <color rgb="FF000000"/>
      </right>
      <top style="thin">
        <color indexed="64"/>
      </top>
      <bottom style="medium">
        <color indexed="64"/>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medium">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medium">
        <color indexed="64"/>
      </bottom>
      <diagonal/>
    </border>
    <border>
      <left style="hair">
        <color indexed="64"/>
      </left>
      <right style="medium">
        <color rgb="FF000000"/>
      </right>
      <top style="hair">
        <color indexed="64"/>
      </top>
      <bottom style="hair">
        <color indexed="64"/>
      </bottom>
      <diagonal/>
    </border>
    <border>
      <left/>
      <right style="medium">
        <color rgb="FF000000"/>
      </right>
      <top/>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hair">
        <color indexed="64"/>
      </top>
      <bottom style="hair">
        <color indexed="64"/>
      </bottom>
      <diagonal/>
    </border>
    <border>
      <left style="hair">
        <color indexed="64"/>
      </left>
      <right style="medium">
        <color rgb="FF000000"/>
      </right>
      <top style="hair">
        <color indexed="64"/>
      </top>
      <bottom style="thin">
        <color indexed="64"/>
      </bottom>
      <diagonal/>
    </border>
    <border>
      <left/>
      <right style="medium">
        <color rgb="FF000000"/>
      </right>
      <top style="hair">
        <color indexed="64"/>
      </top>
      <bottom style="medium">
        <color indexed="64"/>
      </bottom>
      <diagonal/>
    </border>
    <border>
      <left style="hair">
        <color indexed="64"/>
      </left>
      <right style="medium">
        <color rgb="FF000000"/>
      </right>
      <top style="thin">
        <color indexed="64"/>
      </top>
      <bottom style="thin">
        <color indexed="64"/>
      </bottom>
      <diagonal/>
    </border>
    <border>
      <left style="hair">
        <color indexed="64"/>
      </left>
      <right style="medium">
        <color rgb="FF000000"/>
      </right>
      <top style="medium">
        <color indexed="64"/>
      </top>
      <bottom style="hair">
        <color indexed="64"/>
      </bottom>
      <diagonal/>
    </border>
    <border>
      <left/>
      <right style="medium">
        <color rgb="FF000000"/>
      </right>
      <top style="medium">
        <color indexed="64"/>
      </top>
      <bottom style="hair">
        <color indexed="64"/>
      </bottom>
      <diagonal/>
    </border>
    <border>
      <left/>
      <right style="medium">
        <color rgb="FF000000"/>
      </right>
      <top/>
      <bottom style="hair">
        <color indexed="64"/>
      </bottom>
      <diagonal/>
    </border>
    <border>
      <left/>
      <right style="medium">
        <color rgb="FF000000"/>
      </right>
      <top style="hair">
        <color indexed="64"/>
      </top>
      <bottom/>
      <diagonal/>
    </border>
    <border>
      <left/>
      <right style="medium">
        <color rgb="FF000000"/>
      </right>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style="hair">
        <color indexed="64"/>
      </top>
      <bottom style="hair">
        <color indexed="64"/>
      </bottom>
      <diagonal/>
    </border>
    <border>
      <left style="medium">
        <color rgb="FF000000"/>
      </left>
      <right style="thin">
        <color indexed="64"/>
      </right>
      <top style="hair">
        <color indexed="64"/>
      </top>
      <bottom style="medium">
        <color indexed="64"/>
      </bottom>
      <diagonal/>
    </border>
    <border>
      <left style="medium">
        <color rgb="FF000000"/>
      </left>
      <right style="thin">
        <color indexed="64"/>
      </right>
      <top style="medium">
        <color indexed="64"/>
      </top>
      <bottom style="hair">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hair">
        <color indexed="64"/>
      </bottom>
      <diagonal/>
    </border>
    <border>
      <left style="medium">
        <color rgb="FF000000"/>
      </left>
      <right style="thin">
        <color indexed="64"/>
      </right>
      <top style="hair">
        <color indexed="64"/>
      </top>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hair">
        <color indexed="64"/>
      </bottom>
      <diagonal/>
    </border>
    <border>
      <left style="medium">
        <color indexed="64"/>
      </left>
      <right style="medium">
        <color rgb="FF000000"/>
      </right>
      <top style="hair">
        <color indexed="64"/>
      </top>
      <bottom style="hair">
        <color indexed="64"/>
      </bottom>
      <diagonal/>
    </border>
    <border>
      <left style="medium">
        <color indexed="64"/>
      </left>
      <right style="medium">
        <color rgb="FF000000"/>
      </right>
      <top style="medium">
        <color indexed="64"/>
      </top>
      <bottom style="hair">
        <color indexed="64"/>
      </bottom>
      <diagonal/>
    </border>
    <border>
      <left style="medium">
        <color indexed="64"/>
      </left>
      <right style="medium">
        <color rgb="FF000000"/>
      </right>
      <top/>
      <bottom style="hair">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hair">
        <color indexed="64"/>
      </top>
      <bottom/>
      <diagonal/>
    </border>
    <border>
      <left style="medium">
        <color indexed="64"/>
      </left>
      <right style="medium">
        <color rgb="FF000000"/>
      </right>
      <top style="hair">
        <color indexed="64"/>
      </top>
      <bottom style="medium">
        <color indexed="64"/>
      </bottom>
      <diagonal/>
    </border>
    <border>
      <left style="medium">
        <color indexed="64"/>
      </left>
      <right style="medium">
        <color rgb="FF000000"/>
      </right>
      <top style="hair">
        <color indexed="64"/>
      </top>
      <bottom style="thick">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style="medium">
        <color indexed="64"/>
      </right>
      <top/>
      <bottom style="thick">
        <color indexed="64"/>
      </bottom>
      <diagonal/>
    </border>
    <border>
      <left/>
      <right style="medium">
        <color rgb="FF000000"/>
      </right>
      <top/>
      <bottom style="thin">
        <color indexed="64"/>
      </bottom>
      <diagonal/>
    </border>
    <border>
      <left style="hair">
        <color indexed="64"/>
      </left>
      <right style="medium">
        <color rgb="FF000000"/>
      </right>
      <top style="thin">
        <color indexed="64"/>
      </top>
      <bottom/>
      <diagonal/>
    </border>
    <border>
      <left style="thin">
        <color rgb="FF000000"/>
      </left>
      <right/>
      <top style="medium">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diagonal/>
    </border>
    <border>
      <left style="thin">
        <color rgb="FF000000"/>
      </left>
      <right/>
      <top/>
      <bottom style="medium">
        <color indexed="64"/>
      </bottom>
      <diagonal/>
    </border>
    <border>
      <left/>
      <right style="medium">
        <color rgb="FF000000"/>
      </right>
      <top style="medium">
        <color indexed="64"/>
      </top>
      <bottom/>
      <diagonal/>
    </border>
    <border>
      <left/>
      <right/>
      <top/>
      <bottom style="medium">
        <color rgb="FF000000"/>
      </bottom>
      <diagonal/>
    </border>
    <border>
      <left style="medium">
        <color rgb="FF000000"/>
      </left>
      <right/>
      <top style="hair">
        <color indexed="64"/>
      </top>
      <bottom style="medium">
        <color rgb="FF000000"/>
      </bottom>
      <diagonal/>
    </border>
    <border>
      <left style="medium">
        <color rgb="FF000000"/>
      </left>
      <right/>
      <top/>
      <bottom/>
      <diagonal/>
    </border>
    <border>
      <left style="medium">
        <color rgb="FF000000"/>
      </left>
      <right style="hair">
        <color indexed="64"/>
      </right>
      <top style="hair">
        <color indexed="64"/>
      </top>
      <bottom style="hair">
        <color indexed="64"/>
      </bottom>
      <diagonal/>
    </border>
    <border>
      <left style="medium">
        <color rgb="FF000000"/>
      </left>
      <right/>
      <top/>
      <bottom style="medium">
        <color rgb="FF000000"/>
      </bottom>
      <diagonal/>
    </border>
    <border>
      <left style="medium">
        <color rgb="FF000000"/>
      </left>
      <right style="hair">
        <color indexed="64"/>
      </right>
      <top/>
      <bottom style="hair">
        <color indexed="64"/>
      </bottom>
      <diagonal/>
    </border>
    <border>
      <left style="medium">
        <color rgb="FF000000"/>
      </left>
      <right style="hair">
        <color indexed="64"/>
      </right>
      <top/>
      <bottom style="medium">
        <color indexed="64"/>
      </bottom>
      <diagonal/>
    </border>
    <border>
      <left style="thin">
        <color indexed="64"/>
      </left>
      <right style="medium">
        <color rgb="FF000000"/>
      </right>
      <top/>
      <bottom style="thin">
        <color indexed="64"/>
      </bottom>
      <diagonal/>
    </border>
    <border>
      <left style="hair">
        <color indexed="64"/>
      </left>
      <right style="medium">
        <color rgb="FF000000"/>
      </right>
      <top style="thin">
        <color indexed="64"/>
      </top>
      <bottom style="hair">
        <color indexed="64"/>
      </bottom>
      <diagonal/>
    </border>
    <border>
      <left/>
      <right style="medium">
        <color rgb="FF000000"/>
      </right>
      <top/>
      <bottom style="medium">
        <color rgb="FF000000"/>
      </bottom>
      <diagonal/>
    </border>
    <border>
      <left style="medium">
        <color rgb="FF000000"/>
      </left>
      <right/>
      <top style="medium">
        <color indexed="64"/>
      </top>
      <bottom/>
      <diagonal/>
    </border>
    <border>
      <left style="medium">
        <color rgb="FF000000"/>
      </left>
      <right/>
      <top/>
      <bottom style="thin">
        <color indexed="64"/>
      </bottom>
      <diagonal/>
    </border>
    <border>
      <left style="medium">
        <color rgb="FF000000"/>
      </left>
      <right/>
      <top style="thin">
        <color indexed="64"/>
      </top>
      <bottom/>
      <diagonal/>
    </border>
    <border>
      <left style="medium">
        <color rgb="FF000000"/>
      </left>
      <right/>
      <top/>
      <bottom style="medium">
        <color indexed="64"/>
      </bottom>
      <diagonal/>
    </border>
    <border>
      <left style="medium">
        <color rgb="FF000000"/>
      </left>
      <right/>
      <top/>
      <bottom style="hair">
        <color indexed="64"/>
      </bottom>
      <diagonal/>
    </border>
    <border>
      <left/>
      <right style="medium">
        <color rgb="FF000000"/>
      </right>
      <top style="thin">
        <color indexed="64"/>
      </top>
      <bottom/>
      <diagonal/>
    </border>
    <border>
      <left style="medium">
        <color rgb="FF000000"/>
      </left>
      <right/>
      <top style="medium">
        <color rgb="FF000000"/>
      </top>
      <bottom style="hair">
        <color indexed="64"/>
      </bottom>
      <diagonal/>
    </border>
    <border>
      <left/>
      <right style="medium">
        <color rgb="FF000000"/>
      </right>
      <top style="medium">
        <color rgb="FF000000"/>
      </top>
      <bottom style="hair">
        <color indexed="64"/>
      </bottom>
      <diagonal/>
    </border>
    <border>
      <left/>
      <right style="hair">
        <color indexed="64"/>
      </right>
      <top style="hair">
        <color indexed="64"/>
      </top>
      <bottom style="thin">
        <color indexed="64"/>
      </bottom>
      <diagonal/>
    </border>
    <border>
      <left style="thin">
        <color rgb="FF000000"/>
      </left>
      <right/>
      <top style="hair">
        <color indexed="64"/>
      </top>
      <bottom/>
      <diagonal/>
    </border>
  </borders>
  <cellStyleXfs count="17">
    <xf numFmtId="0" fontId="0" fillId="0" borderId="0"/>
    <xf numFmtId="0" fontId="109" fillId="19" borderId="224" applyNumberFormat="0" applyFont="0" applyAlignment="0" applyProtection="0"/>
    <xf numFmtId="0" fontId="109" fillId="19" borderId="224" applyNumberFormat="0" applyFont="0" applyAlignment="0" applyProtection="0"/>
    <xf numFmtId="0" fontId="110" fillId="20" borderId="0" applyNumberFormat="0" applyBorder="0" applyAlignment="0" applyProtection="0"/>
    <xf numFmtId="0" fontId="57" fillId="0" borderId="0" applyNumberFormat="0" applyFill="0" applyBorder="0" applyAlignment="0" applyProtection="0">
      <alignment vertical="top"/>
      <protection locked="0"/>
    </xf>
    <xf numFmtId="0" fontId="24" fillId="0" borderId="0"/>
    <xf numFmtId="0" fontId="24" fillId="0" borderId="0"/>
    <xf numFmtId="0" fontId="109" fillId="0" borderId="0"/>
    <xf numFmtId="0" fontId="109" fillId="0" borderId="0"/>
    <xf numFmtId="0" fontId="19" fillId="0" borderId="0"/>
    <xf numFmtId="0" fontId="35" fillId="0" borderId="0"/>
    <xf numFmtId="0" fontId="1" fillId="0" borderId="0"/>
    <xf numFmtId="9" fontId="34" fillId="0" borderId="0" applyFont="0" applyFill="0" applyBorder="0" applyAlignment="0" applyProtection="0"/>
    <xf numFmtId="9" fontId="24" fillId="0" borderId="0" applyFont="0" applyFill="0" applyBorder="0" applyAlignment="0" applyProtection="0"/>
    <xf numFmtId="38" fontId="23" fillId="0" borderId="0" applyFont="0" applyFill="0" applyBorder="0" applyAlignment="0" applyProtection="0"/>
    <xf numFmtId="164" fontId="23" fillId="0" borderId="0" applyFont="0" applyFill="0" applyBorder="0" applyAlignment="0" applyProtection="0"/>
    <xf numFmtId="165" fontId="146" fillId="0" borderId="0" applyFont="0" applyFill="0" applyBorder="0" applyAlignment="0" applyProtection="0"/>
  </cellStyleXfs>
  <cellXfs count="2651">
    <xf numFmtId="0" fontId="0" fillId="0" borderId="0" xfId="0"/>
    <xf numFmtId="0" fontId="1" fillId="0" borderId="0" xfId="0" applyFont="1" applyProtection="1"/>
    <xf numFmtId="0" fontId="20"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0" fillId="2" borderId="0" xfId="0" applyFill="1" applyProtection="1"/>
    <xf numFmtId="0" fontId="1" fillId="2" borderId="0" xfId="0" applyFont="1" applyFill="1" applyProtection="1"/>
    <xf numFmtId="49" fontId="3" fillId="2" borderId="0" xfId="0" applyNumberFormat="1" applyFont="1" applyFill="1" applyBorder="1" applyAlignment="1" applyProtection="1">
      <alignment horizontal="left"/>
    </xf>
    <xf numFmtId="1" fontId="3" fillId="2" borderId="0" xfId="0" applyNumberFormat="1" applyFont="1" applyFill="1" applyBorder="1" applyAlignment="1" applyProtection="1">
      <alignment horizontal="left"/>
    </xf>
    <xf numFmtId="0" fontId="3" fillId="2" borderId="0" xfId="0" applyFont="1" applyFill="1" applyBorder="1" applyProtection="1"/>
    <xf numFmtId="3" fontId="1" fillId="2" borderId="0" xfId="0" applyNumberFormat="1" applyFont="1" applyFill="1" applyBorder="1" applyProtection="1"/>
    <xf numFmtId="0" fontId="7" fillId="2" borderId="0" xfId="0" applyFont="1" applyFill="1" applyBorder="1" applyProtection="1"/>
    <xf numFmtId="0" fontId="8" fillId="2" borderId="0" xfId="0" applyFont="1" applyFill="1" applyBorder="1" applyProtection="1"/>
    <xf numFmtId="0" fontId="1" fillId="2" borderId="0" xfId="0" applyFont="1" applyFill="1" applyBorder="1" applyProtection="1"/>
    <xf numFmtId="0" fontId="8" fillId="2" borderId="0" xfId="0" applyFont="1" applyFill="1" applyProtection="1"/>
    <xf numFmtId="3" fontId="4" fillId="2" borderId="0" xfId="0" applyNumberFormat="1" applyFont="1" applyFill="1" applyBorder="1" applyProtection="1"/>
    <xf numFmtId="166" fontId="11" fillId="0" borderId="1" xfId="0" applyNumberFormat="1" applyFont="1" applyFill="1" applyBorder="1" applyAlignment="1" applyProtection="1">
      <alignment horizontal="center" vertical="center"/>
    </xf>
    <xf numFmtId="0" fontId="13" fillId="2" borderId="0" xfId="0" applyFont="1" applyFill="1" applyBorder="1" applyAlignment="1" applyProtection="1">
      <alignment horizontal="left"/>
    </xf>
    <xf numFmtId="1" fontId="16" fillId="0" borderId="0" xfId="0" applyNumberFormat="1" applyFont="1" applyFill="1" applyBorder="1" applyAlignment="1" applyProtection="1">
      <alignment horizontal="center"/>
    </xf>
    <xf numFmtId="0" fontId="16" fillId="0" borderId="0" xfId="0" applyFont="1" applyFill="1" applyBorder="1" applyProtection="1"/>
    <xf numFmtId="3" fontId="13" fillId="0" borderId="0" xfId="0" applyNumberFormat="1" applyFont="1" applyFill="1" applyBorder="1" applyProtection="1"/>
    <xf numFmtId="3" fontId="13" fillId="2" borderId="2" xfId="0" applyNumberFormat="1" applyFont="1" applyFill="1" applyBorder="1" applyAlignment="1" applyProtection="1">
      <alignment horizontal="right"/>
      <protection locked="0"/>
    </xf>
    <xf numFmtId="3" fontId="13" fillId="2" borderId="3" xfId="0" applyNumberFormat="1" applyFont="1" applyFill="1" applyBorder="1" applyAlignment="1" applyProtection="1">
      <alignment horizontal="right"/>
      <protection locked="0"/>
    </xf>
    <xf numFmtId="3" fontId="13" fillId="2" borderId="4" xfId="0" applyNumberFormat="1" applyFont="1" applyFill="1" applyBorder="1" applyAlignment="1" applyProtection="1">
      <alignment horizontal="right"/>
      <protection locked="0"/>
    </xf>
    <xf numFmtId="3" fontId="13" fillId="2" borderId="5" xfId="0" applyNumberFormat="1" applyFont="1" applyFill="1" applyBorder="1" applyAlignment="1" applyProtection="1">
      <alignment horizontal="right"/>
      <protection locked="0"/>
    </xf>
    <xf numFmtId="3" fontId="13" fillId="2" borderId="6" xfId="0" applyNumberFormat="1" applyFont="1" applyFill="1" applyBorder="1" applyAlignment="1" applyProtection="1">
      <alignment horizontal="right"/>
      <protection locked="0"/>
    </xf>
    <xf numFmtId="3" fontId="13" fillId="2" borderId="7" xfId="0" applyNumberFormat="1" applyFont="1" applyFill="1" applyBorder="1" applyAlignment="1" applyProtection="1">
      <alignment horizontal="right"/>
      <protection locked="0"/>
    </xf>
    <xf numFmtId="3" fontId="13" fillId="3" borderId="6" xfId="0" applyNumberFormat="1" applyFont="1" applyFill="1" applyBorder="1" applyAlignment="1" applyProtection="1">
      <alignment horizontal="right"/>
    </xf>
    <xf numFmtId="3" fontId="13" fillId="2" borderId="8" xfId="0" applyNumberFormat="1" applyFont="1" applyFill="1" applyBorder="1" applyAlignment="1" applyProtection="1">
      <alignment horizontal="right"/>
      <protection locked="0"/>
    </xf>
    <xf numFmtId="3" fontId="13" fillId="2" borderId="9" xfId="0" applyNumberFormat="1" applyFont="1" applyFill="1" applyBorder="1" applyAlignment="1" applyProtection="1">
      <alignment horizontal="right"/>
      <protection locked="0"/>
    </xf>
    <xf numFmtId="3" fontId="13" fillId="2" borderId="10" xfId="0" applyNumberFormat="1" applyFont="1" applyFill="1" applyBorder="1" applyAlignment="1" applyProtection="1">
      <alignment horizontal="right"/>
      <protection locked="0"/>
    </xf>
    <xf numFmtId="3" fontId="13" fillId="2" borderId="0" xfId="0" applyNumberFormat="1" applyFont="1" applyFill="1" applyBorder="1" applyProtection="1"/>
    <xf numFmtId="3" fontId="13" fillId="2" borderId="0" xfId="0" applyNumberFormat="1" applyFont="1" applyFill="1" applyBorder="1" applyAlignment="1" applyProtection="1">
      <alignment horizontal="right"/>
    </xf>
    <xf numFmtId="0" fontId="25" fillId="2" borderId="0" xfId="0" applyFont="1" applyFill="1" applyBorder="1" applyProtection="1"/>
    <xf numFmtId="3" fontId="8" fillId="2" borderId="0" xfId="0" applyNumberFormat="1" applyFont="1" applyFill="1" applyBorder="1" applyProtection="1"/>
    <xf numFmtId="3" fontId="8" fillId="2" borderId="0" xfId="0" applyNumberFormat="1" applyFont="1" applyFill="1" applyBorder="1" applyAlignment="1" applyProtection="1"/>
    <xf numFmtId="0" fontId="25" fillId="2" borderId="0" xfId="0" applyFont="1" applyFill="1" applyProtection="1"/>
    <xf numFmtId="0" fontId="55" fillId="2" borderId="0" xfId="0" applyFont="1" applyFill="1" applyBorder="1" applyAlignment="1" applyProtection="1">
      <alignment vertical="top"/>
    </xf>
    <xf numFmtId="168" fontId="8" fillId="2" borderId="0" xfId="0" applyNumberFormat="1" applyFont="1" applyFill="1" applyBorder="1" applyProtection="1"/>
    <xf numFmtId="3" fontId="13" fillId="2" borderId="0" xfId="0" applyNumberFormat="1" applyFont="1" applyFill="1" applyBorder="1" applyAlignment="1" applyProtection="1">
      <alignment horizontal="left"/>
    </xf>
    <xf numFmtId="3" fontId="5" fillId="2" borderId="0" xfId="0" applyNumberFormat="1" applyFont="1" applyFill="1" applyBorder="1" applyProtection="1"/>
    <xf numFmtId="0" fontId="13" fillId="2" borderId="0" xfId="0" applyFont="1" applyFill="1" applyBorder="1" applyProtection="1"/>
    <xf numFmtId="1" fontId="39" fillId="2" borderId="0" xfId="0" applyNumberFormat="1" applyFont="1" applyFill="1" applyBorder="1" applyAlignment="1" applyProtection="1">
      <alignment horizontal="left"/>
    </xf>
    <xf numFmtId="167" fontId="46" fillId="2" borderId="0" xfId="0" applyNumberFormat="1" applyFont="1" applyFill="1" applyBorder="1" applyProtection="1"/>
    <xf numFmtId="3" fontId="36" fillId="2" borderId="0" xfId="0" applyNumberFormat="1" applyFont="1" applyFill="1" applyProtection="1"/>
    <xf numFmtId="0" fontId="7" fillId="2" borderId="0" xfId="0" applyFont="1" applyFill="1" applyProtection="1"/>
    <xf numFmtId="0" fontId="3" fillId="2" borderId="0" xfId="0" applyFont="1" applyFill="1" applyProtection="1"/>
    <xf numFmtId="3" fontId="7" fillId="2" borderId="11" xfId="0" applyNumberFormat="1" applyFont="1" applyFill="1" applyBorder="1" applyProtection="1"/>
    <xf numFmtId="3" fontId="7" fillId="2" borderId="0" xfId="0" applyNumberFormat="1" applyFont="1" applyFill="1" applyBorder="1" applyProtection="1"/>
    <xf numFmtId="3" fontId="8" fillId="4" borderId="0" xfId="0" applyNumberFormat="1" applyFont="1" applyFill="1" applyBorder="1" applyProtection="1"/>
    <xf numFmtId="3" fontId="13" fillId="5"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left"/>
    </xf>
    <xf numFmtId="3" fontId="13" fillId="5" borderId="0" xfId="0" applyNumberFormat="1" applyFont="1" applyFill="1" applyBorder="1" applyAlignment="1" applyProtection="1"/>
    <xf numFmtId="3" fontId="2" fillId="2" borderId="5" xfId="0" applyNumberFormat="1" applyFont="1" applyFill="1" applyBorder="1" applyAlignment="1" applyProtection="1">
      <alignment horizontal="right"/>
      <protection locked="0"/>
    </xf>
    <xf numFmtId="3" fontId="2" fillId="2" borderId="12" xfId="0" applyNumberFormat="1" applyFont="1" applyFill="1" applyBorder="1" applyAlignment="1" applyProtection="1">
      <alignment horizontal="right"/>
      <protection locked="0"/>
    </xf>
    <xf numFmtId="3" fontId="52" fillId="2" borderId="0" xfId="0" applyNumberFormat="1" applyFont="1" applyFill="1" applyBorder="1" applyProtection="1"/>
    <xf numFmtId="3" fontId="13" fillId="6" borderId="0" xfId="0" applyNumberFormat="1" applyFont="1" applyFill="1" applyBorder="1" applyAlignment="1" applyProtection="1">
      <alignment horizontal="right"/>
    </xf>
    <xf numFmtId="3" fontId="13" fillId="6" borderId="0" xfId="0" applyNumberFormat="1" applyFont="1" applyFill="1" applyBorder="1" applyAlignment="1" applyProtection="1"/>
    <xf numFmtId="0" fontId="63" fillId="2" borderId="0" xfId="0" applyFont="1" applyFill="1" applyBorder="1" applyAlignment="1" applyProtection="1"/>
    <xf numFmtId="0" fontId="65" fillId="2" borderId="0" xfId="0" quotePrefix="1" applyFont="1" applyFill="1" applyBorder="1" applyAlignment="1" applyProtection="1"/>
    <xf numFmtId="0" fontId="66" fillId="2" borderId="0" xfId="0" applyNumberFormat="1" applyFont="1" applyFill="1" applyProtection="1">
      <protection hidden="1"/>
    </xf>
    <xf numFmtId="0" fontId="66" fillId="2" borderId="0" xfId="0" applyNumberFormat="1" applyFont="1" applyFill="1" applyProtection="1"/>
    <xf numFmtId="0" fontId="67" fillId="2" borderId="0" xfId="0" applyNumberFormat="1" applyFont="1" applyFill="1" applyProtection="1"/>
    <xf numFmtId="0" fontId="67" fillId="2" borderId="0" xfId="0" applyFont="1" applyFill="1" applyProtection="1"/>
    <xf numFmtId="3" fontId="3" fillId="2" borderId="0" xfId="0" applyNumberFormat="1" applyFont="1" applyFill="1" applyBorder="1" applyProtection="1"/>
    <xf numFmtId="3" fontId="2" fillId="2" borderId="2" xfId="0" applyNumberFormat="1" applyFont="1" applyFill="1" applyBorder="1" applyAlignment="1" applyProtection="1">
      <alignment horizontal="right"/>
      <protection locked="0"/>
    </xf>
    <xf numFmtId="0" fontId="9" fillId="2" borderId="0" xfId="0" applyFont="1" applyFill="1" applyProtection="1"/>
    <xf numFmtId="168" fontId="9" fillId="2" borderId="0" xfId="0" applyNumberFormat="1" applyFont="1" applyFill="1" applyProtection="1"/>
    <xf numFmtId="0" fontId="37" fillId="2" borderId="0" xfId="0" applyFont="1" applyFill="1" applyProtection="1"/>
    <xf numFmtId="0" fontId="68" fillId="2" borderId="0" xfId="0" applyFont="1" applyFill="1" applyProtection="1"/>
    <xf numFmtId="0" fontId="36" fillId="2" borderId="0" xfId="0" applyFont="1" applyFill="1" applyBorder="1" applyAlignment="1" applyProtection="1">
      <alignment horizontal="left" vertical="top"/>
    </xf>
    <xf numFmtId="3" fontId="2" fillId="0" borderId="0" xfId="0" applyNumberFormat="1" applyFont="1" applyFill="1" applyBorder="1" applyAlignment="1" applyProtection="1">
      <alignment horizontal="right"/>
    </xf>
    <xf numFmtId="3" fontId="5" fillId="4" borderId="0" xfId="0" applyNumberFormat="1" applyFont="1" applyFill="1" applyBorder="1" applyProtection="1"/>
    <xf numFmtId="0" fontId="55" fillId="2" borderId="0" xfId="0" applyFont="1" applyFill="1" applyAlignment="1" applyProtection="1">
      <alignment vertical="top"/>
    </xf>
    <xf numFmtId="0" fontId="51" fillId="2" borderId="0" xfId="0" applyFont="1" applyFill="1" applyAlignment="1" applyProtection="1"/>
    <xf numFmtId="0" fontId="51" fillId="2" borderId="0" xfId="0" applyFont="1" applyFill="1" applyAlignment="1" applyProtection="1">
      <alignment vertical="top"/>
    </xf>
    <xf numFmtId="0" fontId="33" fillId="7" borderId="0" xfId="0" applyFont="1" applyFill="1" applyBorder="1" applyAlignment="1" applyProtection="1">
      <alignment horizontal="left"/>
    </xf>
    <xf numFmtId="0" fontId="30" fillId="7" borderId="0" xfId="0" applyFont="1" applyFill="1" applyBorder="1" applyAlignment="1" applyProtection="1">
      <alignment horizontal="left"/>
    </xf>
    <xf numFmtId="0" fontId="3" fillId="0" borderId="0" xfId="0" applyFont="1" applyFill="1" applyProtection="1"/>
    <xf numFmtId="3" fontId="2" fillId="8" borderId="13" xfId="0" applyNumberFormat="1" applyFont="1" applyFill="1" applyBorder="1" applyAlignment="1" applyProtection="1">
      <alignment horizontal="right"/>
    </xf>
    <xf numFmtId="3" fontId="2" fillId="9" borderId="14" xfId="0" applyNumberFormat="1" applyFont="1" applyFill="1" applyBorder="1" applyAlignment="1" applyProtection="1">
      <alignment horizontal="right"/>
    </xf>
    <xf numFmtId="3" fontId="2" fillId="9" borderId="9" xfId="0" applyNumberFormat="1" applyFont="1" applyFill="1" applyBorder="1" applyAlignment="1" applyProtection="1">
      <alignment horizontal="right"/>
    </xf>
    <xf numFmtId="3" fontId="2" fillId="9" borderId="7" xfId="0" applyNumberFormat="1" applyFont="1" applyFill="1" applyBorder="1" applyAlignment="1" applyProtection="1">
      <alignment horizontal="right"/>
    </xf>
    <xf numFmtId="3" fontId="2" fillId="9" borderId="15" xfId="0" applyNumberFormat="1" applyFont="1" applyFill="1" applyBorder="1" applyAlignment="1" applyProtection="1">
      <alignment horizontal="right"/>
    </xf>
    <xf numFmtId="3" fontId="2" fillId="9" borderId="17" xfId="0" applyNumberFormat="1" applyFont="1" applyFill="1" applyBorder="1" applyAlignment="1" applyProtection="1">
      <alignment horizontal="right"/>
    </xf>
    <xf numFmtId="3" fontId="2" fillId="9" borderId="5" xfId="0" applyNumberFormat="1" applyFont="1" applyFill="1" applyBorder="1" applyAlignment="1" applyProtection="1">
      <alignment horizontal="right"/>
    </xf>
    <xf numFmtId="0" fontId="5" fillId="0" borderId="0" xfId="0" applyFont="1" applyFill="1" applyBorder="1" applyAlignment="1" applyProtection="1">
      <alignment horizontal="left"/>
    </xf>
    <xf numFmtId="0" fontId="5" fillId="0" borderId="0" xfId="0" applyFont="1" applyFill="1" applyBorder="1" applyProtection="1"/>
    <xf numFmtId="0" fontId="3" fillId="0" borderId="0" xfId="0" applyFont="1" applyFill="1" applyBorder="1" applyAlignment="1" applyProtection="1">
      <alignment horizontal="left"/>
    </xf>
    <xf numFmtId="0" fontId="33" fillId="7" borderId="0" xfId="0" applyFont="1" applyFill="1" applyAlignment="1" applyProtection="1">
      <alignment vertical="top"/>
    </xf>
    <xf numFmtId="0" fontId="31" fillId="7" borderId="0" xfId="0" applyFont="1" applyFill="1" applyProtection="1"/>
    <xf numFmtId="0" fontId="32" fillId="7" borderId="0" xfId="0" applyFont="1" applyFill="1" applyProtection="1"/>
    <xf numFmtId="0" fontId="33" fillId="7" borderId="0" xfId="0" quotePrefix="1" applyFont="1" applyFill="1" applyBorder="1" applyAlignment="1" applyProtection="1">
      <alignment horizontal="left"/>
    </xf>
    <xf numFmtId="0" fontId="60" fillId="7" borderId="0" xfId="0" applyFont="1" applyFill="1" applyProtection="1"/>
    <xf numFmtId="0" fontId="61" fillId="7" borderId="0" xfId="0" applyFont="1" applyFill="1" applyProtection="1"/>
    <xf numFmtId="168" fontId="61" fillId="7" borderId="0" xfId="0" applyNumberFormat="1" applyFont="1" applyFill="1" applyProtection="1"/>
    <xf numFmtId="3" fontId="2" fillId="9" borderId="9" xfId="0" applyNumberFormat="1" applyFont="1" applyFill="1" applyBorder="1" applyProtection="1"/>
    <xf numFmtId="3" fontId="2" fillId="9" borderId="5" xfId="0" applyNumberFormat="1" applyFont="1" applyFill="1" applyBorder="1" applyProtection="1"/>
    <xf numFmtId="3" fontId="2" fillId="2" borderId="18" xfId="0" applyNumberFormat="1" applyFont="1" applyFill="1" applyBorder="1" applyAlignment="1" applyProtection="1">
      <alignment horizontal="right"/>
      <protection locked="0"/>
    </xf>
    <xf numFmtId="3" fontId="13" fillId="2" borderId="18" xfId="0" applyNumberFormat="1" applyFont="1" applyFill="1" applyBorder="1" applyAlignment="1" applyProtection="1">
      <alignment horizontal="right"/>
      <protection locked="0"/>
    </xf>
    <xf numFmtId="3" fontId="13" fillId="2" borderId="19" xfId="0" applyNumberFormat="1" applyFont="1" applyFill="1" applyBorder="1" applyAlignment="1" applyProtection="1">
      <alignment horizontal="right"/>
      <protection locked="0"/>
    </xf>
    <xf numFmtId="3" fontId="13" fillId="2" borderId="20" xfId="0" applyNumberFormat="1" applyFont="1" applyFill="1" applyBorder="1" applyAlignment="1" applyProtection="1">
      <alignment horizontal="right"/>
      <protection locked="0"/>
    </xf>
    <xf numFmtId="3" fontId="13" fillId="2" borderId="21" xfId="0" applyNumberFormat="1" applyFont="1" applyFill="1" applyBorder="1" applyAlignment="1" applyProtection="1">
      <alignment horizontal="right"/>
      <protection locked="0"/>
    </xf>
    <xf numFmtId="3" fontId="13" fillId="2" borderId="22" xfId="0" applyNumberFormat="1" applyFont="1" applyFill="1" applyBorder="1" applyAlignment="1" applyProtection="1">
      <alignment horizontal="right"/>
      <protection locked="0"/>
    </xf>
    <xf numFmtId="3" fontId="13" fillId="3" borderId="19" xfId="0" applyNumberFormat="1" applyFont="1" applyFill="1" applyBorder="1" applyAlignment="1" applyProtection="1">
      <alignment horizontal="right"/>
    </xf>
    <xf numFmtId="3" fontId="13" fillId="2" borderId="23" xfId="0" applyNumberFormat="1" applyFont="1" applyFill="1" applyBorder="1" applyAlignment="1" applyProtection="1">
      <alignment horizontal="right"/>
      <protection locked="0"/>
    </xf>
    <xf numFmtId="3" fontId="13" fillId="2" borderId="24" xfId="0" applyNumberFormat="1" applyFont="1" applyFill="1" applyBorder="1" applyAlignment="1" applyProtection="1">
      <alignment horizontal="right"/>
      <protection locked="0"/>
    </xf>
    <xf numFmtId="3" fontId="13" fillId="2" borderId="25" xfId="0" applyNumberFormat="1" applyFont="1" applyFill="1" applyBorder="1" applyAlignment="1" applyProtection="1">
      <alignment horizontal="right"/>
      <protection locked="0"/>
    </xf>
    <xf numFmtId="3" fontId="13" fillId="2" borderId="26" xfId="0" applyNumberFormat="1" applyFont="1" applyFill="1" applyBorder="1" applyAlignment="1" applyProtection="1">
      <alignment horizontal="right"/>
      <protection locked="0"/>
    </xf>
    <xf numFmtId="0" fontId="5" fillId="2" borderId="0" xfId="0" applyFont="1" applyFill="1" applyBorder="1" applyProtection="1"/>
    <xf numFmtId="0" fontId="8" fillId="4" borderId="0" xfId="0" applyFont="1" applyFill="1" applyBorder="1" applyProtection="1"/>
    <xf numFmtId="3" fontId="13" fillId="5" borderId="27" xfId="0" applyNumberFormat="1" applyFont="1" applyFill="1" applyBorder="1" applyAlignment="1" applyProtection="1">
      <alignment horizontal="right"/>
    </xf>
    <xf numFmtId="3" fontId="13" fillId="2" borderId="28" xfId="0" applyNumberFormat="1" applyFont="1" applyFill="1" applyBorder="1" applyAlignment="1" applyProtection="1">
      <alignment horizontal="right"/>
      <protection locked="0"/>
    </xf>
    <xf numFmtId="3" fontId="13" fillId="2" borderId="29" xfId="0" applyNumberFormat="1" applyFont="1" applyFill="1" applyBorder="1" applyAlignment="1" applyProtection="1">
      <alignment horizontal="right"/>
      <protection locked="0"/>
    </xf>
    <xf numFmtId="3" fontId="13" fillId="2" borderId="30" xfId="0" applyNumberFormat="1" applyFont="1" applyFill="1" applyBorder="1" applyAlignment="1" applyProtection="1">
      <alignment horizontal="right"/>
      <protection locked="0"/>
    </xf>
    <xf numFmtId="3" fontId="13" fillId="3" borderId="31" xfId="0" applyNumberFormat="1" applyFont="1" applyFill="1" applyBorder="1" applyAlignment="1" applyProtection="1">
      <alignment horizontal="right"/>
    </xf>
    <xf numFmtId="3" fontId="13" fillId="3" borderId="29" xfId="0" applyNumberFormat="1" applyFont="1" applyFill="1" applyBorder="1" applyAlignment="1" applyProtection="1">
      <alignment horizontal="right"/>
    </xf>
    <xf numFmtId="3" fontId="13" fillId="3" borderId="32" xfId="0" applyNumberFormat="1" applyFont="1" applyFill="1" applyBorder="1" applyAlignment="1" applyProtection="1">
      <alignment horizontal="right"/>
    </xf>
    <xf numFmtId="3" fontId="13" fillId="2" borderId="32" xfId="0" applyNumberFormat="1" applyFont="1" applyFill="1" applyBorder="1" applyAlignment="1" applyProtection="1">
      <alignment horizontal="right"/>
      <protection locked="0"/>
    </xf>
    <xf numFmtId="3" fontId="2" fillId="9" borderId="33" xfId="0" applyNumberFormat="1" applyFont="1" applyFill="1" applyBorder="1" applyProtection="1"/>
    <xf numFmtId="3" fontId="2" fillId="9" borderId="34" xfId="0" applyNumberFormat="1" applyFont="1" applyFill="1" applyBorder="1" applyAlignment="1" applyProtection="1">
      <alignment horizontal="right"/>
    </xf>
    <xf numFmtId="3" fontId="2" fillId="9" borderId="35" xfId="0" applyNumberFormat="1" applyFont="1" applyFill="1" applyBorder="1" applyAlignment="1" applyProtection="1">
      <alignment horizontal="right"/>
    </xf>
    <xf numFmtId="0" fontId="3" fillId="10" borderId="36" xfId="0" applyFont="1" applyFill="1" applyBorder="1" applyAlignment="1" applyProtection="1">
      <alignment horizontal="center"/>
    </xf>
    <xf numFmtId="0" fontId="3" fillId="10" borderId="37" xfId="0" applyFont="1" applyFill="1" applyBorder="1" applyAlignment="1" applyProtection="1">
      <alignment horizontal="center"/>
    </xf>
    <xf numFmtId="0" fontId="3" fillId="10" borderId="38" xfId="0" applyFont="1" applyFill="1" applyBorder="1" applyAlignment="1" applyProtection="1">
      <alignment horizontal="center"/>
    </xf>
    <xf numFmtId="0" fontId="36" fillId="2" borderId="0" xfId="0" applyFont="1" applyFill="1" applyBorder="1" applyProtection="1"/>
    <xf numFmtId="3" fontId="7" fillId="2" borderId="39" xfId="0" applyNumberFormat="1" applyFont="1" applyFill="1" applyBorder="1" applyProtection="1"/>
    <xf numFmtId="3" fontId="38" fillId="2" borderId="39" xfId="0" applyNumberFormat="1" applyFont="1" applyFill="1" applyBorder="1" applyAlignment="1" applyProtection="1">
      <alignment horizontal="left"/>
    </xf>
    <xf numFmtId="3" fontId="2" fillId="9" borderId="40" xfId="0" applyNumberFormat="1" applyFont="1" applyFill="1" applyBorder="1" applyAlignment="1" applyProtection="1">
      <alignment horizontal="right"/>
    </xf>
    <xf numFmtId="3" fontId="2" fillId="9" borderId="20" xfId="0" applyNumberFormat="1" applyFont="1" applyFill="1" applyBorder="1" applyAlignment="1" applyProtection="1">
      <alignment horizontal="right"/>
    </xf>
    <xf numFmtId="3" fontId="2" fillId="9" borderId="41" xfId="0" applyNumberFormat="1" applyFont="1" applyFill="1" applyBorder="1" applyAlignment="1" applyProtection="1">
      <alignment horizontal="right"/>
    </xf>
    <xf numFmtId="0" fontId="33" fillId="7" borderId="0" xfId="5" applyFont="1" applyFill="1" applyBorder="1" applyAlignment="1" applyProtection="1">
      <alignment horizontal="left"/>
    </xf>
    <xf numFmtId="0" fontId="30" fillId="7" borderId="0" xfId="5" applyFont="1" applyFill="1" applyBorder="1" applyAlignment="1" applyProtection="1">
      <alignment horizontal="left"/>
    </xf>
    <xf numFmtId="3" fontId="2" fillId="2" borderId="5" xfId="5" applyNumberFormat="1" applyFont="1" applyFill="1" applyBorder="1" applyAlignment="1" applyProtection="1">
      <alignment horizontal="right"/>
      <protection locked="0"/>
    </xf>
    <xf numFmtId="3" fontId="2" fillId="9" borderId="5" xfId="5" applyNumberFormat="1" applyFont="1" applyFill="1" applyBorder="1" applyAlignment="1" applyProtection="1">
      <alignment horizontal="right"/>
    </xf>
    <xf numFmtId="3" fontId="37" fillId="8" borderId="5" xfId="5" applyNumberFormat="1" applyFont="1" applyFill="1" applyBorder="1" applyProtection="1"/>
    <xf numFmtId="3" fontId="37" fillId="8" borderId="2" xfId="5" applyNumberFormat="1" applyFont="1" applyFill="1" applyBorder="1" applyProtection="1"/>
    <xf numFmtId="3" fontId="37" fillId="8" borderId="42" xfId="5" applyNumberFormat="1" applyFont="1" applyFill="1" applyBorder="1" applyProtection="1"/>
    <xf numFmtId="0" fontId="78" fillId="7" borderId="0" xfId="0" applyFont="1" applyFill="1" applyBorder="1" applyAlignment="1" applyProtection="1">
      <alignment horizontal="left"/>
    </xf>
    <xf numFmtId="3" fontId="58" fillId="2" borderId="0" xfId="0" applyNumberFormat="1" applyFont="1" applyFill="1" applyBorder="1" applyAlignment="1" applyProtection="1"/>
    <xf numFmtId="3" fontId="36" fillId="0" borderId="0" xfId="0" applyNumberFormat="1" applyFont="1" applyFill="1" applyBorder="1" applyProtection="1"/>
    <xf numFmtId="49" fontId="5" fillId="0" borderId="0" xfId="0" applyNumberFormat="1" applyFont="1" applyFill="1" applyBorder="1" applyAlignment="1" applyProtection="1">
      <alignment horizontal="left"/>
    </xf>
    <xf numFmtId="0" fontId="1" fillId="0" borderId="0" xfId="0" applyFont="1" applyFill="1" applyBorder="1" applyProtection="1"/>
    <xf numFmtId="0" fontId="7" fillId="0" borderId="0" xfId="0" applyFont="1" applyFill="1" applyBorder="1" applyProtection="1"/>
    <xf numFmtId="3" fontId="3" fillId="0" borderId="0" xfId="0" applyNumberFormat="1" applyFont="1" applyFill="1" applyBorder="1" applyProtection="1"/>
    <xf numFmtId="0" fontId="3" fillId="0" borderId="0" xfId="0" applyFont="1" applyFill="1" applyBorder="1" applyProtection="1"/>
    <xf numFmtId="3" fontId="13" fillId="0" borderId="0" xfId="0" applyNumberFormat="1" applyFont="1" applyFill="1" applyBorder="1" applyAlignment="1" applyProtection="1">
      <alignment horizontal="right"/>
    </xf>
    <xf numFmtId="3" fontId="13" fillId="0" borderId="0" xfId="0" applyNumberFormat="1" applyFont="1" applyFill="1" applyBorder="1" applyAlignment="1" applyProtection="1"/>
    <xf numFmtId="49" fontId="2" fillId="10" borderId="44" xfId="0" applyNumberFormat="1" applyFont="1" applyFill="1" applyBorder="1" applyAlignment="1" applyProtection="1"/>
    <xf numFmtId="49" fontId="2" fillId="10" borderId="28" xfId="0" applyNumberFormat="1" applyFont="1" applyFill="1" applyBorder="1" applyAlignment="1" applyProtection="1"/>
    <xf numFmtId="49" fontId="2" fillId="10" borderId="29" xfId="0" applyNumberFormat="1" applyFont="1" applyFill="1" applyBorder="1" applyAlignment="1" applyProtection="1"/>
    <xf numFmtId="49" fontId="2" fillId="10" borderId="45" xfId="0" applyNumberFormat="1" applyFont="1" applyFill="1" applyBorder="1" applyAlignment="1" applyProtection="1"/>
    <xf numFmtId="49" fontId="2" fillId="10" borderId="46" xfId="0" applyNumberFormat="1" applyFont="1" applyFill="1" applyBorder="1" applyAlignment="1" applyProtection="1"/>
    <xf numFmtId="49" fontId="2" fillId="10" borderId="47" xfId="0" applyNumberFormat="1" applyFont="1" applyFill="1" applyBorder="1" applyAlignment="1" applyProtection="1"/>
    <xf numFmtId="49" fontId="2" fillId="10" borderId="30" xfId="0" applyNumberFormat="1" applyFont="1" applyFill="1" applyBorder="1" applyAlignment="1" applyProtection="1"/>
    <xf numFmtId="3" fontId="82" fillId="0" borderId="0" xfId="0" applyNumberFormat="1" applyFont="1" applyFill="1" applyBorder="1" applyProtection="1"/>
    <xf numFmtId="0" fontId="62" fillId="2" borderId="0" xfId="0" applyFont="1" applyFill="1" applyProtection="1"/>
    <xf numFmtId="0" fontId="84" fillId="7" borderId="0" xfId="0" applyFont="1" applyFill="1" applyProtection="1"/>
    <xf numFmtId="0" fontId="62" fillId="2" borderId="0" xfId="0" applyNumberFormat="1" applyFont="1" applyFill="1" applyBorder="1" applyProtection="1"/>
    <xf numFmtId="171" fontId="82" fillId="2" borderId="0" xfId="0" applyNumberFormat="1" applyFont="1" applyFill="1" applyBorder="1" applyAlignment="1" applyProtection="1">
      <alignment horizontal="left"/>
    </xf>
    <xf numFmtId="3" fontId="82" fillId="2" borderId="0" xfId="0" applyNumberFormat="1" applyFont="1" applyFill="1" applyBorder="1" applyProtection="1"/>
    <xf numFmtId="0" fontId="82" fillId="2" borderId="0" xfId="0" applyFont="1" applyFill="1" applyProtection="1"/>
    <xf numFmtId="3" fontId="2" fillId="9" borderId="48" xfId="0" applyNumberFormat="1" applyFont="1" applyFill="1" applyBorder="1" applyAlignment="1" applyProtection="1">
      <alignment horizontal="right"/>
    </xf>
    <xf numFmtId="3" fontId="2" fillId="9" borderId="49" xfId="0" applyNumberFormat="1" applyFont="1" applyFill="1" applyBorder="1" applyAlignment="1" applyProtection="1">
      <alignment horizontal="right"/>
    </xf>
    <xf numFmtId="49" fontId="2" fillId="10" borderId="0" xfId="0" applyNumberFormat="1" applyFont="1" applyFill="1" applyBorder="1" applyAlignment="1" applyProtection="1"/>
    <xf numFmtId="49" fontId="2" fillId="10" borderId="50" xfId="0" applyNumberFormat="1" applyFont="1" applyFill="1" applyBorder="1" applyAlignment="1" applyProtection="1"/>
    <xf numFmtId="49" fontId="2" fillId="10" borderId="51" xfId="0" applyNumberFormat="1" applyFont="1" applyFill="1" applyBorder="1" applyAlignment="1" applyProtection="1"/>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2" fillId="2" borderId="0" xfId="0" applyFont="1" applyFill="1" applyBorder="1" applyProtection="1"/>
    <xf numFmtId="0" fontId="0" fillId="0" borderId="0" xfId="0" applyBorder="1" applyAlignment="1" applyProtection="1"/>
    <xf numFmtId="3" fontId="2" fillId="0" borderId="5" xfId="0" applyNumberFormat="1" applyFont="1" applyFill="1" applyBorder="1" applyAlignment="1" applyProtection="1">
      <alignment horizontal="right"/>
      <protection locked="0"/>
    </xf>
    <xf numFmtId="3" fontId="2" fillId="0" borderId="52" xfId="0" applyNumberFormat="1" applyFont="1" applyFill="1" applyBorder="1" applyAlignment="1" applyProtection="1">
      <alignment horizontal="right"/>
      <protection locked="0"/>
    </xf>
    <xf numFmtId="3" fontId="2" fillId="2" borderId="53" xfId="0" applyNumberFormat="1" applyFont="1" applyFill="1" applyBorder="1" applyAlignment="1" applyProtection="1">
      <alignment horizontal="right"/>
      <protection locked="0"/>
    </xf>
    <xf numFmtId="3" fontId="2" fillId="2" borderId="19" xfId="0" applyNumberFormat="1" applyFont="1" applyFill="1" applyBorder="1" applyAlignment="1" applyProtection="1">
      <alignment horizontal="right"/>
      <protection locked="0"/>
    </xf>
    <xf numFmtId="0" fontId="36" fillId="2" borderId="0" xfId="0" applyFont="1" applyFill="1" applyProtection="1"/>
    <xf numFmtId="0" fontId="36" fillId="2" borderId="0" xfId="0" applyFont="1" applyFill="1" applyBorder="1" applyAlignment="1" applyProtection="1">
      <alignment horizontal="left"/>
    </xf>
    <xf numFmtId="0" fontId="51" fillId="2" borderId="0" xfId="0" applyFont="1" applyFill="1" applyProtection="1"/>
    <xf numFmtId="0" fontId="51" fillId="0" borderId="0" xfId="0" applyFont="1" applyFill="1" applyBorder="1" applyProtection="1"/>
    <xf numFmtId="49" fontId="0" fillId="2" borderId="0" xfId="0" applyNumberFormat="1" applyFill="1" applyProtection="1"/>
    <xf numFmtId="0" fontId="83" fillId="2" borderId="0" xfId="0" applyFont="1" applyFill="1" applyProtection="1"/>
    <xf numFmtId="0" fontId="24" fillId="2" borderId="0" xfId="0" applyFont="1" applyFill="1" applyProtection="1"/>
    <xf numFmtId="3" fontId="2" fillId="2" borderId="54" xfId="0" applyNumberFormat="1" applyFont="1" applyFill="1" applyBorder="1" applyAlignment="1" applyProtection="1">
      <alignment horizontal="right"/>
      <protection locked="0"/>
    </xf>
    <xf numFmtId="3" fontId="2" fillId="6" borderId="18" xfId="0" applyNumberFormat="1" applyFont="1" applyFill="1" applyBorder="1" applyAlignment="1" applyProtection="1">
      <alignment horizontal="right"/>
      <protection locked="0"/>
    </xf>
    <xf numFmtId="3" fontId="2" fillId="2" borderId="55" xfId="0" applyNumberFormat="1" applyFont="1" applyFill="1" applyBorder="1" applyAlignment="1" applyProtection="1">
      <alignment horizontal="right"/>
      <protection locked="0"/>
    </xf>
    <xf numFmtId="3" fontId="2" fillId="6" borderId="19" xfId="0" applyNumberFormat="1" applyFont="1" applyFill="1" applyBorder="1" applyAlignment="1" applyProtection="1">
      <alignment horizontal="right"/>
      <protection locked="0"/>
    </xf>
    <xf numFmtId="3" fontId="2" fillId="11" borderId="18" xfId="0" applyNumberFormat="1" applyFont="1" applyFill="1" applyBorder="1" applyAlignment="1" applyProtection="1">
      <alignment horizontal="right"/>
      <protection locked="0"/>
    </xf>
    <xf numFmtId="3" fontId="2" fillId="6" borderId="54" xfId="0" applyNumberFormat="1" applyFont="1" applyFill="1" applyBorder="1" applyAlignment="1" applyProtection="1">
      <alignment horizontal="right"/>
      <protection locked="0"/>
    </xf>
    <xf numFmtId="3" fontId="2" fillId="6" borderId="12" xfId="0" applyNumberFormat="1" applyFont="1" applyFill="1" applyBorder="1" applyAlignment="1" applyProtection="1">
      <alignment horizontal="right"/>
      <protection locked="0"/>
    </xf>
    <xf numFmtId="3" fontId="2" fillId="6" borderId="56" xfId="0" applyNumberFormat="1" applyFont="1" applyFill="1" applyBorder="1" applyAlignment="1" applyProtection="1">
      <alignment horizontal="right"/>
      <protection locked="0"/>
    </xf>
    <xf numFmtId="0" fontId="0" fillId="7" borderId="0" xfId="0" applyFill="1" applyBorder="1" applyProtection="1"/>
    <xf numFmtId="0" fontId="24" fillId="2" borderId="0" xfId="0" applyFont="1" applyFill="1" applyBorder="1" applyProtection="1"/>
    <xf numFmtId="0" fontId="54" fillId="2" borderId="0" xfId="0" quotePrefix="1" applyFont="1" applyFill="1" applyAlignment="1" applyProtection="1">
      <alignment horizontal="left"/>
    </xf>
    <xf numFmtId="0" fontId="40" fillId="0" borderId="0" xfId="0" applyFont="1" applyFill="1" applyBorder="1" applyProtection="1"/>
    <xf numFmtId="0" fontId="51" fillId="0" borderId="0" xfId="0" applyFont="1" applyFill="1" applyProtection="1"/>
    <xf numFmtId="0" fontId="0" fillId="0" borderId="0" xfId="0" applyFill="1" applyProtection="1"/>
    <xf numFmtId="0" fontId="11" fillId="4" borderId="0" xfId="0" applyFont="1" applyFill="1" applyBorder="1" applyProtection="1"/>
    <xf numFmtId="49" fontId="11" fillId="0" borderId="58" xfId="0" applyNumberFormat="1" applyFont="1" applyFill="1" applyBorder="1" applyProtection="1"/>
    <xf numFmtId="0" fontId="24" fillId="0" borderId="0" xfId="0" applyFont="1" applyFill="1" applyBorder="1" applyProtection="1"/>
    <xf numFmtId="0" fontId="25" fillId="4" borderId="0" xfId="0" applyFont="1" applyFill="1" applyBorder="1" applyProtection="1"/>
    <xf numFmtId="3" fontId="13" fillId="4" borderId="0" xfId="0" applyNumberFormat="1" applyFont="1" applyFill="1" applyBorder="1" applyProtection="1"/>
    <xf numFmtId="0" fontId="51" fillId="2" borderId="0" xfId="0" applyFont="1" applyFill="1" applyBorder="1" applyProtection="1"/>
    <xf numFmtId="0" fontId="21" fillId="2" borderId="0" xfId="0" applyFont="1" applyFill="1" applyBorder="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0" fillId="2" borderId="0" xfId="0" applyFill="1" applyBorder="1" applyAlignment="1" applyProtection="1"/>
    <xf numFmtId="0" fontId="24" fillId="0" borderId="0" xfId="0" applyFont="1" applyProtection="1"/>
    <xf numFmtId="0" fontId="24" fillId="0" borderId="0" xfId="0" applyFont="1" applyBorder="1" applyProtection="1"/>
    <xf numFmtId="0" fontId="80" fillId="0" borderId="0" xfId="0" applyFont="1" applyFill="1" applyBorder="1" applyProtection="1"/>
    <xf numFmtId="3" fontId="2" fillId="0" borderId="32" xfId="0" applyNumberFormat="1" applyFont="1" applyFill="1" applyBorder="1" applyAlignment="1" applyProtection="1">
      <alignment horizontal="right"/>
      <protection locked="0"/>
    </xf>
    <xf numFmtId="0" fontId="9" fillId="2" borderId="0" xfId="0" applyFont="1" applyFill="1" applyBorder="1" applyProtection="1"/>
    <xf numFmtId="0" fontId="9" fillId="2" borderId="1" xfId="0" applyFont="1" applyFill="1" applyBorder="1" applyProtection="1"/>
    <xf numFmtId="0" fontId="21" fillId="2" borderId="0" xfId="0" applyFont="1" applyFill="1" applyProtection="1"/>
    <xf numFmtId="0" fontId="9" fillId="0" borderId="0" xfId="0" applyFont="1" applyFill="1" applyBorder="1" applyProtection="1"/>
    <xf numFmtId="3" fontId="2" fillId="2" borderId="59" xfId="0" applyNumberFormat="1" applyFont="1" applyFill="1" applyBorder="1" applyAlignment="1" applyProtection="1">
      <alignment horizontal="right"/>
      <protection locked="0"/>
    </xf>
    <xf numFmtId="3" fontId="13" fillId="2" borderId="53" xfId="0" applyNumberFormat="1" applyFont="1" applyFill="1" applyBorder="1" applyAlignment="1" applyProtection="1">
      <alignment horizontal="right"/>
      <protection locked="0"/>
    </xf>
    <xf numFmtId="3" fontId="13" fillId="0" borderId="20" xfId="0" applyNumberFormat="1" applyFont="1" applyFill="1" applyBorder="1" applyAlignment="1" applyProtection="1">
      <alignment horizontal="right"/>
      <protection locked="0"/>
    </xf>
    <xf numFmtId="3" fontId="13" fillId="0" borderId="19" xfId="0" applyNumberFormat="1" applyFont="1" applyFill="1" applyBorder="1" applyAlignment="1" applyProtection="1">
      <alignment horizontal="right"/>
      <protection locked="0"/>
    </xf>
    <xf numFmtId="3" fontId="2" fillId="2" borderId="60" xfId="0" applyNumberFormat="1" applyFont="1" applyFill="1" applyBorder="1" applyAlignment="1" applyProtection="1">
      <alignment horizontal="right"/>
      <protection locked="0"/>
    </xf>
    <xf numFmtId="3" fontId="10" fillId="2" borderId="18" xfId="0" applyNumberFormat="1" applyFont="1" applyFill="1" applyBorder="1" applyAlignment="1" applyProtection="1">
      <alignment horizontal="right"/>
      <protection locked="0"/>
    </xf>
    <xf numFmtId="3" fontId="13" fillId="0" borderId="18" xfId="0" applyNumberFormat="1" applyFont="1" applyFill="1" applyBorder="1" applyAlignment="1" applyProtection="1">
      <alignment horizontal="right"/>
      <protection locked="0"/>
    </xf>
    <xf numFmtId="3" fontId="13" fillId="0" borderId="26" xfId="0" applyNumberFormat="1" applyFont="1" applyFill="1" applyBorder="1" applyAlignment="1" applyProtection="1">
      <alignment horizontal="right"/>
      <protection locked="0"/>
    </xf>
    <xf numFmtId="3" fontId="13" fillId="2" borderId="61" xfId="0" applyNumberFormat="1" applyFont="1" applyFill="1" applyBorder="1" applyAlignment="1" applyProtection="1">
      <alignment horizontal="right"/>
      <protection locked="0"/>
    </xf>
    <xf numFmtId="3" fontId="13" fillId="0" borderId="62" xfId="0" applyNumberFormat="1" applyFont="1" applyFill="1" applyBorder="1" applyAlignment="1" applyProtection="1">
      <alignment horizontal="right"/>
      <protection locked="0"/>
    </xf>
    <xf numFmtId="0" fontId="36" fillId="0" borderId="0" xfId="0" applyFont="1" applyProtection="1"/>
    <xf numFmtId="0" fontId="36" fillId="0" borderId="0" xfId="0" applyFont="1" applyFill="1" applyProtection="1"/>
    <xf numFmtId="0" fontId="11" fillId="0" borderId="0" xfId="0" applyFont="1" applyFill="1" applyBorder="1" applyAlignment="1" applyProtection="1">
      <alignment horizontal="center"/>
    </xf>
    <xf numFmtId="3" fontId="13" fillId="0" borderId="63" xfId="0" applyNumberFormat="1" applyFont="1" applyFill="1" applyBorder="1" applyAlignment="1" applyProtection="1">
      <alignment horizontal="right"/>
      <protection locked="0"/>
    </xf>
    <xf numFmtId="0" fontId="59" fillId="0" borderId="0" xfId="0" applyFont="1" applyFill="1" applyBorder="1" applyProtection="1"/>
    <xf numFmtId="0" fontId="59" fillId="2" borderId="0" xfId="0" applyFont="1" applyFill="1" applyProtection="1"/>
    <xf numFmtId="0" fontId="64" fillId="2" borderId="0" xfId="0" applyFont="1" applyFill="1" applyAlignment="1" applyProtection="1"/>
    <xf numFmtId="0" fontId="64"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3" fillId="0" borderId="0" xfId="0" applyNumberFormat="1" applyFont="1" applyFill="1" applyBorder="1" applyProtection="1"/>
    <xf numFmtId="3" fontId="10" fillId="2" borderId="8" xfId="0" applyNumberFormat="1" applyFont="1" applyFill="1" applyBorder="1" applyAlignment="1" applyProtection="1">
      <alignment horizontal="right"/>
      <protection locked="0"/>
    </xf>
    <xf numFmtId="3" fontId="10" fillId="2" borderId="5" xfId="0" applyNumberFormat="1" applyFont="1" applyFill="1" applyBorder="1" applyAlignment="1" applyProtection="1">
      <alignment horizontal="right"/>
      <protection locked="0"/>
    </xf>
    <xf numFmtId="3" fontId="10" fillId="2" borderId="5" xfId="0" quotePrefix="1" applyNumberFormat="1" applyFont="1" applyFill="1" applyBorder="1" applyAlignment="1" applyProtection="1">
      <alignment horizontal="right"/>
      <protection locked="0"/>
    </xf>
    <xf numFmtId="3" fontId="10" fillId="0" borderId="8" xfId="0" applyNumberFormat="1" applyFont="1" applyFill="1" applyBorder="1" applyAlignment="1" applyProtection="1">
      <alignment horizontal="right"/>
      <protection locked="0"/>
    </xf>
    <xf numFmtId="3" fontId="10" fillId="0" borderId="5" xfId="0" applyNumberFormat="1" applyFont="1" applyFill="1" applyBorder="1" applyAlignment="1" applyProtection="1">
      <alignment horizontal="right"/>
      <protection locked="0"/>
    </xf>
    <xf numFmtId="3" fontId="13" fillId="2" borderId="42" xfId="0" applyNumberFormat="1" applyFont="1" applyFill="1" applyBorder="1" applyAlignment="1" applyProtection="1">
      <alignment horizontal="right"/>
      <protection locked="0"/>
    </xf>
    <xf numFmtId="3" fontId="13" fillId="6" borderId="42" xfId="0" applyNumberFormat="1" applyFont="1" applyFill="1" applyBorder="1" applyAlignment="1" applyProtection="1">
      <alignment horizontal="right"/>
      <protection locked="0"/>
    </xf>
    <xf numFmtId="3" fontId="13" fillId="2" borderId="13" xfId="0" applyNumberFormat="1" applyFont="1" applyFill="1" applyBorder="1" applyAlignment="1" applyProtection="1">
      <alignment horizontal="right"/>
      <protection locked="0"/>
    </xf>
    <xf numFmtId="0" fontId="7" fillId="2" borderId="39" xfId="0" applyFont="1" applyFill="1" applyBorder="1" applyProtection="1"/>
    <xf numFmtId="0" fontId="81" fillId="0" borderId="39" xfId="11" applyFont="1" applyFill="1" applyBorder="1" applyProtection="1"/>
    <xf numFmtId="3" fontId="2" fillId="9" borderId="19" xfId="0" applyNumberFormat="1" applyFont="1" applyFill="1" applyBorder="1" applyAlignment="1" applyProtection="1">
      <alignment horizontal="right"/>
    </xf>
    <xf numFmtId="3" fontId="9" fillId="2" borderId="0" xfId="0" applyNumberFormat="1" applyFont="1" applyFill="1" applyBorder="1" applyProtection="1"/>
    <xf numFmtId="3" fontId="80" fillId="2" borderId="0" xfId="0" applyNumberFormat="1" applyFont="1" applyFill="1" applyBorder="1" applyProtection="1"/>
    <xf numFmtId="49" fontId="24" fillId="7" borderId="0" xfId="0" applyNumberFormat="1" applyFont="1" applyFill="1" applyProtection="1"/>
    <xf numFmtId="49" fontId="3" fillId="10" borderId="47" xfId="0" applyNumberFormat="1" applyFont="1" applyFill="1" applyBorder="1" applyAlignment="1" applyProtection="1">
      <alignment vertical="top" wrapText="1"/>
    </xf>
    <xf numFmtId="0" fontId="41" fillId="0" borderId="0" xfId="0" applyFont="1" applyFill="1" applyBorder="1" applyAlignment="1" applyProtection="1">
      <alignment horizontal="left"/>
    </xf>
    <xf numFmtId="0" fontId="2" fillId="0" borderId="0" xfId="0" applyFont="1" applyFill="1" applyBorder="1" applyProtection="1"/>
    <xf numFmtId="0" fontId="5" fillId="0" borderId="0" xfId="0" applyFont="1" applyFill="1" applyBorder="1" applyAlignment="1" applyProtection="1">
      <alignment vertical="top"/>
    </xf>
    <xf numFmtId="49" fontId="5" fillId="0" borderId="0" xfId="0" applyNumberFormat="1" applyFont="1" applyFill="1" applyBorder="1" applyAlignment="1" applyProtection="1">
      <alignment vertical="top"/>
    </xf>
    <xf numFmtId="0" fontId="3" fillId="0" borderId="0" xfId="0" applyFont="1" applyFill="1" applyBorder="1" applyAlignment="1" applyProtection="1">
      <alignment vertical="top"/>
    </xf>
    <xf numFmtId="0" fontId="58" fillId="0" borderId="0" xfId="0" applyFont="1" applyFill="1" applyBorder="1" applyAlignment="1" applyProtection="1">
      <alignment vertical="top"/>
    </xf>
    <xf numFmtId="170" fontId="3" fillId="0" borderId="0" xfId="11" applyNumberFormat="1" applyFont="1" applyFill="1" applyBorder="1" applyAlignment="1" applyProtection="1">
      <alignment horizontal="left"/>
    </xf>
    <xf numFmtId="49" fontId="24" fillId="0" borderId="0" xfId="0" applyNumberFormat="1" applyFont="1" applyAlignment="1" applyProtection="1">
      <alignment horizontal="left"/>
    </xf>
    <xf numFmtId="49" fontId="24" fillId="0" borderId="0" xfId="0" applyNumberFormat="1" applyFont="1" applyProtection="1"/>
    <xf numFmtId="0" fontId="79" fillId="0" borderId="0" xfId="0" applyFont="1" applyProtection="1"/>
    <xf numFmtId="3" fontId="10" fillId="0" borderId="19" xfId="0" applyNumberFormat="1" applyFont="1" applyFill="1" applyBorder="1" applyAlignment="1" applyProtection="1">
      <alignment horizontal="right"/>
      <protection locked="0"/>
    </xf>
    <xf numFmtId="3" fontId="10" fillId="0" borderId="4" xfId="0" applyNumberFormat="1" applyFont="1" applyFill="1" applyBorder="1" applyAlignment="1" applyProtection="1">
      <alignment horizontal="right"/>
      <protection locked="0"/>
    </xf>
    <xf numFmtId="0" fontId="24" fillId="7" borderId="0" xfId="5" applyFill="1" applyProtection="1"/>
    <xf numFmtId="1" fontId="24" fillId="7" borderId="0" xfId="5" applyNumberFormat="1" applyFill="1" applyProtection="1"/>
    <xf numFmtId="0" fontId="24" fillId="0" borderId="0" xfId="5" applyFill="1" applyBorder="1" applyProtection="1"/>
    <xf numFmtId="0" fontId="24" fillId="0" borderId="0" xfId="5" applyProtection="1"/>
    <xf numFmtId="0" fontId="24" fillId="0" borderId="0" xfId="5" applyBorder="1" applyProtection="1"/>
    <xf numFmtId="1" fontId="53" fillId="2" borderId="0" xfId="11" applyNumberFormat="1" applyFont="1" applyFill="1" applyBorder="1" applyAlignment="1" applyProtection="1">
      <alignment horizontal="left"/>
    </xf>
    <xf numFmtId="0" fontId="24" fillId="2" borderId="0" xfId="5" applyFont="1" applyFill="1" applyProtection="1"/>
    <xf numFmtId="0" fontId="51" fillId="2" borderId="0" xfId="5" applyFont="1" applyFill="1" applyProtection="1"/>
    <xf numFmtId="1" fontId="24" fillId="0" borderId="0" xfId="5" applyNumberFormat="1" applyProtection="1"/>
    <xf numFmtId="0" fontId="24" fillId="0" borderId="0" xfId="5" applyFont="1" applyProtection="1"/>
    <xf numFmtId="3" fontId="2" fillId="2" borderId="2" xfId="5" applyNumberFormat="1" applyFont="1" applyFill="1" applyBorder="1" applyAlignment="1" applyProtection="1">
      <alignment horizontal="right"/>
      <protection locked="0"/>
    </xf>
    <xf numFmtId="3" fontId="2" fillId="2" borderId="15" xfId="5" applyNumberFormat="1" applyFont="1" applyFill="1" applyBorder="1" applyAlignment="1" applyProtection="1">
      <alignment horizontal="right"/>
      <protection locked="0"/>
    </xf>
    <xf numFmtId="0" fontId="24" fillId="0" borderId="0" xfId="0" applyFont="1" applyFill="1" applyProtection="1"/>
    <xf numFmtId="49" fontId="24"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2" fillId="2" borderId="61" xfId="0" applyNumberFormat="1" applyFont="1" applyFill="1" applyBorder="1" applyAlignment="1" applyProtection="1">
      <alignment horizontal="right"/>
      <protection locked="0"/>
    </xf>
    <xf numFmtId="3" fontId="2" fillId="2" borderId="62" xfId="0" applyNumberFormat="1" applyFont="1" applyFill="1" applyBorder="1" applyAlignment="1" applyProtection="1">
      <alignment horizontal="right"/>
      <protection locked="0"/>
    </xf>
    <xf numFmtId="3" fontId="2" fillId="2" borderId="64" xfId="0" applyNumberFormat="1" applyFont="1" applyFill="1" applyBorder="1" applyAlignment="1" applyProtection="1">
      <alignment horizontal="right"/>
      <protection locked="0"/>
    </xf>
    <xf numFmtId="3" fontId="2" fillId="2" borderId="65" xfId="0" applyNumberFormat="1" applyFont="1" applyFill="1" applyBorder="1" applyAlignment="1" applyProtection="1">
      <alignment horizontal="right"/>
      <protection locked="0"/>
    </xf>
    <xf numFmtId="3" fontId="13" fillId="2" borderId="62" xfId="0" applyNumberFormat="1" applyFont="1" applyFill="1" applyBorder="1" applyAlignment="1" applyProtection="1">
      <alignment horizontal="right"/>
      <protection locked="0"/>
    </xf>
    <xf numFmtId="3" fontId="2" fillId="6" borderId="63" xfId="0" applyNumberFormat="1" applyFont="1" applyFill="1" applyBorder="1" applyAlignment="1" applyProtection="1">
      <alignment horizontal="right"/>
      <protection locked="0"/>
    </xf>
    <xf numFmtId="172" fontId="36" fillId="0" borderId="0" xfId="5" applyNumberFormat="1" applyFont="1" applyFill="1" applyBorder="1" applyAlignment="1" applyProtection="1">
      <alignment vertical="top" wrapText="1"/>
    </xf>
    <xf numFmtId="3" fontId="2" fillId="9" borderId="66" xfId="0" applyNumberFormat="1" applyFont="1" applyFill="1" applyBorder="1" applyAlignment="1" applyProtection="1"/>
    <xf numFmtId="3" fontId="2" fillId="9" borderId="13" xfId="0" applyNumberFormat="1" applyFont="1" applyFill="1" applyBorder="1" applyAlignment="1" applyProtection="1"/>
    <xf numFmtId="3" fontId="37" fillId="8" borderId="68" xfId="5" applyNumberFormat="1" applyFont="1" applyFill="1" applyBorder="1" applyProtection="1"/>
    <xf numFmtId="3" fontId="37" fillId="8" borderId="35" xfId="5" applyNumberFormat="1" applyFont="1" applyFill="1" applyBorder="1" applyProtection="1"/>
    <xf numFmtId="3" fontId="37" fillId="8" borderId="25" xfId="5" applyNumberFormat="1" applyFont="1" applyFill="1" applyBorder="1" applyProtection="1"/>
    <xf numFmtId="166" fontId="9"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xf>
    <xf numFmtId="3" fontId="13" fillId="0" borderId="69" xfId="0" applyNumberFormat="1" applyFont="1" applyFill="1" applyBorder="1" applyAlignment="1" applyProtection="1">
      <alignment horizontal="right"/>
      <protection locked="0"/>
    </xf>
    <xf numFmtId="3" fontId="13" fillId="9" borderId="26" xfId="0" applyNumberFormat="1" applyFont="1" applyFill="1" applyBorder="1" applyProtection="1"/>
    <xf numFmtId="0" fontId="10" fillId="0" borderId="0" xfId="5" applyFont="1" applyFill="1" applyBorder="1" applyProtection="1"/>
    <xf numFmtId="3" fontId="37" fillId="0" borderId="0" xfId="5" applyNumberFormat="1" applyFont="1" applyFill="1" applyBorder="1" applyProtection="1"/>
    <xf numFmtId="0" fontId="24" fillId="0" borderId="0" xfId="5" applyFont="1" applyFill="1" applyProtection="1"/>
    <xf numFmtId="0" fontId="36" fillId="0" borderId="0" xfId="0" applyFont="1" applyFill="1" applyBorder="1" applyProtection="1"/>
    <xf numFmtId="0" fontId="0" fillId="0" borderId="1" xfId="0" applyBorder="1"/>
    <xf numFmtId="3" fontId="13" fillId="2" borderId="19" xfId="0" applyNumberFormat="1" applyFont="1" applyFill="1" applyBorder="1" applyAlignment="1" applyProtection="1">
      <protection locked="0"/>
    </xf>
    <xf numFmtId="172" fontId="36" fillId="0" borderId="0" xfId="0" applyNumberFormat="1" applyFont="1" applyFill="1" applyProtection="1"/>
    <xf numFmtId="172" fontId="36" fillId="2" borderId="0" xfId="0" applyNumberFormat="1" applyFont="1" applyFill="1" applyProtection="1"/>
    <xf numFmtId="0" fontId="36" fillId="2" borderId="0" xfId="0" applyFont="1" applyFill="1" applyBorder="1" applyAlignment="1" applyProtection="1">
      <alignment horizontal="left" vertical="top" wrapText="1"/>
    </xf>
    <xf numFmtId="3" fontId="2" fillId="2" borderId="8" xfId="0" applyNumberFormat="1" applyFont="1" applyFill="1" applyBorder="1" applyAlignment="1" applyProtection="1">
      <alignment horizontal="right"/>
      <protection locked="0"/>
    </xf>
    <xf numFmtId="3" fontId="2" fillId="2" borderId="70" xfId="5" applyNumberFormat="1" applyFont="1" applyFill="1" applyBorder="1" applyAlignment="1" applyProtection="1">
      <alignment horizontal="right"/>
      <protection locked="0"/>
    </xf>
    <xf numFmtId="3" fontId="2" fillId="2" borderId="6" xfId="5" applyNumberFormat="1" applyFont="1" applyFill="1" applyBorder="1" applyAlignment="1" applyProtection="1">
      <alignment horizontal="right"/>
      <protection locked="0"/>
    </xf>
    <xf numFmtId="3" fontId="2" fillId="2" borderId="71" xfId="5" applyNumberFormat="1" applyFont="1" applyFill="1" applyBorder="1" applyAlignment="1" applyProtection="1">
      <alignment horizontal="right"/>
      <protection locked="0"/>
    </xf>
    <xf numFmtId="3" fontId="2" fillId="2" borderId="25" xfId="5" applyNumberFormat="1" applyFont="1" applyFill="1" applyBorder="1" applyAlignment="1" applyProtection="1">
      <alignment horizontal="right"/>
      <protection locked="0"/>
    </xf>
    <xf numFmtId="3" fontId="2" fillId="2" borderId="72" xfId="5" applyNumberFormat="1" applyFont="1" applyFill="1" applyBorder="1" applyAlignment="1" applyProtection="1">
      <alignment horizontal="right"/>
      <protection locked="0"/>
    </xf>
    <xf numFmtId="0" fontId="38" fillId="0" borderId="0" xfId="5" applyFont="1" applyProtection="1"/>
    <xf numFmtId="0" fontId="50" fillId="2" borderId="0" xfId="5" applyFont="1" applyFill="1" applyProtection="1"/>
    <xf numFmtId="0" fontId="36" fillId="0" borderId="0" xfId="5" quotePrefix="1" applyNumberFormat="1" applyFont="1" applyProtection="1"/>
    <xf numFmtId="3" fontId="70" fillId="8" borderId="25" xfId="5" applyNumberFormat="1" applyFont="1" applyFill="1" applyBorder="1" applyAlignment="1" applyProtection="1">
      <alignment horizontal="right"/>
    </xf>
    <xf numFmtId="3" fontId="2" fillId="8" borderId="5" xfId="5" applyNumberFormat="1" applyFont="1" applyFill="1" applyBorder="1" applyAlignment="1" applyProtection="1"/>
    <xf numFmtId="3" fontId="70" fillId="12" borderId="25" xfId="5" applyNumberFormat="1" applyFont="1" applyFill="1" applyBorder="1" applyAlignment="1" applyProtection="1">
      <alignment horizontal="right"/>
    </xf>
    <xf numFmtId="3" fontId="70" fillId="8" borderId="25" xfId="5" quotePrefix="1" applyNumberFormat="1" applyFont="1" applyFill="1" applyBorder="1" applyAlignment="1" applyProtection="1">
      <alignment horizontal="right"/>
    </xf>
    <xf numFmtId="3" fontId="2" fillId="8" borderId="5" xfId="0" applyNumberFormat="1" applyFont="1" applyFill="1" applyBorder="1" applyAlignment="1" applyProtection="1">
      <alignment horizontal="right"/>
    </xf>
    <xf numFmtId="0" fontId="37" fillId="2" borderId="0" xfId="0" applyFont="1" applyFill="1" applyAlignment="1" applyProtection="1">
      <alignment horizontal="right"/>
    </xf>
    <xf numFmtId="3" fontId="2" fillId="2" borderId="3" xfId="5" applyNumberFormat="1" applyFont="1" applyFill="1" applyBorder="1" applyAlignment="1" applyProtection="1">
      <alignment horizontal="right"/>
      <protection locked="0"/>
    </xf>
    <xf numFmtId="3" fontId="36" fillId="0" borderId="74" xfId="5" quotePrefix="1" applyNumberFormat="1" applyFont="1" applyFill="1" applyBorder="1" applyAlignment="1" applyProtection="1">
      <alignment horizontal="left"/>
    </xf>
    <xf numFmtId="0" fontId="38" fillId="0" borderId="76" xfId="5" applyFont="1" applyBorder="1" applyProtection="1"/>
    <xf numFmtId="0" fontId="90" fillId="0" borderId="76" xfId="5" applyFont="1" applyBorder="1" applyProtection="1"/>
    <xf numFmtId="3" fontId="36" fillId="0" borderId="78" xfId="5" quotePrefix="1" applyNumberFormat="1" applyFont="1" applyFill="1" applyBorder="1" applyAlignment="1" applyProtection="1">
      <alignment horizontal="left"/>
    </xf>
    <xf numFmtId="0" fontId="24" fillId="0" borderId="79" xfId="5" applyBorder="1" applyProtection="1"/>
    <xf numFmtId="0" fontId="24" fillId="0" borderId="52" xfId="5" applyBorder="1" applyProtection="1"/>
    <xf numFmtId="0" fontId="24" fillId="0" borderId="80" xfId="5" applyBorder="1" applyProtection="1"/>
    <xf numFmtId="0" fontId="36" fillId="0" borderId="0" xfId="5" applyFont="1" applyProtection="1"/>
    <xf numFmtId="3" fontId="36" fillId="0" borderId="0" xfId="5" quotePrefix="1" applyNumberFormat="1" applyFont="1" applyFill="1" applyBorder="1" applyAlignment="1" applyProtection="1">
      <alignment horizontal="left"/>
    </xf>
    <xf numFmtId="3" fontId="2" fillId="9" borderId="81" xfId="5" applyNumberFormat="1" applyFont="1" applyFill="1" applyBorder="1" applyProtection="1"/>
    <xf numFmtId="3" fontId="2" fillId="9" borderId="82" xfId="5" applyNumberFormat="1" applyFont="1" applyFill="1" applyBorder="1" applyProtection="1"/>
    <xf numFmtId="3" fontId="2" fillId="3" borderId="13" xfId="0" applyNumberFormat="1" applyFont="1" applyFill="1" applyBorder="1" applyProtection="1"/>
    <xf numFmtId="3" fontId="2" fillId="3" borderId="26" xfId="0" applyNumberFormat="1" applyFont="1" applyFill="1" applyBorder="1" applyProtection="1"/>
    <xf numFmtId="3" fontId="2" fillId="3" borderId="20" xfId="0" applyNumberFormat="1" applyFont="1" applyFill="1" applyBorder="1" applyProtection="1"/>
    <xf numFmtId="3" fontId="2" fillId="3" borderId="83" xfId="0" applyNumberFormat="1" applyFont="1" applyFill="1" applyBorder="1" applyProtection="1"/>
    <xf numFmtId="3" fontId="2" fillId="3" borderId="54" xfId="0" applyNumberFormat="1" applyFont="1" applyFill="1" applyBorder="1" applyProtection="1"/>
    <xf numFmtId="3" fontId="2" fillId="3" borderId="56" xfId="0" applyNumberFormat="1" applyFont="1" applyFill="1" applyBorder="1" applyProtection="1"/>
    <xf numFmtId="3" fontId="2" fillId="3" borderId="69" xfId="0" applyNumberFormat="1" applyFont="1" applyFill="1" applyBorder="1" applyProtection="1"/>
    <xf numFmtId="3" fontId="2" fillId="3" borderId="25" xfId="0" applyNumberFormat="1" applyFont="1" applyFill="1" applyBorder="1" applyProtection="1"/>
    <xf numFmtId="3" fontId="2" fillId="3" borderId="19" xfId="0" applyNumberFormat="1" applyFont="1" applyFill="1" applyBorder="1" applyProtection="1"/>
    <xf numFmtId="3" fontId="2" fillId="3" borderId="63" xfId="0" applyNumberFormat="1" applyFont="1" applyFill="1" applyBorder="1" applyProtection="1"/>
    <xf numFmtId="3" fontId="2" fillId="3" borderId="84" xfId="0" applyNumberFormat="1" applyFont="1" applyFill="1" applyBorder="1" applyProtection="1"/>
    <xf numFmtId="3" fontId="2" fillId="3" borderId="5" xfId="0" applyNumberFormat="1" applyFont="1" applyFill="1" applyBorder="1" applyProtection="1"/>
    <xf numFmtId="3" fontId="2" fillId="3" borderId="85" xfId="0" applyNumberFormat="1" applyFont="1" applyFill="1" applyBorder="1" applyProtection="1"/>
    <xf numFmtId="3" fontId="2" fillId="3" borderId="86" xfId="0" applyNumberFormat="1" applyFont="1" applyFill="1" applyBorder="1" applyProtection="1"/>
    <xf numFmtId="3" fontId="2" fillId="3" borderId="80" xfId="0" applyNumberFormat="1" applyFont="1" applyFill="1" applyBorder="1" applyProtection="1"/>
    <xf numFmtId="3" fontId="10" fillId="13" borderId="52" xfId="0" applyNumberFormat="1" applyFont="1" applyFill="1" applyBorder="1" applyAlignment="1" applyProtection="1">
      <alignment horizontal="right"/>
      <protection locked="0"/>
    </xf>
    <xf numFmtId="3" fontId="13" fillId="3" borderId="59" xfId="0" applyNumberFormat="1" applyFont="1" applyFill="1" applyBorder="1" applyProtection="1"/>
    <xf numFmtId="3" fontId="13" fillId="3" borderId="87" xfId="0" applyNumberFormat="1" applyFont="1" applyFill="1" applyBorder="1" applyProtection="1"/>
    <xf numFmtId="3" fontId="13" fillId="3" borderId="88" xfId="0" applyNumberFormat="1" applyFont="1" applyFill="1" applyBorder="1" applyProtection="1"/>
    <xf numFmtId="3" fontId="13" fillId="3" borderId="85" xfId="0" applyNumberFormat="1" applyFont="1" applyFill="1" applyBorder="1" applyProtection="1"/>
    <xf numFmtId="3" fontId="13" fillId="3" borderId="26" xfId="0" applyNumberFormat="1" applyFont="1" applyFill="1" applyBorder="1" applyProtection="1"/>
    <xf numFmtId="3" fontId="13" fillId="3" borderId="20" xfId="0" applyNumberFormat="1" applyFont="1" applyFill="1" applyBorder="1" applyProtection="1"/>
    <xf numFmtId="3" fontId="13" fillId="3" borderId="18" xfId="0" applyNumberFormat="1" applyFont="1" applyFill="1" applyBorder="1" applyProtection="1"/>
    <xf numFmtId="3" fontId="13" fillId="3" borderId="19" xfId="0" applyNumberFormat="1" applyFont="1" applyFill="1" applyBorder="1" applyProtection="1"/>
    <xf numFmtId="3" fontId="13" fillId="3" borderId="5" xfId="0" applyNumberFormat="1" applyFont="1" applyFill="1" applyBorder="1" applyAlignment="1" applyProtection="1">
      <alignment horizontal="right"/>
    </xf>
    <xf numFmtId="3" fontId="2" fillId="14" borderId="7" xfId="0" applyNumberFormat="1" applyFont="1" applyFill="1" applyBorder="1" applyAlignment="1" applyProtection="1">
      <alignment horizontal="right"/>
    </xf>
    <xf numFmtId="3" fontId="2" fillId="3" borderId="42" xfId="0" applyNumberFormat="1" applyFont="1" applyFill="1" applyBorder="1" applyAlignment="1" applyProtection="1">
      <alignment horizontal="right"/>
    </xf>
    <xf numFmtId="3" fontId="2" fillId="3" borderId="89" xfId="0" applyNumberFormat="1" applyFont="1" applyFill="1" applyBorder="1" applyAlignment="1" applyProtection="1">
      <alignment horizontal="right"/>
    </xf>
    <xf numFmtId="3" fontId="2" fillId="3" borderId="83" xfId="0" applyNumberFormat="1" applyFont="1" applyFill="1" applyBorder="1" applyAlignment="1" applyProtection="1">
      <alignment horizontal="right"/>
    </xf>
    <xf numFmtId="3" fontId="2" fillId="3" borderId="90" xfId="0" applyNumberFormat="1" applyFont="1" applyFill="1" applyBorder="1" applyAlignment="1" applyProtection="1">
      <alignment horizontal="right"/>
    </xf>
    <xf numFmtId="3" fontId="2" fillId="3" borderId="13" xfId="0" applyNumberFormat="1" applyFont="1" applyFill="1" applyBorder="1" applyAlignment="1" applyProtection="1">
      <alignment horizontal="right"/>
    </xf>
    <xf numFmtId="3" fontId="13" fillId="3" borderId="18" xfId="0" applyNumberFormat="1" applyFont="1" applyFill="1" applyBorder="1" applyAlignment="1" applyProtection="1">
      <alignment horizontal="right"/>
    </xf>
    <xf numFmtId="3" fontId="13" fillId="3" borderId="3" xfId="0" applyNumberFormat="1" applyFont="1" applyFill="1" applyBorder="1" applyAlignment="1" applyProtection="1">
      <alignment horizontal="right"/>
    </xf>
    <xf numFmtId="3" fontId="13" fillId="3" borderId="22" xfId="0" applyNumberFormat="1" applyFont="1" applyFill="1" applyBorder="1" applyAlignment="1" applyProtection="1">
      <alignment horizontal="right"/>
    </xf>
    <xf numFmtId="3" fontId="13" fillId="3" borderId="7" xfId="0" applyNumberFormat="1" applyFont="1" applyFill="1" applyBorder="1" applyAlignment="1" applyProtection="1">
      <alignment horizontal="right"/>
    </xf>
    <xf numFmtId="3" fontId="13" fillId="3" borderId="91" xfId="0" applyNumberFormat="1" applyFont="1" applyFill="1" applyBorder="1" applyAlignment="1" applyProtection="1">
      <alignment horizontal="right"/>
    </xf>
    <xf numFmtId="3" fontId="13" fillId="3" borderId="92" xfId="0" applyNumberFormat="1" applyFont="1" applyFill="1" applyBorder="1" applyAlignment="1" applyProtection="1">
      <alignment horizontal="right"/>
    </xf>
    <xf numFmtId="3" fontId="13" fillId="3" borderId="93" xfId="0" applyNumberFormat="1" applyFont="1" applyFill="1" applyBorder="1" applyAlignment="1" applyProtection="1">
      <alignment horizontal="right"/>
    </xf>
    <xf numFmtId="3" fontId="13" fillId="3" borderId="25" xfId="0" applyNumberFormat="1" applyFont="1" applyFill="1" applyBorder="1" applyAlignment="1" applyProtection="1">
      <alignment horizontal="right"/>
    </xf>
    <xf numFmtId="3" fontId="13" fillId="3" borderId="72" xfId="0" applyNumberFormat="1" applyFont="1" applyFill="1" applyBorder="1" applyAlignment="1" applyProtection="1">
      <alignment horizontal="right"/>
    </xf>
    <xf numFmtId="3" fontId="13" fillId="3" borderId="26" xfId="0" applyNumberFormat="1" applyFont="1" applyFill="1" applyBorder="1" applyAlignment="1" applyProtection="1">
      <alignment horizontal="right"/>
    </xf>
    <xf numFmtId="3" fontId="13" fillId="3" borderId="24" xfId="0" applyNumberFormat="1" applyFont="1" applyFill="1" applyBorder="1" applyAlignment="1" applyProtection="1">
      <alignment horizontal="right"/>
    </xf>
    <xf numFmtId="3" fontId="13" fillId="3" borderId="65" xfId="0" applyNumberFormat="1" applyFont="1" applyFill="1" applyBorder="1" applyAlignment="1" applyProtection="1">
      <alignment horizontal="right"/>
    </xf>
    <xf numFmtId="3" fontId="13" fillId="3" borderId="24" xfId="0" applyNumberFormat="1" applyFont="1" applyFill="1" applyBorder="1" applyAlignment="1" applyProtection="1"/>
    <xf numFmtId="3" fontId="13" fillId="3" borderId="25" xfId="0" applyNumberFormat="1" applyFont="1" applyFill="1" applyBorder="1" applyAlignment="1" applyProtection="1"/>
    <xf numFmtId="3" fontId="13" fillId="3" borderId="72" xfId="0" applyNumberFormat="1" applyFont="1" applyFill="1" applyBorder="1" applyAlignment="1" applyProtection="1"/>
    <xf numFmtId="3" fontId="13" fillId="3" borderId="26" xfId="0" applyNumberFormat="1" applyFont="1" applyFill="1" applyBorder="1" applyAlignment="1" applyProtection="1"/>
    <xf numFmtId="3" fontId="13" fillId="3" borderId="94" xfId="0" applyNumberFormat="1" applyFont="1" applyFill="1" applyBorder="1" applyAlignment="1" applyProtection="1">
      <alignment horizontal="right"/>
    </xf>
    <xf numFmtId="3" fontId="13" fillId="10" borderId="95" xfId="0" applyNumberFormat="1" applyFont="1" applyFill="1" applyBorder="1" applyAlignment="1" applyProtection="1">
      <alignment horizontal="right"/>
    </xf>
    <xf numFmtId="3" fontId="13" fillId="10" borderId="96" xfId="0" applyNumberFormat="1" applyFont="1" applyFill="1" applyBorder="1" applyAlignment="1" applyProtection="1">
      <alignment horizontal="right"/>
    </xf>
    <xf numFmtId="3" fontId="13" fillId="10" borderId="86" xfId="0" applyNumberFormat="1" applyFont="1" applyFill="1" applyBorder="1" applyAlignment="1" applyProtection="1">
      <alignment horizontal="right"/>
    </xf>
    <xf numFmtId="3" fontId="13" fillId="10" borderId="97" xfId="0" applyNumberFormat="1" applyFont="1" applyFill="1" applyBorder="1" applyAlignment="1" applyProtection="1">
      <alignment horizontal="right"/>
    </xf>
    <xf numFmtId="3" fontId="13" fillId="3" borderId="53" xfId="0" applyNumberFormat="1" applyFont="1" applyFill="1" applyBorder="1" applyAlignment="1" applyProtection="1">
      <alignment horizontal="right"/>
    </xf>
    <xf numFmtId="3" fontId="13" fillId="3" borderId="98" xfId="0" applyNumberFormat="1" applyFont="1" applyFill="1" applyBorder="1" applyAlignment="1" applyProtection="1">
      <alignment horizontal="right"/>
    </xf>
    <xf numFmtId="3" fontId="13" fillId="3" borderId="84" xfId="0" applyNumberFormat="1" applyFont="1" applyFill="1" applyBorder="1" applyAlignment="1" applyProtection="1">
      <alignment horizontal="right"/>
    </xf>
    <xf numFmtId="3" fontId="13" fillId="3" borderId="99" xfId="0" applyNumberFormat="1" applyFont="1" applyFill="1" applyBorder="1" applyAlignment="1" applyProtection="1">
      <alignment horizontal="right"/>
    </xf>
    <xf numFmtId="3" fontId="13" fillId="3" borderId="100" xfId="0" applyNumberFormat="1" applyFont="1" applyFill="1" applyBorder="1" applyAlignment="1" applyProtection="1">
      <alignment horizontal="right"/>
    </xf>
    <xf numFmtId="3" fontId="13" fillId="3" borderId="101" xfId="0" applyNumberFormat="1" applyFont="1" applyFill="1" applyBorder="1" applyAlignment="1" applyProtection="1">
      <alignment horizontal="right"/>
    </xf>
    <xf numFmtId="3" fontId="13" fillId="3" borderId="88" xfId="0" applyNumberFormat="1" applyFont="1" applyFill="1" applyBorder="1" applyAlignment="1" applyProtection="1">
      <alignment horizontal="right"/>
    </xf>
    <xf numFmtId="3" fontId="2" fillId="3" borderId="102" xfId="0" applyNumberFormat="1" applyFont="1" applyFill="1" applyBorder="1" applyProtection="1"/>
    <xf numFmtId="3" fontId="2" fillId="3" borderId="31" xfId="0" applyNumberFormat="1" applyFont="1" applyFill="1" applyBorder="1" applyProtection="1"/>
    <xf numFmtId="3" fontId="2" fillId="3" borderId="103" xfId="0" applyNumberFormat="1" applyFont="1" applyFill="1" applyBorder="1" applyProtection="1"/>
    <xf numFmtId="3" fontId="13" fillId="3" borderId="31" xfId="0" applyNumberFormat="1" applyFont="1" applyFill="1" applyBorder="1" applyProtection="1"/>
    <xf numFmtId="3" fontId="13" fillId="3" borderId="32" xfId="0" applyNumberFormat="1" applyFont="1" applyFill="1" applyBorder="1" applyProtection="1"/>
    <xf numFmtId="3" fontId="13" fillId="3" borderId="80" xfId="0" applyNumberFormat="1" applyFont="1" applyFill="1" applyBorder="1" applyProtection="1"/>
    <xf numFmtId="3" fontId="2" fillId="3" borderId="104" xfId="0" applyNumberFormat="1" applyFont="1" applyFill="1" applyBorder="1" applyProtection="1"/>
    <xf numFmtId="3" fontId="13" fillId="3" borderId="103" xfId="0" applyNumberFormat="1" applyFont="1" applyFill="1" applyBorder="1" applyAlignment="1" applyProtection="1">
      <alignment horizontal="right"/>
    </xf>
    <xf numFmtId="3" fontId="13" fillId="3" borderId="33" xfId="0" applyNumberFormat="1" applyFont="1" applyFill="1" applyBorder="1" applyAlignment="1" applyProtection="1">
      <alignment horizontal="right"/>
    </xf>
    <xf numFmtId="3" fontId="13" fillId="3" borderId="45" xfId="0" applyNumberFormat="1" applyFont="1" applyFill="1" applyBorder="1" applyAlignment="1" applyProtection="1">
      <alignment horizontal="right"/>
    </xf>
    <xf numFmtId="3" fontId="13" fillId="3" borderId="33" xfId="0" applyNumberFormat="1" applyFont="1" applyFill="1" applyBorder="1" applyAlignment="1" applyProtection="1"/>
    <xf numFmtId="3" fontId="13" fillId="3" borderId="45" xfId="0" applyNumberFormat="1" applyFont="1" applyFill="1" applyBorder="1" applyAlignment="1" applyProtection="1"/>
    <xf numFmtId="3" fontId="13" fillId="3" borderId="105" xfId="0" applyNumberFormat="1" applyFont="1" applyFill="1" applyBorder="1" applyAlignment="1" applyProtection="1">
      <alignment horizontal="right"/>
    </xf>
    <xf numFmtId="3" fontId="2" fillId="3" borderId="106" xfId="0" applyNumberFormat="1" applyFont="1" applyFill="1" applyBorder="1" applyAlignment="1" applyProtection="1">
      <alignment horizontal="right"/>
    </xf>
    <xf numFmtId="3" fontId="37" fillId="3" borderId="77" xfId="0" applyNumberFormat="1" applyFont="1" applyFill="1" applyBorder="1" applyAlignment="1" applyProtection="1">
      <alignment horizontal="right"/>
    </xf>
    <xf numFmtId="3" fontId="37" fillId="3" borderId="107" xfId="0" applyNumberFormat="1" applyFont="1" applyFill="1" applyBorder="1" applyAlignment="1" applyProtection="1">
      <alignment horizontal="right"/>
    </xf>
    <xf numFmtId="3" fontId="37" fillId="3" borderId="25" xfId="0" applyNumberFormat="1" applyFont="1" applyFill="1" applyBorder="1" applyAlignment="1" applyProtection="1">
      <alignment horizontal="right"/>
    </xf>
    <xf numFmtId="3" fontId="37" fillId="3" borderId="26" xfId="0" applyNumberFormat="1" applyFont="1" applyFill="1" applyBorder="1" applyAlignment="1" applyProtection="1">
      <alignment horizontal="right"/>
    </xf>
    <xf numFmtId="0" fontId="1" fillId="7" borderId="0" xfId="0" applyFont="1" applyFill="1" applyProtection="1"/>
    <xf numFmtId="3" fontId="1" fillId="2" borderId="0" xfId="0" applyNumberFormat="1" applyFont="1" applyFill="1" applyProtection="1"/>
    <xf numFmtId="3" fontId="1" fillId="0" borderId="0" xfId="0" applyNumberFormat="1" applyFont="1" applyProtection="1"/>
    <xf numFmtId="3" fontId="1" fillId="0" borderId="0" xfId="0" applyNumberFormat="1" applyFont="1" applyFill="1" applyBorder="1" applyProtection="1"/>
    <xf numFmtId="0" fontId="0" fillId="10" borderId="0" xfId="0" applyFill="1" applyBorder="1"/>
    <xf numFmtId="0" fontId="0" fillId="0" borderId="0" xfId="0" applyBorder="1"/>
    <xf numFmtId="0" fontId="0" fillId="0" borderId="67" xfId="0" applyBorder="1"/>
    <xf numFmtId="49" fontId="2" fillId="10" borderId="11" xfId="0" applyNumberFormat="1" applyFont="1" applyFill="1" applyBorder="1" applyAlignment="1" applyProtection="1"/>
    <xf numFmtId="49" fontId="2" fillId="10" borderId="76" xfId="0" applyNumberFormat="1" applyFont="1" applyFill="1" applyBorder="1" applyAlignment="1" applyProtection="1"/>
    <xf numFmtId="49" fontId="2" fillId="10" borderId="39" xfId="0" applyNumberFormat="1" applyFont="1" applyFill="1" applyBorder="1" applyAlignment="1" applyProtection="1"/>
    <xf numFmtId="49" fontId="2" fillId="10" borderId="78" xfId="0" applyNumberFormat="1" applyFont="1" applyFill="1" applyBorder="1" applyAlignment="1" applyProtection="1"/>
    <xf numFmtId="49" fontId="2" fillId="10" borderId="36" xfId="0" applyNumberFormat="1" applyFont="1" applyFill="1" applyBorder="1" applyAlignment="1" applyProtection="1"/>
    <xf numFmtId="0" fontId="17" fillId="0" borderId="0" xfId="0" applyFont="1" applyFill="1" applyBorder="1" applyAlignment="1" applyProtection="1">
      <alignment horizontal="center"/>
    </xf>
    <xf numFmtId="0" fontId="93" fillId="0" borderId="0" xfId="5" applyFont="1" applyProtection="1"/>
    <xf numFmtId="3" fontId="2" fillId="9" borderId="113" xfId="5" applyNumberFormat="1" applyFont="1" applyFill="1" applyBorder="1" applyProtection="1"/>
    <xf numFmtId="3" fontId="2" fillId="9" borderId="7" xfId="5" applyNumberFormat="1" applyFont="1" applyFill="1" applyBorder="1" applyProtection="1"/>
    <xf numFmtId="3" fontId="2" fillId="9" borderId="106" xfId="5" applyNumberFormat="1" applyFont="1" applyFill="1" applyBorder="1" applyProtection="1"/>
    <xf numFmtId="3" fontId="2" fillId="9" borderId="91" xfId="5" applyNumberFormat="1" applyFont="1" applyFill="1" applyBorder="1" applyProtection="1"/>
    <xf numFmtId="3" fontId="2" fillId="9" borderId="114" xfId="5" applyNumberFormat="1" applyFont="1" applyFill="1" applyBorder="1" applyProtection="1"/>
    <xf numFmtId="0" fontId="94" fillId="0" borderId="0" xfId="5" applyFont="1" applyProtection="1"/>
    <xf numFmtId="3" fontId="2" fillId="3" borderId="18" xfId="0" applyNumberFormat="1" applyFont="1" applyFill="1" applyBorder="1" applyAlignment="1" applyProtection="1">
      <alignment horizontal="right"/>
    </xf>
    <xf numFmtId="3" fontId="2" fillId="9" borderId="22" xfId="0" applyNumberFormat="1" applyFont="1" applyFill="1" applyBorder="1" applyAlignment="1" applyProtection="1">
      <alignment horizontal="right"/>
    </xf>
    <xf numFmtId="3" fontId="2" fillId="3" borderId="115" xfId="0" applyNumberFormat="1" applyFont="1" applyFill="1" applyBorder="1" applyAlignment="1" applyProtection="1">
      <alignment horizontal="right"/>
    </xf>
    <xf numFmtId="3" fontId="2" fillId="2" borderId="21" xfId="0" applyNumberFormat="1" applyFont="1" applyFill="1" applyBorder="1" applyAlignment="1" applyProtection="1">
      <alignment horizontal="right"/>
      <protection locked="0"/>
    </xf>
    <xf numFmtId="3" fontId="2" fillId="2" borderId="22" xfId="0" applyNumberFormat="1" applyFont="1" applyFill="1" applyBorder="1" applyAlignment="1" applyProtection="1">
      <alignment horizontal="right"/>
      <protection locked="0"/>
    </xf>
    <xf numFmtId="3" fontId="2" fillId="3" borderId="116" xfId="0" applyNumberFormat="1" applyFont="1" applyFill="1" applyBorder="1" applyAlignment="1" applyProtection="1">
      <alignment horizontal="right"/>
    </xf>
    <xf numFmtId="3" fontId="2" fillId="15" borderId="18" xfId="0" applyNumberFormat="1" applyFont="1" applyFill="1" applyBorder="1" applyAlignment="1" applyProtection="1">
      <alignment horizontal="right"/>
      <protection locked="0"/>
    </xf>
    <xf numFmtId="3" fontId="13" fillId="3" borderId="108" xfId="0" applyNumberFormat="1" applyFont="1" applyFill="1" applyBorder="1" applyAlignment="1" applyProtection="1">
      <alignment horizontal="right"/>
    </xf>
    <xf numFmtId="3" fontId="13" fillId="10" borderId="30" xfId="0" applyNumberFormat="1" applyFont="1" applyFill="1" applyBorder="1" applyAlignment="1" applyProtection="1">
      <alignment horizontal="right"/>
    </xf>
    <xf numFmtId="3" fontId="13" fillId="10" borderId="31" xfId="0" applyNumberFormat="1" applyFont="1" applyFill="1" applyBorder="1" applyAlignment="1" applyProtection="1">
      <alignment horizontal="right"/>
    </xf>
    <xf numFmtId="3" fontId="13" fillId="10" borderId="23" xfId="0" applyNumberFormat="1" applyFont="1" applyFill="1" applyBorder="1" applyAlignment="1" applyProtection="1">
      <alignment horizontal="right"/>
    </xf>
    <xf numFmtId="3" fontId="13" fillId="10" borderId="9" xfId="0" applyNumberFormat="1" applyFont="1" applyFill="1" applyBorder="1" applyAlignment="1" applyProtection="1">
      <alignment horizontal="right"/>
    </xf>
    <xf numFmtId="3" fontId="13" fillId="10" borderId="20" xfId="0" applyNumberFormat="1" applyFont="1" applyFill="1" applyBorder="1" applyAlignment="1" applyProtection="1">
      <alignment horizontal="right"/>
    </xf>
    <xf numFmtId="3" fontId="13" fillId="10" borderId="10" xfId="0" applyNumberFormat="1" applyFont="1" applyFill="1" applyBorder="1" applyAlignment="1" applyProtection="1">
      <alignment horizontal="right"/>
    </xf>
    <xf numFmtId="3" fontId="13" fillId="10" borderId="14" xfId="0" applyNumberFormat="1" applyFont="1" applyFill="1" applyBorder="1" applyAlignment="1" applyProtection="1">
      <alignment horizontal="right"/>
    </xf>
    <xf numFmtId="3" fontId="13" fillId="2" borderId="55" xfId="0" applyNumberFormat="1" applyFont="1" applyFill="1" applyBorder="1" applyAlignment="1" applyProtection="1">
      <alignment horizontal="right"/>
      <protection locked="0"/>
    </xf>
    <xf numFmtId="3" fontId="13" fillId="2" borderId="54" xfId="0" applyNumberFormat="1" applyFont="1" applyFill="1" applyBorder="1" applyAlignment="1" applyProtection="1">
      <alignment horizontal="right"/>
      <protection locked="0"/>
    </xf>
    <xf numFmtId="3" fontId="13" fillId="2" borderId="65" xfId="0" applyNumberFormat="1" applyFont="1" applyFill="1" applyBorder="1" applyAlignment="1" applyProtection="1">
      <alignment horizontal="right"/>
      <protection locked="0"/>
    </xf>
    <xf numFmtId="3" fontId="13" fillId="10" borderId="101" xfId="0" applyNumberFormat="1" applyFont="1" applyFill="1" applyBorder="1" applyAlignment="1" applyProtection="1">
      <alignment horizontal="right"/>
    </xf>
    <xf numFmtId="3" fontId="13" fillId="10" borderId="117" xfId="0" applyNumberFormat="1" applyFont="1" applyFill="1" applyBorder="1" applyAlignment="1" applyProtection="1">
      <alignment horizontal="right"/>
    </xf>
    <xf numFmtId="3" fontId="13" fillId="10" borderId="118" xfId="0" applyNumberFormat="1" applyFont="1" applyFill="1" applyBorder="1" applyAlignment="1" applyProtection="1">
      <alignment horizontal="right"/>
    </xf>
    <xf numFmtId="3" fontId="13" fillId="10" borderId="88" xfId="0" applyNumberFormat="1" applyFont="1" applyFill="1" applyBorder="1" applyAlignment="1" applyProtection="1">
      <alignment horizontal="right"/>
    </xf>
    <xf numFmtId="3" fontId="13" fillId="10" borderId="4" xfId="0" applyNumberFormat="1" applyFont="1" applyFill="1" applyBorder="1" applyAlignment="1" applyProtection="1">
      <alignment horizontal="right"/>
    </xf>
    <xf numFmtId="3" fontId="13" fillId="10" borderId="3" xfId="0" applyNumberFormat="1" applyFont="1" applyFill="1" applyBorder="1" applyAlignment="1" applyProtection="1">
      <alignment horizontal="right"/>
    </xf>
    <xf numFmtId="3" fontId="13" fillId="10" borderId="2" xfId="0" applyNumberFormat="1" applyFont="1" applyFill="1" applyBorder="1" applyAlignment="1" applyProtection="1">
      <alignment horizontal="right"/>
    </xf>
    <xf numFmtId="3" fontId="13" fillId="10" borderId="18" xfId="0" applyNumberFormat="1" applyFont="1" applyFill="1" applyBorder="1" applyAlignment="1" applyProtection="1">
      <alignment horizontal="right"/>
    </xf>
    <xf numFmtId="3" fontId="13" fillId="10" borderId="98" xfId="0" applyNumberFormat="1" applyFont="1" applyFill="1" applyBorder="1" applyAlignment="1" applyProtection="1">
      <alignment horizontal="right"/>
    </xf>
    <xf numFmtId="3" fontId="13" fillId="10" borderId="21" xfId="0" applyNumberFormat="1" applyFont="1" applyFill="1" applyBorder="1" applyAlignment="1" applyProtection="1">
      <alignment horizontal="right"/>
    </xf>
    <xf numFmtId="3" fontId="13" fillId="10" borderId="47" xfId="0" applyNumberFormat="1" applyFont="1" applyFill="1" applyBorder="1" applyAlignment="1" applyProtection="1">
      <alignment horizontal="right"/>
    </xf>
    <xf numFmtId="3" fontId="13" fillId="10" borderId="119" xfId="0" applyNumberFormat="1" applyFont="1" applyFill="1" applyBorder="1" applyAlignment="1" applyProtection="1">
      <alignment horizontal="right"/>
    </xf>
    <xf numFmtId="3" fontId="13" fillId="10" borderId="28" xfId="0" applyNumberFormat="1" applyFont="1" applyFill="1" applyBorder="1" applyAlignment="1" applyProtection="1">
      <alignment horizontal="right"/>
    </xf>
    <xf numFmtId="3" fontId="13" fillId="10" borderId="103" xfId="0" applyNumberFormat="1" applyFont="1" applyFill="1" applyBorder="1" applyAlignment="1" applyProtection="1">
      <alignment horizontal="right"/>
    </xf>
    <xf numFmtId="3" fontId="13" fillId="10" borderId="29" xfId="0" applyNumberFormat="1" applyFont="1" applyFill="1" applyBorder="1" applyAlignment="1" applyProtection="1">
      <alignment horizontal="right"/>
    </xf>
    <xf numFmtId="3" fontId="13" fillId="10" borderId="32" xfId="0" applyNumberFormat="1" applyFont="1" applyFill="1" applyBorder="1" applyAlignment="1" applyProtection="1">
      <alignment horizontal="right"/>
    </xf>
    <xf numFmtId="3" fontId="13" fillId="10" borderId="22" xfId="0" applyNumberFormat="1" applyFont="1" applyFill="1" applyBorder="1" applyAlignment="1" applyProtection="1">
      <alignment horizontal="right"/>
    </xf>
    <xf numFmtId="3" fontId="13" fillId="10" borderId="5" xfId="0" applyNumberFormat="1" applyFont="1" applyFill="1" applyBorder="1" applyAlignment="1" applyProtection="1">
      <alignment horizontal="right"/>
    </xf>
    <xf numFmtId="3" fontId="13" fillId="10" borderId="19" xfId="0" applyNumberFormat="1" applyFont="1" applyFill="1" applyBorder="1" applyAlignment="1" applyProtection="1">
      <alignment horizontal="right"/>
    </xf>
    <xf numFmtId="3" fontId="13" fillId="10" borderId="6" xfId="0" applyNumberFormat="1" applyFont="1" applyFill="1" applyBorder="1" applyAlignment="1" applyProtection="1">
      <alignment horizontal="right"/>
    </xf>
    <xf numFmtId="3" fontId="13" fillId="10" borderId="7" xfId="0" applyNumberFormat="1" applyFont="1" applyFill="1" applyBorder="1" applyAlignment="1" applyProtection="1">
      <alignment horizontal="right"/>
    </xf>
    <xf numFmtId="0" fontId="25" fillId="10" borderId="96" xfId="0" applyFont="1" applyFill="1" applyBorder="1" applyProtection="1"/>
    <xf numFmtId="0" fontId="25" fillId="10" borderId="120" xfId="0" applyFont="1" applyFill="1" applyBorder="1" applyProtection="1"/>
    <xf numFmtId="0" fontId="25" fillId="10" borderId="121" xfId="0" applyFont="1" applyFill="1" applyBorder="1" applyProtection="1"/>
    <xf numFmtId="0" fontId="25" fillId="10" borderId="65" xfId="0" applyFont="1" applyFill="1" applyBorder="1" applyProtection="1"/>
    <xf numFmtId="0" fontId="25" fillId="10" borderId="82" xfId="0" applyFont="1" applyFill="1" applyBorder="1" applyProtection="1"/>
    <xf numFmtId="0" fontId="25" fillId="10" borderId="53" xfId="0" applyFont="1" applyFill="1" applyBorder="1" applyProtection="1"/>
    <xf numFmtId="0" fontId="25" fillId="10" borderId="98" xfId="0" applyFont="1" applyFill="1" applyBorder="1" applyProtection="1"/>
    <xf numFmtId="0" fontId="25" fillId="10" borderId="118" xfId="0" applyFont="1" applyFill="1" applyBorder="1" applyProtection="1"/>
    <xf numFmtId="0" fontId="25" fillId="10" borderId="21" xfId="0" applyFont="1" applyFill="1" applyBorder="1" applyProtection="1"/>
    <xf numFmtId="0" fontId="25" fillId="10" borderId="2" xfId="0" applyFont="1" applyFill="1" applyBorder="1" applyProtection="1"/>
    <xf numFmtId="0" fontId="25" fillId="10" borderId="47" xfId="0" applyFont="1" applyFill="1" applyBorder="1" applyProtection="1"/>
    <xf numFmtId="0" fontId="25" fillId="10" borderId="119" xfId="0" applyFont="1" applyFill="1" applyBorder="1" applyProtection="1"/>
    <xf numFmtId="0" fontId="25" fillId="10" borderId="28" xfId="0" applyFont="1" applyFill="1" applyBorder="1" applyProtection="1"/>
    <xf numFmtId="0" fontId="25" fillId="10" borderId="103" xfId="0" applyFont="1" applyFill="1" applyBorder="1" applyProtection="1"/>
    <xf numFmtId="3" fontId="13" fillId="10" borderId="109" xfId="0" applyNumberFormat="1" applyFont="1" applyFill="1" applyBorder="1" applyAlignment="1" applyProtection="1">
      <alignment horizontal="right"/>
    </xf>
    <xf numFmtId="3" fontId="13" fillId="2" borderId="82" xfId="0" applyNumberFormat="1" applyFont="1" applyFill="1" applyBorder="1" applyAlignment="1" applyProtection="1">
      <alignment horizontal="right"/>
      <protection locked="0"/>
    </xf>
    <xf numFmtId="0" fontId="25" fillId="10" borderId="7" xfId="0" applyFont="1" applyFill="1" applyBorder="1" applyProtection="1"/>
    <xf numFmtId="0" fontId="25" fillId="10" borderId="6" xfId="0" applyFont="1" applyFill="1" applyBorder="1" applyProtection="1"/>
    <xf numFmtId="0" fontId="25" fillId="10" borderId="5" xfId="0" applyFont="1" applyFill="1" applyBorder="1" applyProtection="1"/>
    <xf numFmtId="3" fontId="13" fillId="16" borderId="5" xfId="0" applyNumberFormat="1" applyFont="1" applyFill="1" applyBorder="1" applyAlignment="1" applyProtection="1">
      <alignment horizontal="right"/>
    </xf>
    <xf numFmtId="3" fontId="13" fillId="16" borderId="6" xfId="0" applyNumberFormat="1" applyFont="1" applyFill="1" applyBorder="1" applyAlignment="1" applyProtection="1">
      <alignment horizontal="right"/>
    </xf>
    <xf numFmtId="0" fontId="25" fillId="10" borderId="19" xfId="0" applyFont="1" applyFill="1" applyBorder="1" applyProtection="1"/>
    <xf numFmtId="0" fontId="25" fillId="10" borderId="22" xfId="0" applyFont="1" applyFill="1" applyBorder="1" applyProtection="1"/>
    <xf numFmtId="0" fontId="25" fillId="10" borderId="29" xfId="0" applyFont="1" applyFill="1" applyBorder="1" applyProtection="1"/>
    <xf numFmtId="0" fontId="25" fillId="10" borderId="32" xfId="0" applyFont="1" applyFill="1" applyBorder="1" applyProtection="1"/>
    <xf numFmtId="3" fontId="13" fillId="2" borderId="122" xfId="0" applyNumberFormat="1" applyFont="1" applyFill="1" applyBorder="1" applyAlignment="1" applyProtection="1">
      <alignment horizontal="right"/>
    </xf>
    <xf numFmtId="3" fontId="13" fillId="10" borderId="14" xfId="0" applyNumberFormat="1" applyFont="1" applyFill="1" applyBorder="1" applyAlignment="1" applyProtection="1">
      <alignment horizontal="left"/>
    </xf>
    <xf numFmtId="3" fontId="13" fillId="10" borderId="10" xfId="0" applyNumberFormat="1" applyFont="1" applyFill="1" applyBorder="1" applyAlignment="1" applyProtection="1">
      <alignment horizontal="left"/>
    </xf>
    <xf numFmtId="3" fontId="13" fillId="10" borderId="9" xfId="0" applyNumberFormat="1" applyFont="1" applyFill="1" applyBorder="1" applyAlignment="1" applyProtection="1">
      <alignment horizontal="left"/>
    </xf>
    <xf numFmtId="3" fontId="13" fillId="10" borderId="20" xfId="0" applyNumberFormat="1" applyFont="1" applyFill="1" applyBorder="1" applyAlignment="1" applyProtection="1">
      <alignment horizontal="left"/>
    </xf>
    <xf numFmtId="3" fontId="13" fillId="10" borderId="23" xfId="0" applyNumberFormat="1" applyFont="1" applyFill="1" applyBorder="1" applyAlignment="1" applyProtection="1">
      <alignment horizontal="left"/>
    </xf>
    <xf numFmtId="3" fontId="13" fillId="17" borderId="20" xfId="0" applyNumberFormat="1" applyFont="1" applyFill="1" applyBorder="1" applyAlignment="1" applyProtection="1">
      <alignment horizontal="left"/>
    </xf>
    <xf numFmtId="3" fontId="13" fillId="10" borderId="30" xfId="0" applyNumberFormat="1" applyFont="1" applyFill="1" applyBorder="1" applyAlignment="1" applyProtection="1">
      <alignment horizontal="left"/>
    </xf>
    <xf numFmtId="3" fontId="13" fillId="10" borderId="31" xfId="0" applyNumberFormat="1" applyFont="1" applyFill="1" applyBorder="1" applyAlignment="1" applyProtection="1">
      <alignment horizontal="left"/>
    </xf>
    <xf numFmtId="0" fontId="90" fillId="0" borderId="11" xfId="5" applyFont="1" applyBorder="1" applyProtection="1"/>
    <xf numFmtId="0" fontId="24" fillId="0" borderId="87" xfId="5" applyBorder="1" applyProtection="1"/>
    <xf numFmtId="0" fontId="90" fillId="0" borderId="74" xfId="5" applyFont="1" applyBorder="1" applyProtection="1"/>
    <xf numFmtId="49" fontId="95" fillId="7" borderId="0" xfId="0" applyNumberFormat="1" applyFont="1" applyFill="1" applyProtection="1"/>
    <xf numFmtId="0" fontId="95" fillId="7" borderId="0" xfId="0" applyFont="1" applyFill="1" applyProtection="1"/>
    <xf numFmtId="49" fontId="97" fillId="7" borderId="0" xfId="0" applyNumberFormat="1" applyFont="1" applyFill="1" applyProtection="1"/>
    <xf numFmtId="0" fontId="97" fillId="7" borderId="0" xfId="0" applyFont="1" applyFill="1" applyProtection="1"/>
    <xf numFmtId="0" fontId="0" fillId="7" borderId="0" xfId="0" applyFill="1" applyAlignment="1" applyProtection="1">
      <alignment horizontal="right"/>
    </xf>
    <xf numFmtId="0" fontId="98" fillId="7" borderId="0" xfId="0" applyFont="1" applyFill="1" applyProtection="1"/>
    <xf numFmtId="49" fontId="97" fillId="7" borderId="0" xfId="0" applyNumberFormat="1" applyFont="1" applyFill="1" applyAlignment="1" applyProtection="1">
      <alignment horizontal="right"/>
    </xf>
    <xf numFmtId="49" fontId="96" fillId="7" borderId="0" xfId="0" applyNumberFormat="1" applyFont="1" applyFill="1" applyAlignment="1" applyProtection="1">
      <alignment horizontal="right"/>
    </xf>
    <xf numFmtId="0" fontId="96" fillId="7" borderId="0" xfId="0" applyFont="1" applyFill="1" applyAlignment="1" applyProtection="1">
      <alignment horizontal="left"/>
    </xf>
    <xf numFmtId="49" fontId="97" fillId="7" borderId="0" xfId="5" applyNumberFormat="1" applyFont="1" applyFill="1" applyBorder="1" applyAlignment="1" applyProtection="1">
      <alignment horizontal="left"/>
    </xf>
    <xf numFmtId="0" fontId="97" fillId="7" borderId="0" xfId="5" applyFont="1" applyFill="1" applyProtection="1"/>
    <xf numFmtId="49" fontId="97" fillId="7" borderId="0" xfId="0" applyNumberFormat="1" applyFont="1" applyFill="1" applyAlignment="1" applyProtection="1"/>
    <xf numFmtId="0" fontId="97" fillId="7" borderId="0" xfId="0" applyFont="1" applyFill="1" applyAlignment="1" applyProtection="1"/>
    <xf numFmtId="3" fontId="2" fillId="0" borderId="18" xfId="0" applyNumberFormat="1" applyFont="1" applyFill="1" applyBorder="1" applyAlignment="1" applyProtection="1">
      <alignment horizontal="right"/>
      <protection locked="0"/>
    </xf>
    <xf numFmtId="3" fontId="50" fillId="0" borderId="39" xfId="0" applyNumberFormat="1" applyFont="1" applyFill="1" applyBorder="1" applyProtection="1"/>
    <xf numFmtId="3" fontId="7" fillId="0" borderId="39" xfId="0" applyNumberFormat="1" applyFont="1" applyFill="1" applyBorder="1" applyProtection="1"/>
    <xf numFmtId="3" fontId="3" fillId="0" borderId="67" xfId="0" applyNumberFormat="1" applyFont="1" applyFill="1" applyBorder="1" applyAlignment="1" applyProtection="1">
      <alignment horizontal="right"/>
    </xf>
    <xf numFmtId="3" fontId="36" fillId="0" borderId="39" xfId="0" applyNumberFormat="1" applyFont="1" applyFill="1" applyBorder="1" applyAlignment="1" applyProtection="1">
      <alignment horizontal="right"/>
    </xf>
    <xf numFmtId="0" fontId="81" fillId="2" borderId="67" xfId="10" applyFont="1" applyFill="1" applyBorder="1" applyProtection="1"/>
    <xf numFmtId="0" fontId="7" fillId="0" borderId="39" xfId="0" applyFont="1" applyFill="1" applyBorder="1" applyProtection="1"/>
    <xf numFmtId="3" fontId="13" fillId="3" borderId="8" xfId="0" applyNumberFormat="1" applyFont="1" applyFill="1" applyBorder="1" applyAlignment="1" applyProtection="1">
      <alignment horizontal="right"/>
    </xf>
    <xf numFmtId="3" fontId="36" fillId="2" borderId="39" xfId="0" applyNumberFormat="1" applyFont="1" applyFill="1" applyBorder="1" applyAlignment="1" applyProtection="1">
      <alignment horizontal="left"/>
    </xf>
    <xf numFmtId="3" fontId="103" fillId="2" borderId="0" xfId="0" applyNumberFormat="1" applyFont="1" applyFill="1" applyBorder="1" applyAlignment="1" applyProtection="1">
      <alignment horizontal="right"/>
    </xf>
    <xf numFmtId="3" fontId="103" fillId="5" borderId="0" xfId="0" applyNumberFormat="1" applyFont="1" applyFill="1" applyBorder="1" applyAlignment="1" applyProtection="1">
      <alignment horizontal="right"/>
    </xf>
    <xf numFmtId="3" fontId="103" fillId="4" borderId="0" xfId="0" applyNumberFormat="1" applyFont="1" applyFill="1" applyBorder="1" applyAlignment="1" applyProtection="1">
      <alignment horizontal="right"/>
    </xf>
    <xf numFmtId="3" fontId="103" fillId="6" borderId="0" xfId="0" applyNumberFormat="1" applyFont="1" applyFill="1" applyBorder="1" applyAlignment="1" applyProtection="1">
      <alignment horizontal="right"/>
    </xf>
    <xf numFmtId="0" fontId="104" fillId="0" borderId="0" xfId="0" applyFont="1" applyFill="1" applyBorder="1" applyProtection="1"/>
    <xf numFmtId="49" fontId="3" fillId="21" borderId="127" xfId="0" applyNumberFormat="1" applyFont="1" applyFill="1" applyBorder="1" applyAlignment="1" applyProtection="1">
      <alignment horizontal="center"/>
    </xf>
    <xf numFmtId="0" fontId="5" fillId="21" borderId="13" xfId="0" applyFont="1" applyFill="1" applyBorder="1" applyProtection="1"/>
    <xf numFmtId="49" fontId="3" fillId="21" borderId="5" xfId="0" applyNumberFormat="1" applyFont="1" applyFill="1" applyBorder="1" applyAlignment="1" applyProtection="1">
      <alignment horizontal="center" wrapText="1"/>
    </xf>
    <xf numFmtId="49" fontId="3" fillId="21" borderId="84" xfId="0" applyNumberFormat="1" applyFont="1" applyFill="1" applyBorder="1" applyAlignment="1" applyProtection="1">
      <alignment horizontal="center" wrapText="1"/>
    </xf>
    <xf numFmtId="49" fontId="3" fillId="21" borderId="2" xfId="0" applyNumberFormat="1" applyFont="1" applyFill="1" applyBorder="1" applyAlignment="1" applyProtection="1">
      <alignment horizontal="center" wrapText="1"/>
    </xf>
    <xf numFmtId="0" fontId="8" fillId="21" borderId="5" xfId="0" applyFont="1" applyFill="1" applyBorder="1" applyAlignment="1" applyProtection="1">
      <alignment horizontal="center"/>
    </xf>
    <xf numFmtId="0" fontId="3" fillId="21" borderId="68" xfId="0" applyFont="1" applyFill="1" applyBorder="1" applyAlignment="1" applyProtection="1">
      <alignment horizontal="center"/>
    </xf>
    <xf numFmtId="3" fontId="3" fillId="21" borderId="128" xfId="0" applyNumberFormat="1" applyFont="1" applyFill="1" applyBorder="1" applyAlignment="1" applyProtection="1"/>
    <xf numFmtId="0" fontId="3" fillId="21" borderId="23" xfId="0" applyFont="1" applyFill="1" applyBorder="1" applyAlignment="1" applyProtection="1">
      <alignment horizontal="center"/>
    </xf>
    <xf numFmtId="0" fontId="3" fillId="21" borderId="9" xfId="0" applyFont="1" applyFill="1" applyBorder="1" applyAlignment="1" applyProtection="1">
      <alignment horizontal="center"/>
    </xf>
    <xf numFmtId="0" fontId="3" fillId="21" borderId="129" xfId="0" applyFont="1" applyFill="1" applyBorder="1" applyAlignment="1" applyProtection="1">
      <alignment horizontal="center"/>
    </xf>
    <xf numFmtId="0" fontId="8" fillId="21" borderId="13" xfId="0" applyFont="1" applyFill="1" applyBorder="1" applyAlignment="1" applyProtection="1">
      <alignment horizontal="center"/>
    </xf>
    <xf numFmtId="0" fontId="3" fillId="21" borderId="22" xfId="0" applyFont="1" applyFill="1" applyBorder="1" applyAlignment="1" applyProtection="1">
      <alignment horizontal="center"/>
    </xf>
    <xf numFmtId="0" fontId="8" fillId="21" borderId="5" xfId="0" applyFont="1" applyFill="1" applyBorder="1" applyAlignment="1" applyProtection="1">
      <alignment wrapText="1"/>
    </xf>
    <xf numFmtId="0" fontId="3" fillId="21" borderId="21" xfId="0" applyFont="1" applyFill="1" applyBorder="1" applyAlignment="1" applyProtection="1">
      <alignment horizontal="center"/>
    </xf>
    <xf numFmtId="0" fontId="3" fillId="21" borderId="2" xfId="0" applyFont="1" applyFill="1" applyBorder="1" applyProtection="1"/>
    <xf numFmtId="0" fontId="3" fillId="21" borderId="130" xfId="0" applyFont="1" applyFill="1" applyBorder="1" applyAlignment="1" applyProtection="1">
      <alignment horizontal="center"/>
    </xf>
    <xf numFmtId="1" fontId="3" fillId="21" borderId="15" xfId="0" applyNumberFormat="1" applyFont="1" applyFill="1" applyBorder="1" applyAlignment="1" applyProtection="1">
      <alignment horizontal="center"/>
    </xf>
    <xf numFmtId="0" fontId="3" fillId="21" borderId="15" xfId="0" applyFont="1" applyFill="1" applyBorder="1" applyProtection="1"/>
    <xf numFmtId="1" fontId="3" fillId="21" borderId="5" xfId="0" applyNumberFormat="1" applyFont="1" applyFill="1" applyBorder="1" applyAlignment="1" applyProtection="1">
      <alignment horizontal="center"/>
    </xf>
    <xf numFmtId="0" fontId="3" fillId="21" borderId="5" xfId="0" applyFont="1" applyFill="1" applyBorder="1" applyProtection="1"/>
    <xf numFmtId="0" fontId="3" fillId="21" borderId="50" xfId="0" applyFont="1" applyFill="1" applyBorder="1" applyAlignment="1" applyProtection="1">
      <alignment horizontal="center"/>
    </xf>
    <xf numFmtId="1" fontId="3" fillId="21" borderId="2" xfId="0" applyNumberFormat="1" applyFont="1" applyFill="1" applyBorder="1" applyAlignment="1" applyProtection="1">
      <alignment horizontal="center"/>
    </xf>
    <xf numFmtId="0" fontId="3" fillId="21" borderId="24" xfId="0" applyFont="1" applyFill="1" applyBorder="1" applyAlignment="1" applyProtection="1">
      <alignment horizontal="center"/>
    </xf>
    <xf numFmtId="1" fontId="5" fillId="21" borderId="13" xfId="0" applyNumberFormat="1" applyFont="1" applyFill="1" applyBorder="1" applyAlignment="1" applyProtection="1">
      <alignment horizontal="center"/>
    </xf>
    <xf numFmtId="0" fontId="8" fillId="21" borderId="131" xfId="0" applyFont="1" applyFill="1" applyBorder="1" applyAlignment="1" applyProtection="1">
      <alignment horizontal="center"/>
    </xf>
    <xf numFmtId="1" fontId="8" fillId="21" borderId="2" xfId="0" applyNumberFormat="1" applyFont="1" applyFill="1" applyBorder="1" applyAlignment="1" applyProtection="1">
      <alignment horizontal="center"/>
    </xf>
    <xf numFmtId="0" fontId="8" fillId="21" borderId="2" xfId="0" applyFont="1" applyFill="1" applyBorder="1" applyProtection="1"/>
    <xf numFmtId="1" fontId="16" fillId="21" borderId="13" xfId="0" applyNumberFormat="1" applyFont="1" applyFill="1" applyBorder="1" applyAlignment="1" applyProtection="1">
      <alignment horizontal="center"/>
    </xf>
    <xf numFmtId="0" fontId="16" fillId="21" borderId="13" xfId="0" applyFont="1" applyFill="1" applyBorder="1" applyProtection="1"/>
    <xf numFmtId="0" fontId="3" fillId="21" borderId="51" xfId="0" applyFont="1" applyFill="1" applyBorder="1" applyAlignment="1" applyProtection="1">
      <alignment horizontal="center"/>
    </xf>
    <xf numFmtId="1" fontId="5" fillId="21" borderId="25" xfId="0" applyNumberFormat="1" applyFont="1" applyFill="1" applyBorder="1" applyAlignment="1" applyProtection="1">
      <alignment horizontal="center"/>
    </xf>
    <xf numFmtId="0" fontId="5" fillId="21" borderId="25" xfId="0" applyFont="1" applyFill="1" applyBorder="1" applyProtection="1"/>
    <xf numFmtId="0" fontId="3" fillId="21" borderId="131" xfId="0" applyFont="1" applyFill="1" applyBorder="1" applyAlignment="1" applyProtection="1">
      <alignment horizontal="center"/>
    </xf>
    <xf numFmtId="0" fontId="3" fillId="21" borderId="25" xfId="0" applyFont="1" applyFill="1" applyBorder="1" applyAlignment="1" applyProtection="1">
      <alignment horizontal="center"/>
    </xf>
    <xf numFmtId="0" fontId="3" fillId="21" borderId="25" xfId="0" applyFont="1" applyFill="1" applyBorder="1" applyProtection="1"/>
    <xf numFmtId="0" fontId="5" fillId="21" borderId="2" xfId="0" applyFont="1" applyFill="1" applyBorder="1" applyProtection="1"/>
    <xf numFmtId="49" fontId="3" fillId="21" borderId="129" xfId="0" applyNumberFormat="1" applyFont="1" applyFill="1" applyBorder="1" applyAlignment="1" applyProtection="1">
      <alignment horizontal="center"/>
    </xf>
    <xf numFmtId="0" fontId="3" fillId="21" borderId="106" xfId="0" applyFont="1" applyFill="1" applyBorder="1" applyAlignment="1" applyProtection="1">
      <alignment horizontal="center"/>
    </xf>
    <xf numFmtId="1" fontId="3" fillId="21" borderId="42" xfId="0" applyNumberFormat="1" applyFont="1" applyFill="1" applyBorder="1" applyAlignment="1" applyProtection="1">
      <alignment horizontal="left"/>
    </xf>
    <xf numFmtId="0" fontId="3" fillId="21" borderId="132" xfId="0" applyFont="1" applyFill="1" applyBorder="1" applyAlignment="1" applyProtection="1">
      <alignment horizontal="center"/>
    </xf>
    <xf numFmtId="1" fontId="3" fillId="21" borderId="133" xfId="0" applyNumberFormat="1" applyFont="1" applyFill="1" applyBorder="1" applyAlignment="1" applyProtection="1">
      <alignment horizontal="left"/>
    </xf>
    <xf numFmtId="49" fontId="3" fillId="21" borderId="134" xfId="0" applyNumberFormat="1" applyFont="1" applyFill="1" applyBorder="1" applyAlignment="1" applyProtection="1">
      <alignment horizontal="center"/>
    </xf>
    <xf numFmtId="0" fontId="65" fillId="21" borderId="81" xfId="0" applyFont="1" applyFill="1" applyBorder="1" applyAlignment="1" applyProtection="1">
      <alignment horizontal="center"/>
    </xf>
    <xf numFmtId="49" fontId="3" fillId="21" borderId="21" xfId="0" applyNumberFormat="1" applyFont="1" applyFill="1" applyBorder="1" applyAlignment="1" applyProtection="1">
      <alignment horizontal="center"/>
    </xf>
    <xf numFmtId="49" fontId="18" fillId="21" borderId="8" xfId="0" applyNumberFormat="1" applyFont="1" applyFill="1" applyBorder="1" applyAlignment="1" applyProtection="1">
      <alignment horizontal="left"/>
    </xf>
    <xf numFmtId="49" fontId="3" fillId="21" borderId="22" xfId="0" applyNumberFormat="1" applyFont="1" applyFill="1" applyBorder="1" applyAlignment="1" applyProtection="1">
      <alignment horizontal="center"/>
    </xf>
    <xf numFmtId="49" fontId="3" fillId="21" borderId="130" xfId="0" applyNumberFormat="1" applyFont="1" applyFill="1" applyBorder="1" applyAlignment="1" applyProtection="1">
      <alignment horizontal="center"/>
    </xf>
    <xf numFmtId="49" fontId="3" fillId="21" borderId="24" xfId="0" applyNumberFormat="1" applyFont="1" applyFill="1" applyBorder="1" applyAlignment="1" applyProtection="1">
      <alignment horizontal="center"/>
    </xf>
    <xf numFmtId="49" fontId="65" fillId="21" borderId="66" xfId="0" applyNumberFormat="1" applyFont="1" applyFill="1" applyBorder="1" applyAlignment="1" applyProtection="1">
      <alignment horizontal="center"/>
    </xf>
    <xf numFmtId="49" fontId="8" fillId="21" borderId="135" xfId="0" applyNumberFormat="1" applyFont="1" applyFill="1" applyBorder="1" applyAlignment="1" applyProtection="1">
      <alignment horizontal="center"/>
    </xf>
    <xf numFmtId="0" fontId="16" fillId="21" borderId="136" xfId="0" applyFont="1" applyFill="1" applyBorder="1" applyAlignment="1" applyProtection="1">
      <alignment wrapText="1"/>
    </xf>
    <xf numFmtId="0" fontId="3" fillId="21" borderId="2" xfId="0" applyFont="1" applyFill="1" applyBorder="1" applyAlignment="1" applyProtection="1">
      <alignment wrapText="1"/>
    </xf>
    <xf numFmtId="49" fontId="3" fillId="21" borderId="131" xfId="0" applyNumberFormat="1" applyFont="1" applyFill="1" applyBorder="1" applyAlignment="1" applyProtection="1">
      <alignment horizontal="center"/>
    </xf>
    <xf numFmtId="0" fontId="5" fillId="21" borderId="42" xfId="0" applyFont="1" applyFill="1" applyBorder="1" applyProtection="1"/>
    <xf numFmtId="49" fontId="8" fillId="21" borderId="125" xfId="0" applyNumberFormat="1" applyFont="1" applyFill="1" applyBorder="1" applyAlignment="1" applyProtection="1">
      <alignment horizontal="center"/>
    </xf>
    <xf numFmtId="0" fontId="16" fillId="21" borderId="42" xfId="0" applyFont="1" applyFill="1" applyBorder="1" applyProtection="1"/>
    <xf numFmtId="0" fontId="5" fillId="21" borderId="2" xfId="0" applyFont="1" applyFill="1" applyBorder="1" applyAlignment="1" applyProtection="1">
      <alignment wrapText="1"/>
    </xf>
    <xf numFmtId="49" fontId="8" fillId="21" borderId="22" xfId="0" applyNumberFormat="1" applyFont="1" applyFill="1" applyBorder="1" applyAlignment="1" applyProtection="1">
      <alignment horizontal="center"/>
    </xf>
    <xf numFmtId="0" fontId="3" fillId="21" borderId="5" xfId="0" applyFont="1" applyFill="1" applyBorder="1" applyAlignment="1" applyProtection="1">
      <alignment wrapText="1"/>
    </xf>
    <xf numFmtId="0" fontId="5" fillId="21" borderId="120" xfId="0" applyFont="1" applyFill="1" applyBorder="1" applyAlignment="1" applyProtection="1">
      <alignment horizontal="right"/>
    </xf>
    <xf numFmtId="0" fontId="3" fillId="21" borderId="98" xfId="0" applyFont="1" applyFill="1" applyBorder="1" applyAlignment="1" applyProtection="1">
      <alignment horizontal="left"/>
    </xf>
    <xf numFmtId="0" fontId="5" fillId="21" borderId="118" xfId="0" applyFont="1" applyFill="1" applyBorder="1" applyAlignment="1" applyProtection="1">
      <alignment horizontal="right"/>
    </xf>
    <xf numFmtId="0" fontId="3" fillId="21" borderId="127" xfId="0" applyFont="1" applyFill="1" applyBorder="1" applyAlignment="1" applyProtection="1">
      <alignment horizontal="left"/>
    </xf>
    <xf numFmtId="0" fontId="5" fillId="21" borderId="15" xfId="0" applyFont="1" applyFill="1" applyBorder="1" applyAlignment="1" applyProtection="1">
      <alignment horizontal="right"/>
    </xf>
    <xf numFmtId="0" fontId="5" fillId="21" borderId="2" xfId="0" applyFont="1" applyFill="1" applyBorder="1" applyAlignment="1" applyProtection="1">
      <alignment horizontal="left"/>
    </xf>
    <xf numFmtId="0" fontId="3" fillId="21" borderId="2" xfId="0" applyFont="1" applyFill="1" applyBorder="1" applyAlignment="1" applyProtection="1">
      <alignment horizontal="left"/>
    </xf>
    <xf numFmtId="0" fontId="5" fillId="21" borderId="13" xfId="0" applyFont="1" applyFill="1" applyBorder="1" applyAlignment="1" applyProtection="1">
      <alignment horizontal="left"/>
    </xf>
    <xf numFmtId="49" fontId="3" fillId="21" borderId="23" xfId="0" applyNumberFormat="1" applyFont="1" applyFill="1" applyBorder="1" applyAlignment="1" applyProtection="1">
      <alignment horizontal="center"/>
    </xf>
    <xf numFmtId="0" fontId="3" fillId="21" borderId="9" xfId="0" applyFont="1" applyFill="1" applyBorder="1" applyAlignment="1" applyProtection="1">
      <alignment horizontal="left"/>
    </xf>
    <xf numFmtId="0" fontId="3" fillId="21" borderId="5" xfId="0" applyFont="1" applyFill="1" applyBorder="1" applyAlignment="1" applyProtection="1">
      <alignment horizontal="left"/>
    </xf>
    <xf numFmtId="0" fontId="5" fillId="21" borderId="15" xfId="0" applyFont="1" applyFill="1" applyBorder="1" applyAlignment="1" applyProtection="1">
      <alignment horizontal="left"/>
    </xf>
    <xf numFmtId="0" fontId="5" fillId="21" borderId="118" xfId="0" applyFont="1" applyFill="1" applyBorder="1" applyAlignment="1" applyProtection="1">
      <alignment horizontal="left"/>
    </xf>
    <xf numFmtId="0" fontId="5" fillId="21" borderId="121" xfId="0" applyFont="1" applyFill="1" applyBorder="1" applyAlignment="1" applyProtection="1">
      <alignment horizontal="left"/>
    </xf>
    <xf numFmtId="0" fontId="3" fillId="21" borderId="15" xfId="0" applyFont="1" applyFill="1" applyBorder="1" applyAlignment="1" applyProtection="1">
      <alignment horizontal="left"/>
    </xf>
    <xf numFmtId="0" fontId="3" fillId="21" borderId="57" xfId="0" applyFont="1" applyFill="1" applyBorder="1" applyAlignment="1" applyProtection="1">
      <alignment horizontal="left"/>
    </xf>
    <xf numFmtId="0" fontId="5" fillId="21" borderId="57" xfId="0" applyFont="1" applyFill="1" applyBorder="1" applyAlignment="1" applyProtection="1">
      <alignment horizontal="right"/>
    </xf>
    <xf numFmtId="0" fontId="3" fillId="21" borderId="54" xfId="0" applyFont="1" applyFill="1" applyBorder="1" applyAlignment="1" applyProtection="1">
      <alignment horizontal="left"/>
    </xf>
    <xf numFmtId="0" fontId="5" fillId="21" borderId="127" xfId="0" applyFont="1" applyFill="1" applyBorder="1" applyAlignment="1" applyProtection="1">
      <alignment horizontal="left" vertical="top"/>
    </xf>
    <xf numFmtId="0" fontId="5" fillId="21" borderId="57" xfId="0" applyFont="1" applyFill="1" applyBorder="1" applyAlignment="1" applyProtection="1">
      <alignment horizontal="left" vertical="top"/>
    </xf>
    <xf numFmtId="0" fontId="5" fillId="21" borderId="21" xfId="0" applyFont="1" applyFill="1" applyBorder="1" applyAlignment="1" applyProtection="1">
      <alignment horizontal="right"/>
    </xf>
    <xf numFmtId="0" fontId="5" fillId="21" borderId="53" xfId="0" applyFont="1" applyFill="1" applyBorder="1" applyAlignment="1" applyProtection="1">
      <alignment horizontal="right"/>
    </xf>
    <xf numFmtId="3" fontId="45" fillId="22" borderId="22" xfId="0" applyNumberFormat="1" applyFont="1" applyFill="1" applyBorder="1" applyProtection="1"/>
    <xf numFmtId="3" fontId="45" fillId="22" borderId="19" xfId="0" applyNumberFormat="1" applyFont="1" applyFill="1" applyBorder="1" applyProtection="1"/>
    <xf numFmtId="3" fontId="45" fillId="22" borderId="22" xfId="0" applyNumberFormat="1" applyFont="1" applyFill="1" applyBorder="1" applyAlignment="1" applyProtection="1">
      <alignment horizontal="right"/>
    </xf>
    <xf numFmtId="3" fontId="45" fillId="22" borderId="24" xfId="0" applyNumberFormat="1" applyFont="1" applyFill="1" applyBorder="1" applyProtection="1"/>
    <xf numFmtId="3" fontId="45" fillId="22" borderId="23" xfId="0" applyNumberFormat="1" applyFont="1" applyFill="1" applyBorder="1" applyProtection="1"/>
    <xf numFmtId="3" fontId="45" fillId="22" borderId="41" xfId="0" applyNumberFormat="1" applyFont="1" applyFill="1" applyBorder="1" applyProtection="1"/>
    <xf numFmtId="3" fontId="45" fillId="22" borderId="53" xfId="0" applyNumberFormat="1" applyFont="1" applyFill="1" applyBorder="1" applyProtection="1"/>
    <xf numFmtId="3" fontId="45" fillId="22" borderId="52" xfId="0" applyNumberFormat="1" applyFont="1" applyFill="1" applyBorder="1" applyProtection="1"/>
    <xf numFmtId="3" fontId="45" fillId="23" borderId="22" xfId="0" applyNumberFormat="1" applyFont="1" applyFill="1" applyBorder="1" applyProtection="1"/>
    <xf numFmtId="3" fontId="45" fillId="23" borderId="52" xfId="0" applyNumberFormat="1" applyFont="1" applyFill="1" applyBorder="1" applyProtection="1"/>
    <xf numFmtId="3" fontId="45" fillId="22" borderId="80" xfId="0" applyNumberFormat="1" applyFont="1" applyFill="1" applyBorder="1" applyProtection="1"/>
    <xf numFmtId="0" fontId="5" fillId="21" borderId="137" xfId="0" applyFont="1" applyFill="1" applyBorder="1" applyAlignment="1" applyProtection="1">
      <alignment horizontal="center" vertical="center" wrapText="1"/>
    </xf>
    <xf numFmtId="3" fontId="45" fillId="22" borderId="138" xfId="0" applyNumberFormat="1" applyFont="1" applyFill="1" applyBorder="1" applyProtection="1"/>
    <xf numFmtId="3" fontId="45" fillId="23" borderId="139" xfId="0" applyNumberFormat="1" applyFont="1" applyFill="1" applyBorder="1" applyProtection="1"/>
    <xf numFmtId="3" fontId="45" fillId="23" borderId="140" xfId="0" applyNumberFormat="1" applyFont="1" applyFill="1" applyBorder="1" applyProtection="1"/>
    <xf numFmtId="3" fontId="45" fillId="23" borderId="122" xfId="0" applyNumberFormat="1" applyFont="1" applyFill="1" applyBorder="1" applyProtection="1"/>
    <xf numFmtId="3" fontId="45" fillId="22" borderId="141" xfId="0" applyNumberFormat="1" applyFont="1" applyFill="1" applyBorder="1" applyProtection="1"/>
    <xf numFmtId="0" fontId="5" fillId="21" borderId="36" xfId="0" applyFont="1" applyFill="1" applyBorder="1" applyProtection="1"/>
    <xf numFmtId="167" fontId="4" fillId="21" borderId="121" xfId="0" applyNumberFormat="1" applyFont="1" applyFill="1" applyBorder="1" applyProtection="1"/>
    <xf numFmtId="0" fontId="5" fillId="21" borderId="142" xfId="0" applyFont="1" applyFill="1" applyBorder="1" applyProtection="1"/>
    <xf numFmtId="167" fontId="6" fillId="21" borderId="143" xfId="0" applyNumberFormat="1" applyFont="1" applyFill="1" applyBorder="1" applyProtection="1"/>
    <xf numFmtId="0" fontId="5" fillId="21" borderId="21" xfId="0" applyFont="1" applyFill="1" applyBorder="1" applyAlignment="1" applyProtection="1">
      <alignment horizontal="left" vertical="top"/>
    </xf>
    <xf numFmtId="0" fontId="5" fillId="21" borderId="53" xfId="0" applyFont="1" applyFill="1" applyBorder="1" applyAlignment="1" applyProtection="1">
      <alignment horizontal="left" vertical="top"/>
    </xf>
    <xf numFmtId="3" fontId="45" fillId="22" borderId="19" xfId="0" applyNumberFormat="1" applyFont="1" applyFill="1" applyBorder="1" applyAlignment="1" applyProtection="1">
      <alignment horizontal="right"/>
    </xf>
    <xf numFmtId="0" fontId="3" fillId="21" borderId="131" xfId="0" applyFont="1" applyFill="1" applyBorder="1" applyProtection="1"/>
    <xf numFmtId="167" fontId="6" fillId="21" borderId="53" xfId="0" applyNumberFormat="1" applyFont="1" applyFill="1" applyBorder="1" applyProtection="1"/>
    <xf numFmtId="0" fontId="3" fillId="21" borderId="50" xfId="0" applyFont="1" applyFill="1" applyBorder="1" applyProtection="1"/>
    <xf numFmtId="167" fontId="6" fillId="21" borderId="52" xfId="0" applyNumberFormat="1" applyFont="1" applyFill="1" applyBorder="1" applyProtection="1"/>
    <xf numFmtId="3" fontId="45" fillId="23" borderId="69" xfId="0" applyNumberFormat="1" applyFont="1" applyFill="1" applyBorder="1" applyProtection="1"/>
    <xf numFmtId="3" fontId="45" fillId="23" borderId="60" xfId="0" applyNumberFormat="1" applyFont="1" applyFill="1" applyBorder="1" applyProtection="1"/>
    <xf numFmtId="0" fontId="3" fillId="21" borderId="144" xfId="0" applyFont="1" applyFill="1" applyBorder="1" applyProtection="1"/>
    <xf numFmtId="3" fontId="45" fillId="22" borderId="24" xfId="0" applyNumberFormat="1" applyFont="1" applyFill="1" applyBorder="1" applyAlignment="1" applyProtection="1">
      <alignment horizontal="right"/>
    </xf>
    <xf numFmtId="3" fontId="45" fillId="23" borderId="85" xfId="0" applyNumberFormat="1" applyFont="1" applyFill="1" applyBorder="1" applyProtection="1"/>
    <xf numFmtId="49" fontId="3" fillId="21" borderId="36" xfId="0" applyNumberFormat="1" applyFont="1" applyFill="1" applyBorder="1" applyAlignment="1" applyProtection="1">
      <alignment horizontal="left"/>
    </xf>
    <xf numFmtId="0" fontId="5" fillId="21" borderId="118" xfId="0" applyFont="1" applyFill="1" applyBorder="1" applyAlignment="1" applyProtection="1"/>
    <xf numFmtId="49" fontId="3" fillId="21" borderId="58" xfId="0" applyNumberFormat="1" applyFont="1" applyFill="1" applyBorder="1" applyAlignment="1" applyProtection="1">
      <alignment horizontal="left"/>
    </xf>
    <xf numFmtId="0" fontId="27" fillId="21" borderId="15" xfId="0" applyFont="1" applyFill="1" applyBorder="1" applyProtection="1"/>
    <xf numFmtId="49" fontId="3" fillId="21" borderId="142" xfId="0" applyNumberFormat="1" applyFont="1" applyFill="1" applyBorder="1" applyAlignment="1" applyProtection="1">
      <alignment horizontal="left"/>
    </xf>
    <xf numFmtId="0" fontId="27" fillId="21" borderId="42" xfId="0" applyFont="1" applyFill="1" applyBorder="1" applyProtection="1"/>
    <xf numFmtId="49" fontId="3" fillId="21" borderId="127" xfId="0" applyNumberFormat="1" applyFont="1" applyFill="1" applyBorder="1" applyProtection="1"/>
    <xf numFmtId="166" fontId="3" fillId="21" borderId="15" xfId="0" applyNumberFormat="1" applyFont="1" applyFill="1" applyBorder="1" applyProtection="1"/>
    <xf numFmtId="0" fontId="26" fillId="21" borderId="145" xfId="0" applyFont="1" applyFill="1" applyBorder="1" applyProtection="1"/>
    <xf numFmtId="0" fontId="26" fillId="21" borderId="15" xfId="0" applyFont="1" applyFill="1" applyBorder="1" applyProtection="1"/>
    <xf numFmtId="0" fontId="5" fillId="21" borderId="2" xfId="0" applyNumberFormat="1" applyFont="1" applyFill="1" applyBorder="1" applyAlignment="1" applyProtection="1">
      <alignment horizontal="center"/>
    </xf>
    <xf numFmtId="0" fontId="16" fillId="21" borderId="2" xfId="0" applyFont="1" applyFill="1" applyBorder="1" applyProtection="1"/>
    <xf numFmtId="49" fontId="3" fillId="21" borderId="2" xfId="0" applyNumberFormat="1" applyFont="1" applyFill="1" applyBorder="1" applyAlignment="1" applyProtection="1">
      <alignment horizontal="center"/>
    </xf>
    <xf numFmtId="0" fontId="3" fillId="21" borderId="5" xfId="0" applyFont="1" applyFill="1" applyBorder="1" applyAlignment="1" applyProtection="1">
      <alignment horizontal="center"/>
    </xf>
    <xf numFmtId="49" fontId="8" fillId="21" borderId="2" xfId="0" applyNumberFormat="1" applyFont="1" applyFill="1" applyBorder="1" applyAlignment="1" applyProtection="1">
      <alignment horizontal="center"/>
    </xf>
    <xf numFmtId="0" fontId="26" fillId="21" borderId="118" xfId="0" applyFont="1" applyFill="1" applyBorder="1" applyProtection="1"/>
    <xf numFmtId="49" fontId="5" fillId="21" borderId="13" xfId="0" applyNumberFormat="1" applyFont="1" applyFill="1" applyBorder="1" applyAlignment="1" applyProtection="1">
      <alignment horizontal="center"/>
    </xf>
    <xf numFmtId="49" fontId="5" fillId="21" borderId="84" xfId="0" applyNumberFormat="1" applyFont="1" applyFill="1" applyBorder="1" applyAlignment="1" applyProtection="1">
      <alignment horizontal="center"/>
    </xf>
    <xf numFmtId="0" fontId="16" fillId="21" borderId="84" xfId="0" applyFont="1" applyFill="1" applyBorder="1" applyProtection="1"/>
    <xf numFmtId="3" fontId="5" fillId="21" borderId="95" xfId="0" applyNumberFormat="1" applyFont="1" applyFill="1" applyBorder="1" applyProtection="1"/>
    <xf numFmtId="3" fontId="5" fillId="21" borderId="88" xfId="0" applyNumberFormat="1" applyFont="1" applyFill="1" applyBorder="1" applyProtection="1"/>
    <xf numFmtId="167" fontId="28" fillId="21" borderId="56" xfId="0" applyNumberFormat="1" applyFont="1" applyFill="1" applyBorder="1" applyAlignment="1" applyProtection="1">
      <alignment horizontal="center"/>
    </xf>
    <xf numFmtId="167" fontId="28" fillId="21" borderId="60" xfId="0" applyNumberFormat="1" applyFont="1" applyFill="1" applyBorder="1" applyAlignment="1" applyProtection="1">
      <alignment horizontal="center"/>
    </xf>
    <xf numFmtId="167" fontId="29" fillId="21" borderId="147" xfId="0" applyNumberFormat="1" applyFont="1" applyFill="1" applyBorder="1" applyProtection="1"/>
    <xf numFmtId="167" fontId="29" fillId="21" borderId="90" xfId="0" applyNumberFormat="1" applyFont="1" applyFill="1" applyBorder="1" applyProtection="1"/>
    <xf numFmtId="167" fontId="6" fillId="21" borderId="148" xfId="0" applyNumberFormat="1" applyFont="1" applyFill="1" applyBorder="1" applyProtection="1"/>
    <xf numFmtId="167" fontId="6" fillId="21" borderId="149" xfId="0" applyNumberFormat="1" applyFont="1" applyFill="1" applyBorder="1" applyProtection="1"/>
    <xf numFmtId="167" fontId="6" fillId="21" borderId="54" xfId="0" applyNumberFormat="1" applyFont="1" applyFill="1" applyBorder="1" applyProtection="1"/>
    <xf numFmtId="167" fontId="6" fillId="21" borderId="18" xfId="0" applyNumberFormat="1" applyFont="1" applyFill="1" applyBorder="1" applyProtection="1"/>
    <xf numFmtId="0" fontId="7" fillId="21" borderId="19" xfId="0" applyFont="1" applyFill="1" applyBorder="1" applyProtection="1"/>
    <xf numFmtId="0" fontId="5" fillId="21" borderId="58" xfId="0" applyFont="1" applyFill="1" applyBorder="1" applyAlignment="1" applyProtection="1">
      <alignment horizontal="center"/>
    </xf>
    <xf numFmtId="0" fontId="5" fillId="21" borderId="57" xfId="0" applyFont="1" applyFill="1" applyBorder="1" applyAlignment="1" applyProtection="1"/>
    <xf numFmtId="0" fontId="5" fillId="21" borderId="142" xfId="0" applyFont="1" applyFill="1" applyBorder="1" applyAlignment="1" applyProtection="1">
      <alignment horizontal="right"/>
    </xf>
    <xf numFmtId="0" fontId="5" fillId="21" borderId="143" xfId="0" applyFont="1" applyFill="1" applyBorder="1" applyAlignment="1" applyProtection="1">
      <alignment horizontal="right"/>
    </xf>
    <xf numFmtId="3" fontId="2" fillId="23" borderId="58" xfId="0" applyNumberFormat="1" applyFont="1" applyFill="1" applyBorder="1" applyAlignment="1" applyProtection="1">
      <alignment horizontal="right"/>
    </xf>
    <xf numFmtId="3" fontId="2" fillId="23" borderId="57" xfId="0" applyNumberFormat="1" applyFont="1" applyFill="1" applyBorder="1" applyAlignment="1" applyProtection="1">
      <alignment horizontal="right"/>
    </xf>
    <xf numFmtId="3" fontId="2" fillId="23" borderId="58" xfId="0" applyNumberFormat="1" applyFont="1" applyFill="1" applyBorder="1" applyProtection="1"/>
    <xf numFmtId="3" fontId="2" fillId="23" borderId="57" xfId="0" applyNumberFormat="1" applyFont="1" applyFill="1" applyBorder="1" applyProtection="1"/>
    <xf numFmtId="3" fontId="2" fillId="22" borderId="58" xfId="0" applyNumberFormat="1" applyFont="1" applyFill="1" applyBorder="1" applyProtection="1"/>
    <xf numFmtId="3" fontId="2" fillId="22" borderId="57" xfId="0" applyNumberFormat="1" applyFont="1" applyFill="1" applyBorder="1" applyProtection="1"/>
    <xf numFmtId="3" fontId="45" fillId="23" borderId="58" xfId="0" applyNumberFormat="1" applyFont="1" applyFill="1" applyBorder="1" applyProtection="1"/>
    <xf numFmtId="3" fontId="45" fillId="23" borderId="57" xfId="0" applyNumberFormat="1" applyFont="1" applyFill="1" applyBorder="1" applyProtection="1"/>
    <xf numFmtId="3" fontId="45" fillId="22" borderId="58" xfId="0" applyNumberFormat="1" applyFont="1" applyFill="1" applyBorder="1" applyProtection="1"/>
    <xf numFmtId="3" fontId="45" fillId="22" borderId="57" xfId="0" applyNumberFormat="1" applyFont="1" applyFill="1" applyBorder="1" applyProtection="1"/>
    <xf numFmtId="0" fontId="99" fillId="21" borderId="58" xfId="0" applyFont="1" applyFill="1" applyBorder="1" applyProtection="1"/>
    <xf numFmtId="0" fontId="99" fillId="21" borderId="57" xfId="0" applyFont="1" applyFill="1" applyBorder="1" applyProtection="1"/>
    <xf numFmtId="49" fontId="8" fillId="21" borderId="132" xfId="0" applyNumberFormat="1" applyFont="1" applyFill="1" applyBorder="1" applyAlignment="1" applyProtection="1">
      <alignment horizontal="center"/>
    </xf>
    <xf numFmtId="49" fontId="8" fillId="21" borderId="133" xfId="0" applyNumberFormat="1" applyFont="1" applyFill="1" applyBorder="1" applyAlignment="1" applyProtection="1">
      <alignment horizontal="center"/>
    </xf>
    <xf numFmtId="49" fontId="8" fillId="21" borderId="133" xfId="0" applyNumberFormat="1" applyFont="1" applyFill="1" applyBorder="1" applyAlignment="1" applyProtection="1">
      <alignment horizontal="left"/>
    </xf>
    <xf numFmtId="49" fontId="8" fillId="21" borderId="34" xfId="0" applyNumberFormat="1" applyFont="1" applyFill="1" applyBorder="1" applyAlignment="1" applyProtection="1">
      <alignment horizontal="center"/>
    </xf>
    <xf numFmtId="49" fontId="8" fillId="21" borderId="35" xfId="0" applyNumberFormat="1" applyFont="1" applyFill="1" applyBorder="1" applyAlignment="1" applyProtection="1">
      <alignment horizontal="center"/>
    </xf>
    <xf numFmtId="49" fontId="8" fillId="21" borderId="35" xfId="0" applyNumberFormat="1" applyFont="1" applyFill="1" applyBorder="1" applyAlignment="1" applyProtection="1">
      <alignment horizontal="left"/>
    </xf>
    <xf numFmtId="49" fontId="8" fillId="21" borderId="7" xfId="0" applyNumberFormat="1" applyFont="1" applyFill="1" applyBorder="1" applyAlignment="1" applyProtection="1">
      <alignment horizontal="center"/>
    </xf>
    <xf numFmtId="49" fontId="8" fillId="21" borderId="5" xfId="0" applyNumberFormat="1" applyFont="1" applyFill="1" applyBorder="1" applyAlignment="1" applyProtection="1">
      <alignment horizontal="center"/>
    </xf>
    <xf numFmtId="49" fontId="8" fillId="21" borderId="150" xfId="0" applyNumberFormat="1" applyFont="1" applyFill="1" applyBorder="1" applyAlignment="1" applyProtection="1">
      <alignment horizontal="center"/>
    </xf>
    <xf numFmtId="49" fontId="8" fillId="21" borderId="42" xfId="0" applyNumberFormat="1" applyFont="1" applyFill="1" applyBorder="1" applyAlignment="1" applyProtection="1">
      <alignment horizontal="left"/>
    </xf>
    <xf numFmtId="167" fontId="6" fillId="21" borderId="9" xfId="0" applyNumberFormat="1" applyFont="1" applyFill="1" applyBorder="1" applyProtection="1"/>
    <xf numFmtId="3" fontId="9" fillId="24" borderId="20" xfId="0" applyNumberFormat="1" applyFont="1" applyFill="1" applyBorder="1" applyProtection="1"/>
    <xf numFmtId="0" fontId="5" fillId="21" borderId="124" xfId="0" applyFont="1" applyFill="1" applyBorder="1" applyAlignment="1" applyProtection="1">
      <alignment horizontal="left"/>
    </xf>
    <xf numFmtId="1" fontId="5" fillId="21" borderId="42" xfId="0" applyNumberFormat="1" applyFont="1" applyFill="1" applyBorder="1" applyAlignment="1" applyProtection="1">
      <alignment horizontal="left"/>
    </xf>
    <xf numFmtId="0" fontId="5" fillId="21" borderId="1" xfId="0" applyFont="1" applyFill="1" applyBorder="1" applyProtection="1"/>
    <xf numFmtId="3" fontId="17" fillId="21" borderId="147" xfId="0" applyNumberFormat="1" applyFont="1" applyFill="1" applyBorder="1" applyProtection="1"/>
    <xf numFmtId="3" fontId="17" fillId="21" borderId="90" xfId="0" applyNumberFormat="1" applyFont="1" applyFill="1" applyBorder="1" applyProtection="1"/>
    <xf numFmtId="3" fontId="2" fillId="21" borderId="18" xfId="0" applyNumberFormat="1" applyFont="1" applyFill="1" applyBorder="1" applyProtection="1"/>
    <xf numFmtId="49" fontId="3" fillId="21" borderId="5" xfId="0" applyNumberFormat="1" applyFont="1" applyFill="1" applyBorder="1" applyAlignment="1" applyProtection="1">
      <alignment horizontal="center"/>
    </xf>
    <xf numFmtId="167" fontId="3" fillId="21" borderId="2" xfId="0" applyNumberFormat="1" applyFont="1" applyFill="1" applyBorder="1" applyAlignment="1" applyProtection="1">
      <alignment horizontal="left"/>
    </xf>
    <xf numFmtId="49" fontId="5" fillId="21" borderId="25" xfId="0" applyNumberFormat="1" applyFont="1" applyFill="1" applyBorder="1" applyAlignment="1" applyProtection="1">
      <alignment horizontal="center"/>
    </xf>
    <xf numFmtId="0" fontId="3" fillId="21" borderId="2" xfId="0" applyFont="1" applyFill="1" applyBorder="1" applyAlignment="1" applyProtection="1">
      <alignment horizontal="center"/>
    </xf>
    <xf numFmtId="49" fontId="5" fillId="21" borderId="5" xfId="0" applyNumberFormat="1" applyFont="1" applyFill="1" applyBorder="1" applyAlignment="1" applyProtection="1">
      <alignment horizontal="center"/>
    </xf>
    <xf numFmtId="0" fontId="5" fillId="21" borderId="5" xfId="0" applyFont="1" applyFill="1" applyBorder="1" applyProtection="1"/>
    <xf numFmtId="3" fontId="8" fillId="21" borderId="146" xfId="0" applyNumberFormat="1" applyFont="1" applyFill="1" applyBorder="1" applyAlignment="1" applyProtection="1">
      <alignment horizontal="center"/>
    </xf>
    <xf numFmtId="3" fontId="5" fillId="21" borderId="151" xfId="0" applyNumberFormat="1" applyFont="1" applyFill="1" applyBorder="1" applyAlignment="1" applyProtection="1">
      <alignment horizontal="center"/>
    </xf>
    <xf numFmtId="3" fontId="5" fillId="21" borderId="151" xfId="0" applyNumberFormat="1" applyFont="1" applyFill="1" applyBorder="1" applyProtection="1"/>
    <xf numFmtId="3" fontId="2" fillId="22" borderId="18" xfId="0" applyNumberFormat="1" applyFont="1" applyFill="1" applyBorder="1" applyProtection="1"/>
    <xf numFmtId="3" fontId="2" fillId="22" borderId="60" xfId="0" applyNumberFormat="1" applyFont="1" applyFill="1" applyBorder="1" applyProtection="1"/>
    <xf numFmtId="3" fontId="2" fillId="22" borderId="19" xfId="0" applyNumberFormat="1" applyFont="1" applyFill="1" applyBorder="1" applyProtection="1"/>
    <xf numFmtId="3" fontId="5" fillId="21" borderId="142" xfId="0" applyNumberFormat="1" applyFont="1" applyFill="1" applyBorder="1" applyProtection="1"/>
    <xf numFmtId="3" fontId="5" fillId="21" borderId="143" xfId="0" applyNumberFormat="1" applyFont="1" applyFill="1" applyBorder="1" applyProtection="1"/>
    <xf numFmtId="3" fontId="2" fillId="21" borderId="58" xfId="0" applyNumberFormat="1" applyFont="1" applyFill="1" applyBorder="1" applyProtection="1"/>
    <xf numFmtId="3" fontId="2" fillId="21" borderId="57" xfId="0" applyNumberFormat="1" applyFont="1" applyFill="1" applyBorder="1" applyProtection="1"/>
    <xf numFmtId="3" fontId="45" fillId="22" borderId="50" xfId="0" applyNumberFormat="1" applyFont="1" applyFill="1" applyBorder="1" applyProtection="1"/>
    <xf numFmtId="3" fontId="45" fillId="21" borderId="58" xfId="0" applyNumberFormat="1" applyFont="1" applyFill="1" applyBorder="1" applyProtection="1"/>
    <xf numFmtId="3" fontId="45" fillId="21" borderId="57" xfId="0" applyNumberFormat="1" applyFont="1" applyFill="1" applyBorder="1" applyProtection="1"/>
    <xf numFmtId="3" fontId="45" fillId="21" borderId="60" xfId="0" applyNumberFormat="1" applyFont="1" applyFill="1" applyBorder="1" applyProtection="1"/>
    <xf numFmtId="3" fontId="45" fillId="21" borderId="131" xfId="0" applyNumberFormat="1" applyFont="1" applyFill="1" applyBorder="1" applyProtection="1"/>
    <xf numFmtId="3" fontId="45" fillId="22" borderId="51" xfId="0" applyNumberFormat="1" applyFont="1" applyFill="1" applyBorder="1" applyProtection="1"/>
    <xf numFmtId="3" fontId="45" fillId="22" borderId="26" xfId="0" applyNumberFormat="1" applyFont="1" applyFill="1" applyBorder="1" applyProtection="1"/>
    <xf numFmtId="3" fontId="2" fillId="22" borderId="88" xfId="0" applyNumberFormat="1" applyFont="1" applyFill="1" applyBorder="1" applyProtection="1"/>
    <xf numFmtId="0" fontId="3" fillId="21" borderId="73" xfId="0" applyFont="1" applyFill="1" applyBorder="1" applyProtection="1"/>
    <xf numFmtId="0" fontId="0" fillId="21" borderId="74" xfId="0" applyFill="1" applyBorder="1" applyProtection="1"/>
    <xf numFmtId="0" fontId="0" fillId="21" borderId="64" xfId="0" applyFill="1" applyBorder="1" applyProtection="1"/>
    <xf numFmtId="0" fontId="3" fillId="21" borderId="75" xfId="0" applyFont="1" applyFill="1" applyBorder="1" applyProtection="1"/>
    <xf numFmtId="0" fontId="0" fillId="21" borderId="76" xfId="0" applyFill="1" applyBorder="1" applyProtection="1"/>
    <xf numFmtId="0" fontId="0" fillId="21" borderId="92" xfId="0" applyFill="1" applyBorder="1" applyProtection="1"/>
    <xf numFmtId="0" fontId="3" fillId="21" borderId="75" xfId="0" applyFont="1" applyFill="1" applyBorder="1" applyAlignment="1" applyProtection="1">
      <alignment horizontal="left"/>
    </xf>
    <xf numFmtId="0" fontId="0" fillId="21" borderId="76" xfId="0" applyFill="1" applyBorder="1" applyAlignment="1" applyProtection="1">
      <alignment horizontal="left"/>
    </xf>
    <xf numFmtId="3" fontId="5" fillId="21" borderId="137" xfId="0" applyNumberFormat="1" applyFont="1" applyFill="1" applyBorder="1" applyAlignment="1" applyProtection="1">
      <alignment horizontal="center" vertical="center" wrapText="1"/>
    </xf>
    <xf numFmtId="9" fontId="45" fillId="21" borderId="140" xfId="0" applyNumberFormat="1" applyFont="1" applyFill="1" applyBorder="1" applyProtection="1"/>
    <xf numFmtId="3" fontId="45" fillId="22" borderId="140" xfId="0" applyNumberFormat="1" applyFont="1" applyFill="1" applyBorder="1" applyProtection="1"/>
    <xf numFmtId="9" fontId="45" fillId="21" borderId="138" xfId="0" applyNumberFormat="1" applyFont="1" applyFill="1" applyBorder="1" applyProtection="1"/>
    <xf numFmtId="9" fontId="45" fillId="21" borderId="152" xfId="0" applyNumberFormat="1" applyFont="1" applyFill="1" applyBorder="1" applyProtection="1"/>
    <xf numFmtId="49" fontId="3" fillId="21" borderId="35" xfId="0" applyNumberFormat="1" applyFont="1" applyFill="1" applyBorder="1" applyAlignment="1" applyProtection="1">
      <alignment horizontal="left"/>
    </xf>
    <xf numFmtId="3" fontId="2" fillId="21" borderId="35" xfId="0" applyNumberFormat="1" applyFont="1" applyFill="1" applyBorder="1" applyProtection="1"/>
    <xf numFmtId="49" fontId="3" fillId="21" borderId="2" xfId="0" applyNumberFormat="1" applyFont="1" applyFill="1" applyBorder="1" applyAlignment="1" applyProtection="1">
      <alignment horizontal="left"/>
    </xf>
    <xf numFmtId="3" fontId="2" fillId="21" borderId="5" xfId="0" applyNumberFormat="1" applyFont="1" applyFill="1" applyBorder="1" applyProtection="1"/>
    <xf numFmtId="49" fontId="5" fillId="21" borderId="25" xfId="0" applyNumberFormat="1" applyFont="1" applyFill="1" applyBorder="1" applyAlignment="1" applyProtection="1">
      <alignment horizontal="left"/>
    </xf>
    <xf numFmtId="0" fontId="8" fillId="21" borderId="25" xfId="0" applyFont="1" applyFill="1" applyBorder="1" applyProtection="1"/>
    <xf numFmtId="3" fontId="2" fillId="21" borderId="25" xfId="0" applyNumberFormat="1" applyFont="1" applyFill="1" applyBorder="1" applyProtection="1"/>
    <xf numFmtId="0" fontId="3" fillId="21" borderId="127" xfId="0" applyFont="1" applyFill="1" applyBorder="1" applyAlignment="1" applyProtection="1">
      <alignment horizontal="left" vertical="top"/>
    </xf>
    <xf numFmtId="0" fontId="3" fillId="21" borderId="15" xfId="0" applyFont="1" applyFill="1" applyBorder="1" applyAlignment="1" applyProtection="1">
      <alignment horizontal="right"/>
    </xf>
    <xf numFmtId="0" fontId="5" fillId="21" borderId="153" xfId="0" applyFont="1" applyFill="1" applyBorder="1" applyAlignment="1" applyProtection="1">
      <alignment horizontal="right"/>
    </xf>
    <xf numFmtId="0" fontId="5" fillId="21" borderId="116" xfId="0" applyFont="1" applyFill="1" applyBorder="1" applyAlignment="1" applyProtection="1">
      <alignment horizontal="left"/>
    </xf>
    <xf numFmtId="0" fontId="5" fillId="21" borderId="89" xfId="0" applyFont="1" applyFill="1" applyBorder="1" applyAlignment="1" applyProtection="1">
      <alignment horizontal="right"/>
    </xf>
    <xf numFmtId="0" fontId="3" fillId="21" borderId="13" xfId="0" applyFont="1" applyFill="1" applyBorder="1" applyAlignment="1" applyProtection="1">
      <alignment horizontal="center"/>
    </xf>
    <xf numFmtId="0" fontId="8" fillId="21" borderId="21" xfId="0" applyFont="1" applyFill="1" applyBorder="1" applyAlignment="1" applyProtection="1">
      <alignment horizontal="center"/>
    </xf>
    <xf numFmtId="0" fontId="8" fillId="21" borderId="9" xfId="0" applyFont="1" applyFill="1" applyBorder="1" applyAlignment="1" applyProtection="1">
      <alignment horizontal="center"/>
    </xf>
    <xf numFmtId="0" fontId="8" fillId="21" borderId="82" xfId="0" applyFont="1" applyFill="1" applyBorder="1" applyAlignment="1" applyProtection="1">
      <alignment horizontal="left"/>
    </xf>
    <xf numFmtId="0" fontId="8" fillId="21" borderId="22" xfId="0" applyFont="1" applyFill="1" applyBorder="1" applyAlignment="1" applyProtection="1">
      <alignment horizontal="center"/>
    </xf>
    <xf numFmtId="0" fontId="8" fillId="21" borderId="24" xfId="0" applyFont="1" applyFill="1" applyBorder="1" applyAlignment="1" applyProtection="1">
      <alignment horizontal="center"/>
    </xf>
    <xf numFmtId="0" fontId="16" fillId="21" borderId="66" xfId="0" applyFont="1" applyFill="1" applyBorder="1" applyAlignment="1" applyProtection="1">
      <alignment horizontal="left"/>
    </xf>
    <xf numFmtId="0" fontId="3" fillId="21" borderId="82" xfId="0" applyFont="1" applyFill="1" applyBorder="1" applyAlignment="1" applyProtection="1">
      <alignment horizontal="left"/>
    </xf>
    <xf numFmtId="0" fontId="5" fillId="21" borderId="154" xfId="0" applyFont="1" applyFill="1" applyBorder="1" applyAlignment="1" applyProtection="1">
      <alignment horizontal="left"/>
    </xf>
    <xf numFmtId="0" fontId="5" fillId="21" borderId="121" xfId="0" applyFont="1" applyFill="1" applyBorder="1" applyAlignment="1" applyProtection="1">
      <alignment horizontal="center"/>
    </xf>
    <xf numFmtId="0" fontId="5" fillId="21" borderId="57" xfId="0" applyFont="1" applyFill="1" applyBorder="1" applyAlignment="1" applyProtection="1">
      <alignment horizontal="center"/>
    </xf>
    <xf numFmtId="0" fontId="3" fillId="21" borderId="2" xfId="0" applyFont="1" applyFill="1" applyBorder="1" applyAlignment="1" applyProtection="1">
      <alignment horizontal="right"/>
    </xf>
    <xf numFmtId="0" fontId="3" fillId="21" borderId="146" xfId="0" applyFont="1" applyFill="1" applyBorder="1" applyAlignment="1" applyProtection="1">
      <alignment horizontal="center"/>
    </xf>
    <xf numFmtId="0" fontId="5" fillId="21" borderId="118" xfId="0" applyFont="1" applyFill="1" applyBorder="1" applyProtection="1"/>
    <xf numFmtId="0" fontId="3" fillId="21" borderId="127" xfId="0" applyFont="1" applyFill="1" applyBorder="1" applyAlignment="1" applyProtection="1">
      <alignment vertical="top"/>
    </xf>
    <xf numFmtId="1" fontId="3" fillId="21" borderId="15" xfId="0" applyNumberFormat="1" applyFont="1" applyFill="1" applyBorder="1" applyAlignment="1" applyProtection="1">
      <alignment horizontal="left"/>
    </xf>
    <xf numFmtId="0" fontId="5" fillId="21" borderId="15" xfId="0" applyFont="1" applyFill="1" applyBorder="1" applyProtection="1"/>
    <xf numFmtId="0" fontId="8" fillId="21" borderId="1" xfId="0" applyFont="1" applyFill="1" applyBorder="1" applyProtection="1"/>
    <xf numFmtId="0" fontId="3" fillId="21" borderId="127" xfId="0" applyFont="1" applyFill="1" applyBorder="1" applyAlignment="1" applyProtection="1">
      <alignment horizontal="center"/>
    </xf>
    <xf numFmtId="0" fontId="3" fillId="21" borderId="9" xfId="0" applyFont="1" applyFill="1" applyBorder="1" applyProtection="1"/>
    <xf numFmtId="0" fontId="3" fillId="21" borderId="157" xfId="0" applyFont="1" applyFill="1" applyBorder="1" applyAlignment="1" applyProtection="1">
      <alignment horizontal="left" vertical="top"/>
    </xf>
    <xf numFmtId="0" fontId="5" fillId="21" borderId="158" xfId="0" applyFont="1" applyFill="1" applyBorder="1" applyAlignment="1" applyProtection="1">
      <alignment horizontal="center"/>
    </xf>
    <xf numFmtId="49" fontId="8" fillId="21" borderId="14" xfId="0" applyNumberFormat="1" applyFont="1" applyFill="1" applyBorder="1" applyAlignment="1" applyProtection="1">
      <alignment horizontal="center"/>
    </xf>
    <xf numFmtId="49" fontId="8" fillId="21" borderId="9" xfId="0" applyNumberFormat="1" applyFont="1" applyFill="1" applyBorder="1" applyAlignment="1" applyProtection="1">
      <alignment horizontal="center"/>
    </xf>
    <xf numFmtId="1" fontId="8" fillId="21" borderId="133" xfId="0" applyNumberFormat="1" applyFont="1" applyFill="1" applyBorder="1" applyAlignment="1" applyProtection="1">
      <alignment horizontal="center"/>
    </xf>
    <xf numFmtId="1" fontId="8" fillId="21" borderId="133" xfId="0" applyNumberFormat="1" applyFont="1" applyFill="1" applyBorder="1" applyAlignment="1" applyProtection="1">
      <alignment horizontal="left"/>
    </xf>
    <xf numFmtId="1" fontId="8" fillId="21" borderId="42" xfId="0" applyNumberFormat="1" applyFont="1" applyFill="1" applyBorder="1" applyAlignment="1" applyProtection="1">
      <alignment horizontal="center"/>
    </xf>
    <xf numFmtId="49" fontId="8" fillId="21" borderId="160" xfId="0" applyNumberFormat="1" applyFont="1" applyFill="1" applyBorder="1" applyAlignment="1" applyProtection="1">
      <alignment horizontal="center"/>
    </xf>
    <xf numFmtId="0" fontId="16" fillId="21" borderId="118" xfId="0" applyFont="1" applyFill="1" applyBorder="1" applyAlignment="1" applyProtection="1">
      <alignment horizontal="left"/>
    </xf>
    <xf numFmtId="0" fontId="16" fillId="21" borderId="15" xfId="0" applyFont="1" applyFill="1" applyBorder="1" applyAlignment="1" applyProtection="1">
      <alignment horizontal="left"/>
    </xf>
    <xf numFmtId="0" fontId="5" fillId="21" borderId="42" xfId="0" applyFont="1" applyFill="1" applyBorder="1" applyAlignment="1" applyProtection="1">
      <alignment horizontal="left"/>
    </xf>
    <xf numFmtId="1" fontId="8" fillId="21" borderId="5" xfId="0" applyNumberFormat="1" applyFont="1" applyFill="1" applyBorder="1" applyAlignment="1" applyProtection="1">
      <alignment horizontal="center"/>
    </xf>
    <xf numFmtId="0" fontId="8" fillId="21" borderId="5" xfId="0" applyFont="1" applyFill="1" applyBorder="1" applyProtection="1"/>
    <xf numFmtId="167" fontId="16" fillId="21" borderId="60" xfId="0" applyNumberFormat="1" applyFont="1" applyFill="1" applyBorder="1" applyAlignment="1" applyProtection="1">
      <alignment horizontal="left"/>
    </xf>
    <xf numFmtId="167" fontId="16" fillId="21" borderId="88" xfId="0" applyNumberFormat="1" applyFont="1" applyFill="1" applyBorder="1" applyAlignment="1" applyProtection="1">
      <alignment horizontal="left"/>
    </xf>
    <xf numFmtId="167" fontId="22" fillId="21" borderId="90" xfId="0" applyNumberFormat="1" applyFont="1" applyFill="1" applyBorder="1" applyAlignment="1" applyProtection="1">
      <alignment horizontal="left"/>
    </xf>
    <xf numFmtId="0" fontId="16" fillId="21" borderId="116" xfId="0" applyFont="1" applyFill="1" applyBorder="1" applyProtection="1"/>
    <xf numFmtId="0" fontId="16" fillId="21" borderId="90" xfId="0" applyFont="1" applyFill="1" applyBorder="1" applyProtection="1"/>
    <xf numFmtId="167" fontId="4" fillId="21" borderId="60" xfId="0" applyNumberFormat="1" applyFont="1" applyFill="1" applyBorder="1" applyAlignment="1" applyProtection="1">
      <alignment horizontal="left"/>
    </xf>
    <xf numFmtId="167" fontId="22" fillId="21" borderId="90" xfId="0" applyNumberFormat="1" applyFont="1" applyFill="1" applyBorder="1" applyProtection="1"/>
    <xf numFmtId="1" fontId="3" fillId="21" borderId="153" xfId="0" applyNumberFormat="1" applyFont="1" applyFill="1" applyBorder="1" applyAlignment="1" applyProtection="1">
      <alignment horizontal="left"/>
    </xf>
    <xf numFmtId="0" fontId="12" fillId="21" borderId="116" xfId="0" applyFont="1" applyFill="1" applyBorder="1" applyAlignment="1" applyProtection="1">
      <alignment horizontal="left"/>
    </xf>
    <xf numFmtId="0" fontId="5" fillId="21" borderId="1" xfId="0" applyFont="1" applyFill="1" applyBorder="1" applyAlignment="1" applyProtection="1">
      <alignment horizontal="left"/>
    </xf>
    <xf numFmtId="167" fontId="5" fillId="21" borderId="90" xfId="0" applyNumberFormat="1" applyFont="1" applyFill="1" applyBorder="1" applyAlignment="1" applyProtection="1">
      <alignment horizontal="left"/>
    </xf>
    <xf numFmtId="1" fontId="16" fillId="21" borderId="25" xfId="0" applyNumberFormat="1" applyFont="1" applyFill="1" applyBorder="1" applyAlignment="1" applyProtection="1">
      <alignment horizontal="center"/>
    </xf>
    <xf numFmtId="1" fontId="3" fillId="21" borderId="84" xfId="0" applyNumberFormat="1" applyFont="1" applyFill="1" applyBorder="1" applyAlignment="1" applyProtection="1">
      <alignment horizontal="center"/>
    </xf>
    <xf numFmtId="0" fontId="3" fillId="21" borderId="98" xfId="0" applyFont="1" applyFill="1" applyBorder="1" applyAlignment="1" applyProtection="1">
      <alignment horizontal="left" vertical="top" wrapText="1"/>
    </xf>
    <xf numFmtId="0" fontId="60" fillId="21" borderId="120" xfId="0" applyFont="1" applyFill="1" applyBorder="1" applyProtection="1"/>
    <xf numFmtId="0" fontId="4" fillId="21" borderId="89" xfId="0" applyFont="1" applyFill="1" applyBorder="1" applyAlignment="1" applyProtection="1"/>
    <xf numFmtId="0" fontId="89" fillId="21" borderId="89" xfId="0" applyFont="1" applyFill="1" applyBorder="1" applyAlignment="1"/>
    <xf numFmtId="1" fontId="3" fillId="21" borderId="98" xfId="0" applyNumberFormat="1" applyFont="1" applyFill="1" applyBorder="1" applyAlignment="1" applyProtection="1">
      <alignment horizontal="left"/>
    </xf>
    <xf numFmtId="0" fontId="3" fillId="21" borderId="118" xfId="0" applyFont="1" applyFill="1" applyBorder="1" applyAlignment="1" applyProtection="1">
      <alignment horizontal="left"/>
    </xf>
    <xf numFmtId="3" fontId="3" fillId="21" borderId="162" xfId="0" applyNumberFormat="1" applyFont="1" applyFill="1" applyBorder="1" applyAlignment="1" applyProtection="1">
      <alignment horizontal="left"/>
    </xf>
    <xf numFmtId="3" fontId="3" fillId="21" borderId="163" xfId="0" applyNumberFormat="1" applyFont="1" applyFill="1" applyBorder="1" applyProtection="1"/>
    <xf numFmtId="1" fontId="3" fillId="21" borderId="127" xfId="0" applyNumberFormat="1" applyFont="1" applyFill="1" applyBorder="1" applyAlignment="1" applyProtection="1">
      <alignment horizontal="left"/>
    </xf>
    <xf numFmtId="3" fontId="3" fillId="21" borderId="15" xfId="0" applyNumberFormat="1" applyFont="1" applyFill="1" applyBorder="1" applyAlignment="1" applyProtection="1">
      <alignment horizontal="left"/>
    </xf>
    <xf numFmtId="0" fontId="3" fillId="21" borderId="0" xfId="0" applyFont="1" applyFill="1" applyBorder="1" applyProtection="1"/>
    <xf numFmtId="3" fontId="3" fillId="21" borderId="15" xfId="0" applyNumberFormat="1" applyFont="1" applyFill="1" applyBorder="1" applyProtection="1"/>
    <xf numFmtId="0" fontId="7" fillId="21" borderId="116" xfId="0" applyFont="1" applyFill="1" applyBorder="1" applyProtection="1"/>
    <xf numFmtId="0" fontId="3" fillId="21" borderId="1" xfId="0" applyFont="1" applyFill="1" applyBorder="1" applyProtection="1"/>
    <xf numFmtId="0" fontId="3" fillId="21" borderId="42" xfId="0" applyFont="1" applyFill="1" applyBorder="1" applyProtection="1"/>
    <xf numFmtId="49" fontId="3" fillId="21" borderId="135" xfId="0" applyNumberFormat="1" applyFont="1" applyFill="1" applyBorder="1" applyAlignment="1" applyProtection="1">
      <alignment horizontal="left"/>
    </xf>
    <xf numFmtId="171" fontId="3" fillId="21" borderId="35" xfId="0" applyNumberFormat="1" applyFont="1" applyFill="1" applyBorder="1" applyAlignment="1" applyProtection="1">
      <alignment horizontal="left"/>
    </xf>
    <xf numFmtId="49" fontId="8" fillId="21" borderId="134" xfId="0" applyNumberFormat="1" applyFont="1" applyFill="1" applyBorder="1" applyAlignment="1" applyProtection="1">
      <alignment horizontal="center"/>
    </xf>
    <xf numFmtId="49" fontId="3" fillId="21" borderId="125" xfId="0" applyNumberFormat="1" applyFont="1" applyFill="1" applyBorder="1" applyAlignment="1" applyProtection="1">
      <alignment horizontal="center"/>
    </xf>
    <xf numFmtId="3" fontId="2" fillId="21" borderId="35" xfId="0" applyNumberFormat="1" applyFont="1" applyFill="1" applyBorder="1" applyAlignment="1" applyProtection="1">
      <alignment horizontal="right"/>
    </xf>
    <xf numFmtId="0" fontId="5" fillId="21" borderId="70" xfId="0" applyFont="1" applyFill="1" applyBorder="1" applyProtection="1"/>
    <xf numFmtId="49" fontId="8" fillId="21" borderId="131" xfId="0" applyNumberFormat="1" applyFont="1" applyFill="1" applyBorder="1" applyAlignment="1" applyProtection="1">
      <alignment horizontal="center"/>
    </xf>
    <xf numFmtId="0" fontId="16" fillId="21" borderId="42" xfId="0" applyFont="1" applyFill="1" applyBorder="1" applyAlignment="1" applyProtection="1">
      <alignment horizontal="left"/>
    </xf>
    <xf numFmtId="0" fontId="5" fillId="21" borderId="2" xfId="0" applyFont="1" applyFill="1" applyBorder="1" applyAlignment="1" applyProtection="1">
      <alignment horizontal="left" wrapText="1"/>
    </xf>
    <xf numFmtId="0" fontId="8" fillId="21" borderId="2" xfId="0" applyFont="1" applyFill="1" applyBorder="1" applyAlignment="1" applyProtection="1">
      <alignment horizontal="left"/>
    </xf>
    <xf numFmtId="49" fontId="8" fillId="21" borderId="144" xfId="0" applyNumberFormat="1" applyFont="1" applyFill="1" applyBorder="1" applyAlignment="1" applyProtection="1">
      <alignment horizontal="center"/>
    </xf>
    <xf numFmtId="0" fontId="8" fillId="21" borderId="13" xfId="0" applyFont="1" applyFill="1" applyBorder="1" applyProtection="1"/>
    <xf numFmtId="49" fontId="8" fillId="21" borderId="100" xfId="0" applyNumberFormat="1" applyFont="1" applyFill="1" applyBorder="1" applyAlignment="1" applyProtection="1">
      <alignment horizontal="center"/>
    </xf>
    <xf numFmtId="1" fontId="3" fillId="21" borderId="23" xfId="0" applyNumberFormat="1" applyFont="1" applyFill="1" applyBorder="1" applyAlignment="1" applyProtection="1">
      <alignment horizontal="left" vertical="top" wrapText="1"/>
    </xf>
    <xf numFmtId="0" fontId="3" fillId="21" borderId="164" xfId="0" applyFont="1" applyFill="1" applyBorder="1" applyAlignment="1" applyProtection="1">
      <alignment vertical="top"/>
    </xf>
    <xf numFmtId="0" fontId="8" fillId="21" borderId="165" xfId="0" applyFont="1" applyFill="1" applyBorder="1" applyProtection="1"/>
    <xf numFmtId="0" fontId="11" fillId="21" borderId="127" xfId="0" applyFont="1" applyFill="1" applyBorder="1" applyProtection="1"/>
    <xf numFmtId="0" fontId="8" fillId="21" borderId="44" xfId="0" applyFont="1" applyFill="1" applyBorder="1" applyProtection="1"/>
    <xf numFmtId="0" fontId="0" fillId="21" borderId="127" xfId="0" applyFill="1" applyBorder="1" applyProtection="1"/>
    <xf numFmtId="0" fontId="12" fillId="25" borderId="116" xfId="0" applyFont="1" applyFill="1" applyBorder="1" applyProtection="1"/>
    <xf numFmtId="0" fontId="21" fillId="21" borderId="166" xfId="0" applyFont="1" applyFill="1" applyBorder="1" applyProtection="1"/>
    <xf numFmtId="49" fontId="13" fillId="21" borderId="127" xfId="0" applyNumberFormat="1" applyFont="1" applyFill="1" applyBorder="1" applyAlignment="1" applyProtection="1">
      <alignment horizontal="left"/>
    </xf>
    <xf numFmtId="0" fontId="16" fillId="21" borderId="167" xfId="0" applyFont="1" applyFill="1" applyBorder="1" applyAlignment="1" applyProtection="1">
      <alignment wrapText="1"/>
    </xf>
    <xf numFmtId="0" fontId="8" fillId="21" borderId="3" xfId="0" applyFont="1" applyFill="1" applyBorder="1" applyAlignment="1" applyProtection="1"/>
    <xf numFmtId="0" fontId="8" fillId="21" borderId="6" xfId="0" applyFont="1" applyFill="1" applyBorder="1" applyProtection="1"/>
    <xf numFmtId="0" fontId="16" fillId="21" borderId="117" xfId="0" applyFont="1" applyFill="1" applyBorder="1" applyProtection="1"/>
    <xf numFmtId="0" fontId="8" fillId="21" borderId="3" xfId="0" applyFont="1" applyFill="1" applyBorder="1" applyProtection="1"/>
    <xf numFmtId="0" fontId="16" fillId="21" borderId="96" xfId="0" applyFont="1" applyFill="1" applyBorder="1" applyProtection="1"/>
    <xf numFmtId="0" fontId="16" fillId="21" borderId="44" xfId="0" applyFont="1" applyFill="1" applyBorder="1" applyProtection="1"/>
    <xf numFmtId="0" fontId="8" fillId="21" borderId="72" xfId="0" applyFont="1" applyFill="1" applyBorder="1" applyProtection="1"/>
    <xf numFmtId="0" fontId="16" fillId="21" borderId="167" xfId="0" applyFont="1" applyFill="1" applyBorder="1" applyProtection="1"/>
    <xf numFmtId="0" fontId="5" fillId="21" borderId="167" xfId="0" applyFont="1" applyFill="1" applyBorder="1" applyAlignment="1" applyProtection="1">
      <alignment wrapText="1"/>
    </xf>
    <xf numFmtId="0" fontId="3" fillId="21" borderId="6" xfId="0" applyFont="1" applyFill="1" applyBorder="1" applyProtection="1"/>
    <xf numFmtId="0" fontId="16" fillId="21" borderId="94" xfId="0" applyFont="1" applyFill="1" applyBorder="1" applyProtection="1"/>
    <xf numFmtId="49" fontId="3" fillId="21" borderId="3" xfId="0" applyNumberFormat="1" applyFont="1" applyFill="1" applyBorder="1" applyAlignment="1" applyProtection="1">
      <alignment horizontal="left"/>
    </xf>
    <xf numFmtId="49" fontId="3" fillId="21" borderId="92" xfId="0" applyNumberFormat="1" applyFont="1" applyFill="1" applyBorder="1" applyAlignment="1" applyProtection="1">
      <alignment horizontal="left"/>
    </xf>
    <xf numFmtId="0" fontId="3" fillId="21" borderId="3" xfId="0" applyFont="1" applyFill="1" applyBorder="1" applyAlignment="1" applyProtection="1">
      <alignment wrapText="1"/>
    </xf>
    <xf numFmtId="0" fontId="16" fillId="21" borderId="94" xfId="0" applyFont="1" applyFill="1" applyBorder="1" applyAlignment="1" applyProtection="1"/>
    <xf numFmtId="0" fontId="3" fillId="21" borderId="3" xfId="0" applyFont="1" applyFill="1" applyBorder="1" applyProtection="1"/>
    <xf numFmtId="0" fontId="105" fillId="21" borderId="3" xfId="0" applyFont="1" applyFill="1" applyBorder="1" applyProtection="1"/>
    <xf numFmtId="0" fontId="8" fillId="21" borderId="10" xfId="0" applyFont="1" applyFill="1" applyBorder="1" applyProtection="1"/>
    <xf numFmtId="0" fontId="8" fillId="21" borderId="99" xfId="0" applyFont="1" applyFill="1" applyBorder="1" applyProtection="1"/>
    <xf numFmtId="3" fontId="3" fillId="21" borderId="128" xfId="0" applyNumberFormat="1" applyFont="1" applyFill="1" applyBorder="1" applyAlignment="1" applyProtection="1">
      <alignment horizontal="left" vertical="top" wrapText="1"/>
    </xf>
    <xf numFmtId="3" fontId="3" fillId="21" borderId="15" xfId="0" applyNumberFormat="1" applyFont="1" applyFill="1" applyBorder="1" applyAlignment="1" applyProtection="1">
      <alignment horizontal="left" vertical="top"/>
    </xf>
    <xf numFmtId="3" fontId="3" fillId="21" borderId="68" xfId="0" applyNumberFormat="1" applyFont="1" applyFill="1" applyBorder="1" applyAlignment="1" applyProtection="1">
      <alignment horizontal="left" vertical="top" wrapText="1"/>
    </xf>
    <xf numFmtId="3" fontId="3" fillId="21" borderId="16" xfId="0" applyNumberFormat="1" applyFont="1" applyFill="1" applyBorder="1" applyAlignment="1" applyProtection="1">
      <alignment horizontal="left" vertical="top" wrapText="1"/>
    </xf>
    <xf numFmtId="3" fontId="3" fillId="21" borderId="153" xfId="0" applyNumberFormat="1" applyFont="1" applyFill="1" applyBorder="1" applyProtection="1"/>
    <xf numFmtId="0" fontId="3" fillId="21" borderId="153" xfId="0" applyFont="1" applyFill="1" applyBorder="1" applyAlignment="1" applyProtection="1">
      <alignment horizontal="left" vertical="top" wrapText="1"/>
    </xf>
    <xf numFmtId="0" fontId="3" fillId="21" borderId="153" xfId="0" applyFont="1" applyFill="1" applyBorder="1" applyProtection="1"/>
    <xf numFmtId="3" fontId="8" fillId="21" borderId="16" xfId="0" applyNumberFormat="1" applyFont="1" applyFill="1" applyBorder="1" applyProtection="1"/>
    <xf numFmtId="0" fontId="8" fillId="21" borderId="150" xfId="0" applyFont="1" applyFill="1" applyBorder="1" applyProtection="1"/>
    <xf numFmtId="49" fontId="11" fillId="21" borderId="168" xfId="0" applyNumberFormat="1" applyFont="1" applyFill="1" applyBorder="1" applyProtection="1"/>
    <xf numFmtId="49" fontId="11" fillId="21" borderId="166" xfId="0" applyNumberFormat="1" applyFont="1" applyFill="1" applyBorder="1" applyProtection="1"/>
    <xf numFmtId="49" fontId="11" fillId="21" borderId="136" xfId="0" applyNumberFormat="1" applyFont="1" applyFill="1" applyBorder="1" applyProtection="1"/>
    <xf numFmtId="49" fontId="11" fillId="21" borderId="113" xfId="0" applyNumberFormat="1" applyFont="1" applyFill="1" applyBorder="1" applyProtection="1"/>
    <xf numFmtId="49" fontId="11" fillId="21" borderId="126" xfId="0" applyNumberFormat="1" applyFont="1" applyFill="1" applyBorder="1" applyProtection="1"/>
    <xf numFmtId="49" fontId="11" fillId="21" borderId="169" xfId="0" applyNumberFormat="1" applyFont="1" applyFill="1" applyBorder="1" applyProtection="1"/>
    <xf numFmtId="49" fontId="11" fillId="21" borderId="4" xfId="0" applyNumberFormat="1" applyFont="1" applyFill="1" applyBorder="1" applyProtection="1"/>
    <xf numFmtId="49" fontId="11" fillId="21" borderId="3" xfId="0" applyNumberFormat="1" applyFont="1" applyFill="1" applyBorder="1" applyProtection="1"/>
    <xf numFmtId="49" fontId="11" fillId="21" borderId="2" xfId="0" applyNumberFormat="1" applyFont="1" applyFill="1" applyBorder="1" applyProtection="1"/>
    <xf numFmtId="49" fontId="11" fillId="21" borderId="82" xfId="0" applyNumberFormat="1" applyFont="1" applyFill="1" applyBorder="1" applyProtection="1"/>
    <xf numFmtId="49" fontId="11" fillId="21" borderId="65" xfId="0" applyNumberFormat="1" applyFont="1" applyFill="1" applyBorder="1" applyProtection="1"/>
    <xf numFmtId="49" fontId="11" fillId="21" borderId="53" xfId="0" applyNumberFormat="1" applyFont="1" applyFill="1" applyBorder="1" applyProtection="1"/>
    <xf numFmtId="3" fontId="13" fillId="21" borderId="14" xfId="0" applyNumberFormat="1" applyFont="1" applyFill="1" applyBorder="1" applyAlignment="1" applyProtection="1">
      <alignment horizontal="right"/>
    </xf>
    <xf numFmtId="3" fontId="13" fillId="21" borderId="10" xfId="0" applyNumberFormat="1" applyFont="1" applyFill="1" applyBorder="1" applyAlignment="1" applyProtection="1">
      <alignment horizontal="right"/>
    </xf>
    <xf numFmtId="3" fontId="13" fillId="21" borderId="9" xfId="0" applyNumberFormat="1" applyFont="1" applyFill="1" applyBorder="1" applyAlignment="1" applyProtection="1">
      <alignment horizontal="right"/>
    </xf>
    <xf numFmtId="3" fontId="13" fillId="21" borderId="20" xfId="0" applyNumberFormat="1" applyFont="1" applyFill="1" applyBorder="1" applyAlignment="1" applyProtection="1">
      <alignment horizontal="right"/>
    </xf>
    <xf numFmtId="3" fontId="13" fillId="21" borderId="101" xfId="0" applyNumberFormat="1" applyFont="1" applyFill="1" applyBorder="1" applyAlignment="1" applyProtection="1">
      <alignment horizontal="right"/>
    </xf>
    <xf numFmtId="3" fontId="13" fillId="21" borderId="117" xfId="0" applyNumberFormat="1" applyFont="1" applyFill="1" applyBorder="1" applyAlignment="1" applyProtection="1">
      <alignment horizontal="right"/>
    </xf>
    <xf numFmtId="3" fontId="13" fillId="21" borderId="124" xfId="0" applyNumberFormat="1" applyFont="1" applyFill="1" applyBorder="1" applyAlignment="1" applyProtection="1">
      <alignment horizontal="right"/>
    </xf>
    <xf numFmtId="3" fontId="13" fillId="21" borderId="95" xfId="0" applyNumberFormat="1" applyFont="1" applyFill="1" applyBorder="1" applyAlignment="1" applyProtection="1">
      <alignment horizontal="right"/>
    </xf>
    <xf numFmtId="3" fontId="13" fillId="21" borderId="118" xfId="0" applyNumberFormat="1" applyFont="1" applyFill="1" applyBorder="1" applyAlignment="1" applyProtection="1">
      <alignment horizontal="right"/>
    </xf>
    <xf numFmtId="3" fontId="13" fillId="21" borderId="96" xfId="0" applyNumberFormat="1" applyFont="1" applyFill="1" applyBorder="1" applyAlignment="1" applyProtection="1">
      <alignment horizontal="right"/>
    </xf>
    <xf numFmtId="3" fontId="13" fillId="21" borderId="88" xfId="0" applyNumberFormat="1" applyFont="1" applyFill="1" applyBorder="1" applyAlignment="1" applyProtection="1">
      <alignment horizontal="right"/>
    </xf>
    <xf numFmtId="3" fontId="13" fillId="21" borderId="4" xfId="0" applyNumberFormat="1" applyFont="1" applyFill="1" applyBorder="1" applyAlignment="1" applyProtection="1">
      <alignment horizontal="right"/>
    </xf>
    <xf numFmtId="3" fontId="13" fillId="21" borderId="3" xfId="0" applyNumberFormat="1" applyFont="1" applyFill="1" applyBorder="1" applyAlignment="1" applyProtection="1">
      <alignment horizontal="right"/>
    </xf>
    <xf numFmtId="3" fontId="13" fillId="21" borderId="55" xfId="0" applyNumberFormat="1" applyFont="1" applyFill="1" applyBorder="1" applyAlignment="1" applyProtection="1">
      <alignment horizontal="right"/>
    </xf>
    <xf numFmtId="3" fontId="13" fillId="21" borderId="54" xfId="0" applyNumberFormat="1" applyFont="1" applyFill="1" applyBorder="1" applyAlignment="1" applyProtection="1">
      <alignment horizontal="right"/>
    </xf>
    <xf numFmtId="3" fontId="13" fillId="21" borderId="2" xfId="0" applyNumberFormat="1" applyFont="1" applyFill="1" applyBorder="1" applyAlignment="1" applyProtection="1">
      <alignment horizontal="right"/>
    </xf>
    <xf numFmtId="3" fontId="13" fillId="21" borderId="65" xfId="0" applyNumberFormat="1" applyFont="1" applyFill="1" applyBorder="1" applyAlignment="1" applyProtection="1">
      <alignment horizontal="right"/>
    </xf>
    <xf numFmtId="3" fontId="13" fillId="21" borderId="18" xfId="0" applyNumberFormat="1" applyFont="1" applyFill="1" applyBorder="1" applyAlignment="1" applyProtection="1">
      <alignment horizontal="right"/>
    </xf>
    <xf numFmtId="3" fontId="13" fillId="21" borderId="7" xfId="0" applyNumberFormat="1" applyFont="1" applyFill="1" applyBorder="1" applyAlignment="1" applyProtection="1">
      <alignment horizontal="right"/>
    </xf>
    <xf numFmtId="3" fontId="13" fillId="21" borderId="6" xfId="0" applyNumberFormat="1" applyFont="1" applyFill="1" applyBorder="1" applyAlignment="1" applyProtection="1">
      <alignment horizontal="right"/>
    </xf>
    <xf numFmtId="3" fontId="13" fillId="21" borderId="5" xfId="0" applyNumberFormat="1" applyFont="1" applyFill="1" applyBorder="1" applyAlignment="1" applyProtection="1">
      <alignment horizontal="right"/>
    </xf>
    <xf numFmtId="3" fontId="13" fillId="21" borderId="19" xfId="0" applyNumberFormat="1" applyFont="1" applyFill="1" applyBorder="1" applyAlignment="1" applyProtection="1">
      <alignment horizontal="right"/>
    </xf>
    <xf numFmtId="3" fontId="5" fillId="21" borderId="119" xfId="0" applyNumberFormat="1" applyFont="1" applyFill="1" applyBorder="1" applyAlignment="1" applyProtection="1">
      <alignment horizontal="left" vertical="top" wrapText="1"/>
    </xf>
    <xf numFmtId="3" fontId="5" fillId="21" borderId="159" xfId="0" applyNumberFormat="1" applyFont="1" applyFill="1" applyBorder="1" applyAlignment="1" applyProtection="1">
      <alignment vertical="top" wrapText="1"/>
    </xf>
    <xf numFmtId="3" fontId="8" fillId="21" borderId="127" xfId="0" applyNumberFormat="1" applyFont="1" applyFill="1" applyBorder="1" applyProtection="1"/>
    <xf numFmtId="3" fontId="8" fillId="21" borderId="159" xfId="0" applyNumberFormat="1" applyFont="1" applyFill="1" applyBorder="1" applyProtection="1"/>
    <xf numFmtId="0" fontId="8" fillId="21" borderId="127" xfId="0" applyFont="1" applyFill="1" applyBorder="1" applyProtection="1"/>
    <xf numFmtId="0" fontId="8" fillId="21" borderId="116" xfId="0" applyFont="1" applyFill="1" applyBorder="1" applyProtection="1"/>
    <xf numFmtId="0" fontId="11" fillId="21" borderId="171" xfId="0" applyFont="1" applyFill="1" applyBorder="1" applyProtection="1"/>
    <xf numFmtId="49" fontId="11" fillId="21" borderId="135" xfId="0" applyNumberFormat="1" applyFont="1" applyFill="1" applyBorder="1" applyProtection="1"/>
    <xf numFmtId="49" fontId="11" fillId="21" borderId="172" xfId="0" applyNumberFormat="1" applyFont="1" applyFill="1" applyBorder="1" applyProtection="1"/>
    <xf numFmtId="49" fontId="11" fillId="21" borderId="21" xfId="0" applyNumberFormat="1" applyFont="1" applyFill="1" applyBorder="1" applyProtection="1"/>
    <xf numFmtId="49" fontId="11" fillId="21" borderId="108" xfId="0" applyNumberFormat="1" applyFont="1" applyFill="1" applyBorder="1" applyProtection="1"/>
    <xf numFmtId="3" fontId="13" fillId="21" borderId="23" xfId="0" applyNumberFormat="1" applyFont="1" applyFill="1" applyBorder="1" applyAlignment="1" applyProtection="1">
      <alignment horizontal="right"/>
    </xf>
    <xf numFmtId="3" fontId="13" fillId="21" borderId="98" xfId="0" applyNumberFormat="1" applyFont="1" applyFill="1" applyBorder="1" applyAlignment="1" applyProtection="1">
      <alignment horizontal="right"/>
    </xf>
    <xf numFmtId="3" fontId="13" fillId="21" borderId="21" xfId="0" applyNumberFormat="1" applyFont="1" applyFill="1" applyBorder="1" applyAlignment="1" applyProtection="1">
      <alignment horizontal="right"/>
    </xf>
    <xf numFmtId="3" fontId="13" fillId="21" borderId="22" xfId="0" applyNumberFormat="1" applyFont="1" applyFill="1" applyBorder="1" applyAlignment="1" applyProtection="1">
      <alignment horizontal="right"/>
    </xf>
    <xf numFmtId="3" fontId="3" fillId="21" borderId="130" xfId="0" applyNumberFormat="1" applyFont="1" applyFill="1" applyBorder="1" applyAlignment="1" applyProtection="1">
      <alignment horizontal="left" vertical="top" wrapText="1"/>
    </xf>
    <xf numFmtId="3" fontId="3" fillId="21" borderId="69" xfId="0" applyNumberFormat="1" applyFont="1" applyFill="1" applyBorder="1" applyAlignment="1" applyProtection="1">
      <alignment horizontal="left" vertical="top" wrapText="1"/>
    </xf>
    <xf numFmtId="3" fontId="5" fillId="21" borderId="119" xfId="0" applyNumberFormat="1" applyFont="1" applyFill="1" applyBorder="1" applyAlignment="1" applyProtection="1">
      <alignment horizontal="left" vertical="top"/>
    </xf>
    <xf numFmtId="3" fontId="5" fillId="21" borderId="159" xfId="0" applyNumberFormat="1" applyFont="1" applyFill="1" applyBorder="1" applyAlignment="1" applyProtection="1">
      <alignment horizontal="left" vertical="top" wrapText="1"/>
    </xf>
    <xf numFmtId="0" fontId="8" fillId="21" borderId="159" xfId="0" applyFont="1" applyFill="1" applyBorder="1" applyProtection="1"/>
    <xf numFmtId="0" fontId="8" fillId="21" borderId="171" xfId="0" applyFont="1" applyFill="1" applyBorder="1" applyProtection="1"/>
    <xf numFmtId="49" fontId="11" fillId="21" borderId="173" xfId="0" applyNumberFormat="1" applyFont="1" applyFill="1" applyBorder="1" applyProtection="1"/>
    <xf numFmtId="49" fontId="11" fillId="21" borderId="174" xfId="0" applyNumberFormat="1" applyFont="1" applyFill="1" applyBorder="1" applyProtection="1"/>
    <xf numFmtId="49" fontId="11" fillId="21" borderId="28" xfId="0" applyNumberFormat="1" applyFont="1" applyFill="1" applyBorder="1" applyProtection="1"/>
    <xf numFmtId="49" fontId="11" fillId="21" borderId="103" xfId="0" applyNumberFormat="1" applyFont="1" applyFill="1" applyBorder="1" applyProtection="1"/>
    <xf numFmtId="3" fontId="13" fillId="21" borderId="30" xfId="0" applyNumberFormat="1" applyFont="1" applyFill="1" applyBorder="1" applyAlignment="1" applyProtection="1">
      <alignment horizontal="right"/>
    </xf>
    <xf numFmtId="3" fontId="13" fillId="21" borderId="31" xfId="0" applyNumberFormat="1" applyFont="1" applyFill="1" applyBorder="1" applyAlignment="1" applyProtection="1">
      <alignment horizontal="right"/>
    </xf>
    <xf numFmtId="3" fontId="13" fillId="21" borderId="47" xfId="0" applyNumberFormat="1" applyFont="1" applyFill="1" applyBorder="1" applyAlignment="1" applyProtection="1">
      <alignment horizontal="right"/>
    </xf>
    <xf numFmtId="3" fontId="13" fillId="21" borderId="119" xfId="0" applyNumberFormat="1" applyFont="1" applyFill="1" applyBorder="1" applyAlignment="1" applyProtection="1">
      <alignment horizontal="right"/>
    </xf>
    <xf numFmtId="3" fontId="13" fillId="21" borderId="28" xfId="0" applyNumberFormat="1" applyFont="1" applyFill="1" applyBorder="1" applyAlignment="1" applyProtection="1">
      <alignment horizontal="right"/>
    </xf>
    <xf numFmtId="3" fontId="13" fillId="21" borderId="103" xfId="0" applyNumberFormat="1" applyFont="1" applyFill="1" applyBorder="1" applyAlignment="1" applyProtection="1">
      <alignment horizontal="right"/>
    </xf>
    <xf numFmtId="3" fontId="13" fillId="21" borderId="29" xfId="0" applyNumberFormat="1" applyFont="1" applyFill="1" applyBorder="1" applyAlignment="1" applyProtection="1">
      <alignment horizontal="right"/>
    </xf>
    <xf numFmtId="3" fontId="13" fillId="21" borderId="32" xfId="0" applyNumberFormat="1" applyFont="1" applyFill="1" applyBorder="1" applyAlignment="1" applyProtection="1">
      <alignment horizontal="right"/>
    </xf>
    <xf numFmtId="0" fontId="8" fillId="21" borderId="153" xfId="0" applyFont="1" applyFill="1" applyBorder="1" applyAlignment="1" applyProtection="1">
      <alignment horizontal="left"/>
    </xf>
    <xf numFmtId="0" fontId="3" fillId="21" borderId="153" xfId="0" applyFont="1" applyFill="1" applyBorder="1" applyAlignment="1" applyProtection="1">
      <alignment horizontal="left"/>
    </xf>
    <xf numFmtId="0" fontId="8" fillId="21" borderId="15" xfId="0" applyFont="1" applyFill="1" applyBorder="1" applyAlignment="1" applyProtection="1">
      <alignment horizontal="left"/>
    </xf>
    <xf numFmtId="0" fontId="8" fillId="21" borderId="153" xfId="0" applyFont="1" applyFill="1" applyBorder="1" applyProtection="1"/>
    <xf numFmtId="0" fontId="8" fillId="21" borderId="153" xfId="0" applyFont="1" applyFill="1" applyBorder="1" applyAlignment="1" applyProtection="1">
      <alignment horizontal="center"/>
    </xf>
    <xf numFmtId="0" fontId="24" fillId="21" borderId="153" xfId="0" applyFont="1" applyFill="1" applyBorder="1" applyProtection="1"/>
    <xf numFmtId="0" fontId="35" fillId="21" borderId="153" xfId="0" applyFont="1" applyFill="1" applyBorder="1" applyProtection="1"/>
    <xf numFmtId="3" fontId="18" fillId="21" borderId="153" xfId="0" applyNumberFormat="1" applyFont="1" applyFill="1" applyBorder="1" applyProtection="1"/>
    <xf numFmtId="3" fontId="44" fillId="21" borderId="153" xfId="0" applyNumberFormat="1" applyFont="1" applyFill="1" applyBorder="1" applyProtection="1"/>
    <xf numFmtId="3" fontId="91" fillId="21" borderId="153" xfId="0" applyNumberFormat="1" applyFont="1" applyFill="1" applyBorder="1" applyProtection="1"/>
    <xf numFmtId="3" fontId="42" fillId="21" borderId="157" xfId="0" applyNumberFormat="1" applyFont="1" applyFill="1" applyBorder="1" applyProtection="1"/>
    <xf numFmtId="3" fontId="42" fillId="21" borderId="28" xfId="0" applyNumberFormat="1" applyFont="1" applyFill="1" applyBorder="1" applyAlignment="1" applyProtection="1">
      <alignment horizontal="right"/>
    </xf>
    <xf numFmtId="3" fontId="2" fillId="21" borderId="29" xfId="0" applyNumberFormat="1" applyFont="1" applyFill="1" applyBorder="1" applyAlignment="1" applyProtection="1">
      <alignment horizontal="right"/>
    </xf>
    <xf numFmtId="3" fontId="45" fillId="21" borderId="66" xfId="0" applyNumberFormat="1" applyFont="1" applyFill="1" applyBorder="1" applyProtection="1"/>
    <xf numFmtId="3" fontId="45" fillId="21" borderId="5" xfId="0" applyNumberFormat="1" applyFont="1" applyFill="1" applyBorder="1" applyProtection="1"/>
    <xf numFmtId="3" fontId="45" fillId="21" borderId="4" xfId="0" applyNumberFormat="1" applyFont="1" applyFill="1" applyBorder="1" applyProtection="1"/>
    <xf numFmtId="3" fontId="45" fillId="21" borderId="82" xfId="0" applyNumberFormat="1" applyFont="1" applyFill="1" applyBorder="1" applyProtection="1"/>
    <xf numFmtId="3" fontId="43" fillId="21" borderId="91" xfId="0" applyNumberFormat="1" applyFont="1" applyFill="1" applyBorder="1" applyProtection="1"/>
    <xf numFmtId="3" fontId="44" fillId="21" borderId="154" xfId="0" applyNumberFormat="1" applyFont="1" applyFill="1" applyBorder="1" applyProtection="1"/>
    <xf numFmtId="3" fontId="91" fillId="21" borderId="154" xfId="0" applyNumberFormat="1" applyFont="1" applyFill="1" applyBorder="1" applyProtection="1"/>
    <xf numFmtId="3" fontId="13" fillId="26" borderId="103" xfId="0" applyNumberFormat="1" applyFont="1" applyFill="1" applyBorder="1" applyAlignment="1" applyProtection="1">
      <alignment horizontal="right"/>
    </xf>
    <xf numFmtId="0" fontId="25" fillId="21" borderId="101" xfId="0" applyFont="1" applyFill="1" applyBorder="1" applyProtection="1"/>
    <xf numFmtId="0" fontId="25" fillId="21" borderId="96" xfId="0" applyFont="1" applyFill="1" applyBorder="1" applyProtection="1"/>
    <xf numFmtId="0" fontId="25" fillId="21" borderId="120" xfId="0" applyFont="1" applyFill="1" applyBorder="1" applyProtection="1"/>
    <xf numFmtId="0" fontId="25" fillId="21" borderId="121" xfId="0" applyFont="1" applyFill="1" applyBorder="1" applyProtection="1"/>
    <xf numFmtId="0" fontId="25" fillId="21" borderId="4" xfId="0" applyFont="1" applyFill="1" applyBorder="1" applyProtection="1"/>
    <xf numFmtId="0" fontId="25" fillId="21" borderId="65" xfId="0" applyFont="1" applyFill="1" applyBorder="1" applyProtection="1"/>
    <xf numFmtId="0" fontId="25" fillId="21" borderId="82" xfId="0" applyFont="1" applyFill="1" applyBorder="1" applyProtection="1"/>
    <xf numFmtId="0" fontId="25" fillId="21" borderId="53" xfId="0" applyFont="1" applyFill="1" applyBorder="1" applyProtection="1"/>
    <xf numFmtId="3" fontId="2" fillId="21" borderId="15" xfId="0" applyNumberFormat="1" applyFont="1" applyFill="1" applyBorder="1" applyProtection="1"/>
    <xf numFmtId="3" fontId="45" fillId="21" borderId="2" xfId="0" applyNumberFormat="1" applyFont="1" applyFill="1" applyBorder="1" applyProtection="1"/>
    <xf numFmtId="3" fontId="36" fillId="21" borderId="0" xfId="0" applyNumberFormat="1" applyFont="1" applyFill="1" applyBorder="1" applyAlignment="1" applyProtection="1"/>
    <xf numFmtId="3" fontId="2" fillId="21" borderId="28" xfId="0" applyNumberFormat="1" applyFont="1" applyFill="1" applyBorder="1" applyAlignment="1" applyProtection="1">
      <alignment horizontal="right"/>
    </xf>
    <xf numFmtId="3" fontId="45" fillId="21" borderId="153" xfId="0" applyNumberFormat="1" applyFont="1" applyFill="1" applyBorder="1" applyProtection="1"/>
    <xf numFmtId="3" fontId="2" fillId="22" borderId="28" xfId="0" applyNumberFormat="1" applyFont="1" applyFill="1" applyBorder="1" applyAlignment="1" applyProtection="1">
      <alignment horizontal="right"/>
    </xf>
    <xf numFmtId="3" fontId="44" fillId="21" borderId="4" xfId="0" applyNumberFormat="1" applyFont="1" applyFill="1" applyBorder="1" applyProtection="1"/>
    <xf numFmtId="3" fontId="44" fillId="21" borderId="82" xfId="0" applyNumberFormat="1" applyFont="1" applyFill="1" applyBorder="1" applyProtection="1"/>
    <xf numFmtId="3" fontId="91" fillId="21" borderId="82" xfId="0" applyNumberFormat="1" applyFont="1" applyFill="1" applyBorder="1" applyProtection="1"/>
    <xf numFmtId="3" fontId="48" fillId="21" borderId="2" xfId="0" applyNumberFormat="1" applyFont="1" applyFill="1" applyBorder="1" applyAlignment="1" applyProtection="1">
      <alignment horizontal="right"/>
    </xf>
    <xf numFmtId="3" fontId="2" fillId="21" borderId="45" xfId="0" applyNumberFormat="1" applyFont="1" applyFill="1" applyBorder="1" applyAlignment="1" applyProtection="1">
      <alignment horizontal="right"/>
    </xf>
    <xf numFmtId="3" fontId="45" fillId="21" borderId="91" xfId="0" applyNumberFormat="1" applyFont="1" applyFill="1" applyBorder="1" applyProtection="1"/>
    <xf numFmtId="3" fontId="45" fillId="21" borderId="154" xfId="0" applyNumberFormat="1" applyFont="1" applyFill="1" applyBorder="1" applyProtection="1"/>
    <xf numFmtId="3" fontId="104" fillId="21" borderId="4" xfId="0" applyNumberFormat="1" applyFont="1" applyFill="1" applyBorder="1" applyProtection="1"/>
    <xf numFmtId="3" fontId="104" fillId="21" borderId="82" xfId="0" applyNumberFormat="1" applyFont="1" applyFill="1" applyBorder="1" applyProtection="1"/>
    <xf numFmtId="3" fontId="49" fillId="21" borderId="4" xfId="0" applyNumberFormat="1" applyFont="1" applyFill="1" applyBorder="1" applyProtection="1"/>
    <xf numFmtId="3" fontId="42" fillId="21" borderId="30" xfId="0" applyNumberFormat="1" applyFont="1" applyFill="1" applyBorder="1" applyAlignment="1" applyProtection="1">
      <alignment horizontal="right"/>
    </xf>
    <xf numFmtId="3" fontId="44" fillId="21" borderId="91" xfId="0" applyNumberFormat="1" applyFont="1" applyFill="1" applyBorder="1" applyProtection="1"/>
    <xf numFmtId="3" fontId="42" fillId="21" borderId="105" xfId="0" applyNumberFormat="1" applyFont="1" applyFill="1" applyBorder="1" applyAlignment="1" applyProtection="1">
      <alignment horizontal="right"/>
    </xf>
    <xf numFmtId="3" fontId="44" fillId="21" borderId="178" xfId="0" applyNumberFormat="1" applyFont="1" applyFill="1" applyBorder="1" applyProtection="1"/>
    <xf numFmtId="3" fontId="44" fillId="21" borderId="39" xfId="0" applyNumberFormat="1" applyFont="1" applyFill="1" applyBorder="1" applyProtection="1"/>
    <xf numFmtId="3" fontId="91" fillId="21" borderId="39" xfId="0" applyNumberFormat="1" applyFont="1" applyFill="1" applyBorder="1" applyProtection="1"/>
    <xf numFmtId="3" fontId="3" fillId="21" borderId="30" xfId="0" applyNumberFormat="1" applyFont="1" applyFill="1" applyBorder="1" applyAlignment="1" applyProtection="1">
      <alignment horizontal="center"/>
    </xf>
    <xf numFmtId="3" fontId="3" fillId="21" borderId="49" xfId="0" applyNumberFormat="1" applyFont="1" applyFill="1" applyBorder="1" applyAlignment="1" applyProtection="1"/>
    <xf numFmtId="3" fontId="8" fillId="21" borderId="48" xfId="0" applyNumberFormat="1" applyFont="1" applyFill="1" applyBorder="1" applyAlignment="1" applyProtection="1">
      <alignment horizontal="left" vertical="top" wrapText="1"/>
    </xf>
    <xf numFmtId="3" fontId="8" fillId="21" borderId="164" xfId="0" applyNumberFormat="1" applyFont="1" applyFill="1" applyBorder="1" applyAlignment="1" applyProtection="1">
      <alignment horizontal="left" vertical="top" wrapText="1"/>
    </xf>
    <xf numFmtId="3" fontId="3" fillId="21" borderId="180" xfId="0" applyNumberFormat="1" applyFont="1" applyFill="1" applyBorder="1" applyAlignment="1" applyProtection="1">
      <alignment horizontal="center"/>
    </xf>
    <xf numFmtId="3" fontId="3" fillId="21" borderId="29" xfId="0" applyNumberFormat="1" applyFont="1" applyFill="1" applyBorder="1" applyAlignment="1" applyProtection="1">
      <alignment horizontal="center"/>
    </xf>
    <xf numFmtId="3" fontId="3" fillId="21" borderId="181" xfId="0" applyNumberFormat="1" applyFont="1" applyFill="1" applyBorder="1" applyAlignment="1" applyProtection="1"/>
    <xf numFmtId="3" fontId="8" fillId="21" borderId="182" xfId="0" applyNumberFormat="1" applyFont="1" applyFill="1" applyBorder="1" applyAlignment="1" applyProtection="1"/>
    <xf numFmtId="3" fontId="8" fillId="21" borderId="183" xfId="0" applyNumberFormat="1" applyFont="1" applyFill="1" applyBorder="1" applyAlignment="1" applyProtection="1"/>
    <xf numFmtId="3" fontId="3" fillId="21" borderId="45" xfId="0" applyNumberFormat="1" applyFont="1" applyFill="1" applyBorder="1" applyAlignment="1" applyProtection="1">
      <alignment horizontal="center"/>
    </xf>
    <xf numFmtId="3" fontId="5" fillId="21" borderId="77" xfId="0" applyNumberFormat="1" applyFont="1" applyFill="1" applyBorder="1" applyAlignment="1" applyProtection="1"/>
    <xf numFmtId="3" fontId="8" fillId="21" borderId="78" xfId="0" applyNumberFormat="1" applyFont="1" applyFill="1" applyBorder="1" applyAlignment="1" applyProtection="1"/>
    <xf numFmtId="3" fontId="8" fillId="21" borderId="177" xfId="0" applyNumberFormat="1" applyFont="1" applyFill="1" applyBorder="1" applyAlignment="1" applyProtection="1"/>
    <xf numFmtId="3" fontId="3" fillId="21" borderId="184" xfId="0" applyNumberFormat="1" applyFont="1" applyFill="1" applyBorder="1" applyAlignment="1" applyProtection="1">
      <alignment vertical="center"/>
    </xf>
    <xf numFmtId="3" fontId="8" fillId="21" borderId="184" xfId="0" applyNumberFormat="1" applyFont="1" applyFill="1" applyBorder="1" applyProtection="1"/>
    <xf numFmtId="3" fontId="3" fillId="21" borderId="109" xfId="0" applyNumberFormat="1" applyFont="1" applyFill="1" applyBorder="1" applyAlignment="1" applyProtection="1">
      <alignment vertical="center"/>
    </xf>
    <xf numFmtId="3" fontId="8" fillId="21" borderId="75" xfId="0" applyNumberFormat="1" applyFont="1" applyFill="1" applyBorder="1" applyProtection="1"/>
    <xf numFmtId="3" fontId="8" fillId="21" borderId="92" xfId="0" applyNumberFormat="1" applyFont="1" applyFill="1" applyBorder="1" applyProtection="1"/>
    <xf numFmtId="3" fontId="3" fillId="21" borderId="185" xfId="0" applyNumberFormat="1" applyFont="1" applyFill="1" applyBorder="1" applyAlignment="1" applyProtection="1"/>
    <xf numFmtId="3" fontId="3" fillId="21" borderId="109" xfId="0" applyNumberFormat="1" applyFont="1" applyFill="1" applyBorder="1" applyProtection="1"/>
    <xf numFmtId="3" fontId="8" fillId="21" borderId="109" xfId="0" applyNumberFormat="1" applyFont="1" applyFill="1" applyBorder="1" applyProtection="1"/>
    <xf numFmtId="3" fontId="8" fillId="21" borderId="78" xfId="0" applyNumberFormat="1" applyFont="1" applyFill="1" applyBorder="1" applyProtection="1"/>
    <xf numFmtId="3" fontId="8" fillId="21" borderId="177" xfId="0" applyNumberFormat="1" applyFont="1" applyFill="1" applyBorder="1" applyProtection="1"/>
    <xf numFmtId="0" fontId="3" fillId="21" borderId="60" xfId="0" applyFont="1" applyFill="1" applyBorder="1" applyAlignment="1" applyProtection="1">
      <alignment horizontal="left"/>
    </xf>
    <xf numFmtId="0" fontId="3" fillId="21" borderId="124" xfId="0" applyFont="1" applyFill="1" applyBorder="1" applyProtection="1"/>
    <xf numFmtId="0" fontId="3" fillId="21" borderId="186" xfId="0" applyFont="1" applyFill="1" applyBorder="1" applyAlignment="1" applyProtection="1">
      <alignment vertical="top" wrapText="1"/>
    </xf>
    <xf numFmtId="0" fontId="3" fillId="21" borderId="113" xfId="0" applyFont="1" applyFill="1" applyBorder="1" applyAlignment="1" applyProtection="1">
      <alignment horizontal="left" vertical="top" wrapText="1"/>
    </xf>
    <xf numFmtId="0" fontId="3" fillId="21" borderId="136" xfId="0" applyFont="1" applyFill="1" applyBorder="1" applyAlignment="1" applyProtection="1">
      <alignment horizontal="left" vertical="top" wrapText="1"/>
    </xf>
    <xf numFmtId="0" fontId="3" fillId="21" borderId="186" xfId="0" applyFont="1" applyFill="1" applyBorder="1" applyAlignment="1" applyProtection="1">
      <alignment horizontal="left" vertical="top" wrapText="1"/>
    </xf>
    <xf numFmtId="0" fontId="3" fillId="21" borderId="60" xfId="0" applyFont="1" applyFill="1" applyBorder="1" applyProtection="1"/>
    <xf numFmtId="0" fontId="7" fillId="21" borderId="90" xfId="0" applyFont="1" applyFill="1" applyBorder="1" applyProtection="1"/>
    <xf numFmtId="0" fontId="3" fillId="21" borderId="44" xfId="0" applyFont="1" applyFill="1" applyBorder="1" applyProtection="1"/>
    <xf numFmtId="0" fontId="3" fillId="21" borderId="168" xfId="0" applyFont="1" applyFill="1" applyBorder="1" applyAlignment="1" applyProtection="1">
      <alignment horizontal="left" vertical="top" wrapText="1"/>
    </xf>
    <xf numFmtId="0" fontId="3" fillId="21" borderId="127" xfId="0" applyFont="1" applyFill="1" applyBorder="1" applyProtection="1"/>
    <xf numFmtId="0" fontId="5" fillId="21" borderId="127" xfId="0" applyFont="1" applyFill="1" applyBorder="1" applyProtection="1"/>
    <xf numFmtId="0" fontId="3" fillId="21" borderId="16" xfId="0" applyFont="1" applyFill="1" applyBorder="1" applyProtection="1"/>
    <xf numFmtId="0" fontId="3" fillId="21" borderId="64" xfId="0" applyFont="1" applyFill="1" applyBorder="1" applyProtection="1"/>
    <xf numFmtId="0" fontId="3" fillId="21" borderId="68" xfId="0" applyFont="1" applyFill="1" applyBorder="1" applyProtection="1"/>
    <xf numFmtId="0" fontId="3" fillId="21" borderId="147" xfId="0" applyFont="1" applyFill="1" applyBorder="1" applyProtection="1"/>
    <xf numFmtId="0" fontId="3" fillId="21" borderId="114" xfId="0" applyFont="1" applyFill="1" applyBorder="1" applyProtection="1"/>
    <xf numFmtId="0" fontId="46" fillId="21" borderId="176" xfId="0" applyFont="1" applyFill="1" applyBorder="1" applyProtection="1"/>
    <xf numFmtId="0" fontId="5" fillId="21" borderId="101" xfId="0" applyFont="1" applyFill="1" applyBorder="1" applyProtection="1"/>
    <xf numFmtId="0" fontId="5" fillId="21" borderId="16" xfId="0" applyFont="1" applyFill="1" applyBorder="1" applyProtection="1"/>
    <xf numFmtId="49" fontId="7" fillId="21" borderId="127" xfId="0" applyNumberFormat="1" applyFont="1" applyFill="1" applyBorder="1" applyAlignment="1" applyProtection="1">
      <alignment horizontal="left"/>
    </xf>
    <xf numFmtId="3" fontId="37" fillId="21" borderId="15" xfId="0" applyNumberFormat="1" applyFont="1" applyFill="1" applyBorder="1" applyAlignment="1" applyProtection="1"/>
    <xf numFmtId="3" fontId="37" fillId="21" borderId="56" xfId="0" applyNumberFormat="1" applyFont="1" applyFill="1" applyBorder="1" applyAlignment="1" applyProtection="1"/>
    <xf numFmtId="49" fontId="5" fillId="21" borderId="153" xfId="0" applyNumberFormat="1" applyFont="1" applyFill="1" applyBorder="1" applyAlignment="1" applyProtection="1"/>
    <xf numFmtId="49" fontId="5" fillId="21" borderId="0" xfId="0" applyNumberFormat="1" applyFont="1" applyFill="1" applyBorder="1" applyAlignment="1" applyProtection="1"/>
    <xf numFmtId="49" fontId="5" fillId="21" borderId="123" xfId="0" applyNumberFormat="1" applyFont="1" applyFill="1" applyBorder="1" applyAlignment="1" applyProtection="1"/>
    <xf numFmtId="49" fontId="5" fillId="21" borderId="27" xfId="0" applyNumberFormat="1" applyFont="1" applyFill="1" applyBorder="1" applyAlignment="1" applyProtection="1"/>
    <xf numFmtId="3" fontId="2" fillId="21" borderId="15" xfId="0" applyNumberFormat="1" applyFont="1" applyFill="1" applyBorder="1" applyAlignment="1" applyProtection="1">
      <alignment horizontal="right"/>
    </xf>
    <xf numFmtId="3" fontId="10" fillId="21" borderId="15" xfId="0" applyNumberFormat="1" applyFont="1" applyFill="1" applyBorder="1" applyProtection="1"/>
    <xf numFmtId="3" fontId="10" fillId="21" borderId="56" xfId="0" applyNumberFormat="1" applyFont="1" applyFill="1" applyBorder="1" applyProtection="1"/>
    <xf numFmtId="3" fontId="10" fillId="21" borderId="0" xfId="0" applyNumberFormat="1" applyFont="1" applyFill="1" applyBorder="1" applyProtection="1"/>
    <xf numFmtId="49" fontId="3" fillId="21" borderId="39" xfId="0" applyNumberFormat="1" applyFont="1" applyFill="1" applyBorder="1" applyAlignment="1" applyProtection="1"/>
    <xf numFmtId="49" fontId="5" fillId="21" borderId="11" xfId="0" applyNumberFormat="1" applyFont="1" applyFill="1" applyBorder="1" applyAlignment="1" applyProtection="1"/>
    <xf numFmtId="3" fontId="37" fillId="21" borderId="60" xfId="0" applyNumberFormat="1" applyFont="1" applyFill="1" applyBorder="1" applyAlignment="1" applyProtection="1"/>
    <xf numFmtId="49" fontId="5" fillId="21" borderId="57" xfId="0" applyNumberFormat="1" applyFont="1" applyFill="1" applyBorder="1" applyAlignment="1" applyProtection="1"/>
    <xf numFmtId="3" fontId="37" fillId="21" borderId="0" xfId="0" applyNumberFormat="1" applyFont="1" applyFill="1" applyBorder="1" applyAlignment="1" applyProtection="1"/>
    <xf numFmtId="3" fontId="2" fillId="21" borderId="68" xfId="0" applyNumberFormat="1" applyFont="1" applyFill="1" applyBorder="1" applyAlignment="1" applyProtection="1">
      <alignment horizontal="right"/>
    </xf>
    <xf numFmtId="3" fontId="37" fillId="21" borderId="57" xfId="0" applyNumberFormat="1" applyFont="1" applyFill="1" applyBorder="1" applyAlignment="1" applyProtection="1"/>
    <xf numFmtId="3" fontId="37" fillId="21" borderId="15" xfId="0" applyNumberFormat="1" applyFont="1" applyFill="1" applyBorder="1" applyProtection="1"/>
    <xf numFmtId="49" fontId="5" fillId="21" borderId="15" xfId="0" applyNumberFormat="1" applyFont="1" applyFill="1" applyBorder="1" applyAlignment="1" applyProtection="1"/>
    <xf numFmtId="3" fontId="2" fillId="27" borderId="17" xfId="0" applyNumberFormat="1" applyFont="1" applyFill="1" applyBorder="1" applyAlignment="1" applyProtection="1">
      <alignment horizontal="right"/>
    </xf>
    <xf numFmtId="49" fontId="3" fillId="21" borderId="134" xfId="0" applyNumberFormat="1" applyFont="1" applyFill="1" applyBorder="1" applyAlignment="1" applyProtection="1">
      <alignment horizontal="left"/>
    </xf>
    <xf numFmtId="0" fontId="5" fillId="21" borderId="64" xfId="0" applyFont="1" applyFill="1" applyBorder="1" applyProtection="1"/>
    <xf numFmtId="49" fontId="3" fillId="21" borderId="22" xfId="0" applyNumberFormat="1" applyFont="1" applyFill="1" applyBorder="1" applyAlignment="1" applyProtection="1">
      <alignment horizontal="left"/>
    </xf>
    <xf numFmtId="49" fontId="3" fillId="21" borderId="92" xfId="0" applyNumberFormat="1" applyFont="1" applyFill="1" applyBorder="1" applyProtection="1"/>
    <xf numFmtId="49" fontId="3" fillId="21" borderId="92" xfId="0" applyNumberFormat="1" applyFont="1" applyFill="1" applyBorder="1" applyAlignment="1" applyProtection="1">
      <alignment wrapText="1"/>
    </xf>
    <xf numFmtId="49" fontId="3" fillId="21" borderId="21" xfId="0" applyNumberFormat="1" applyFont="1" applyFill="1" applyBorder="1" applyAlignment="1" applyProtection="1">
      <alignment horizontal="left"/>
    </xf>
    <xf numFmtId="49" fontId="3" fillId="21" borderId="55" xfId="0" applyNumberFormat="1" applyFont="1" applyFill="1" applyBorder="1" applyAlignment="1" applyProtection="1">
      <alignment wrapText="1"/>
    </xf>
    <xf numFmtId="49" fontId="3" fillId="21" borderId="23" xfId="0" applyNumberFormat="1" applyFont="1" applyFill="1" applyBorder="1" applyAlignment="1" applyProtection="1">
      <alignment horizontal="left"/>
    </xf>
    <xf numFmtId="0" fontId="5" fillId="21" borderId="48" xfId="0" applyFont="1" applyFill="1" applyBorder="1" applyProtection="1"/>
    <xf numFmtId="49" fontId="3" fillId="21" borderId="76" xfId="0" applyNumberFormat="1" applyFont="1" applyFill="1" applyBorder="1" applyProtection="1"/>
    <xf numFmtId="49" fontId="3" fillId="21" borderId="65" xfId="0" applyNumberFormat="1" applyFont="1" applyFill="1" applyBorder="1" applyAlignment="1" applyProtection="1">
      <alignment wrapText="1"/>
    </xf>
    <xf numFmtId="0" fontId="5" fillId="21" borderId="164" xfId="0" applyFont="1" applyFill="1" applyBorder="1" applyProtection="1"/>
    <xf numFmtId="49" fontId="3" fillId="21" borderId="55" xfId="0" applyNumberFormat="1" applyFont="1" applyFill="1" applyBorder="1" applyProtection="1"/>
    <xf numFmtId="49" fontId="3" fillId="21" borderId="6" xfId="0" applyNumberFormat="1" applyFont="1" applyFill="1" applyBorder="1" applyAlignment="1" applyProtection="1">
      <alignment wrapText="1"/>
    </xf>
    <xf numFmtId="49" fontId="3" fillId="21" borderId="3" xfId="0" applyNumberFormat="1" applyFont="1" applyFill="1" applyBorder="1" applyAlignment="1" applyProtection="1">
      <alignment wrapText="1"/>
    </xf>
    <xf numFmtId="49" fontId="3" fillId="21" borderId="176" xfId="0" applyNumberFormat="1" applyFont="1" applyFill="1" applyBorder="1" applyAlignment="1" applyProtection="1">
      <alignment wrapText="1"/>
    </xf>
    <xf numFmtId="0" fontId="5" fillId="21" borderId="187" xfId="0" applyFont="1" applyFill="1" applyBorder="1" applyProtection="1"/>
    <xf numFmtId="49" fontId="3" fillId="21" borderId="12" xfId="0" applyNumberFormat="1" applyFont="1" applyFill="1" applyBorder="1" applyProtection="1"/>
    <xf numFmtId="49" fontId="3" fillId="21" borderId="54" xfId="0" applyNumberFormat="1" applyFont="1" applyFill="1" applyBorder="1" applyProtection="1"/>
    <xf numFmtId="49" fontId="3" fillId="21" borderId="54" xfId="0" applyNumberFormat="1" applyFont="1" applyFill="1" applyBorder="1" applyAlignment="1" applyProtection="1">
      <alignment wrapText="1"/>
    </xf>
    <xf numFmtId="49" fontId="3" fillId="21" borderId="6" xfId="11" applyNumberFormat="1" applyFont="1" applyFill="1" applyBorder="1" applyAlignment="1" applyProtection="1"/>
    <xf numFmtId="49" fontId="3" fillId="21" borderId="130" xfId="0" applyNumberFormat="1" applyFont="1" applyFill="1" applyBorder="1" applyAlignment="1" applyProtection="1">
      <alignment horizontal="left"/>
    </xf>
    <xf numFmtId="49" fontId="3" fillId="21" borderId="170" xfId="11" applyNumberFormat="1" applyFont="1" applyFill="1" applyBorder="1" applyAlignment="1" applyProtection="1"/>
    <xf numFmtId="49" fontId="3" fillId="21" borderId="127" xfId="0" applyNumberFormat="1" applyFont="1" applyFill="1" applyBorder="1" applyAlignment="1" applyProtection="1">
      <alignment horizontal="left"/>
    </xf>
    <xf numFmtId="49" fontId="3" fillId="21" borderId="56" xfId="11" applyNumberFormat="1" applyFont="1" applyFill="1" applyBorder="1" applyAlignment="1" applyProtection="1"/>
    <xf numFmtId="49" fontId="3" fillId="21" borderId="167" xfId="11" applyNumberFormat="1" applyFont="1" applyFill="1" applyBorder="1" applyAlignment="1" applyProtection="1"/>
    <xf numFmtId="49" fontId="3" fillId="21" borderId="176" xfId="11" applyNumberFormat="1" applyFont="1" applyFill="1" applyBorder="1" applyAlignment="1" applyProtection="1"/>
    <xf numFmtId="49" fontId="3" fillId="21" borderId="6" xfId="0" applyNumberFormat="1" applyFont="1" applyFill="1" applyBorder="1" applyProtection="1"/>
    <xf numFmtId="49" fontId="3" fillId="21" borderId="92" xfId="11" applyNumberFormat="1" applyFont="1" applyFill="1" applyBorder="1" applyAlignment="1" applyProtection="1"/>
    <xf numFmtId="49" fontId="3" fillId="21" borderId="24" xfId="0" applyNumberFormat="1" applyFont="1" applyFill="1" applyBorder="1" applyAlignment="1" applyProtection="1">
      <alignment horizontal="left"/>
    </xf>
    <xf numFmtId="49" fontId="3" fillId="21" borderId="72" xfId="11" applyNumberFormat="1" applyFont="1" applyFill="1" applyBorder="1" applyAlignment="1" applyProtection="1"/>
    <xf numFmtId="49" fontId="3" fillId="21" borderId="12" xfId="11" applyNumberFormat="1" applyFont="1" applyFill="1" applyBorder="1" applyAlignment="1" applyProtection="1"/>
    <xf numFmtId="0" fontId="3" fillId="21" borderId="0" xfId="0" applyFont="1" applyFill="1" applyBorder="1" applyAlignment="1" applyProtection="1">
      <alignment horizontal="center"/>
    </xf>
    <xf numFmtId="0" fontId="2" fillId="21" borderId="39" xfId="0" applyFont="1" applyFill="1" applyBorder="1" applyProtection="1"/>
    <xf numFmtId="0" fontId="3" fillId="21" borderId="58" xfId="0" applyFont="1" applyFill="1" applyBorder="1" applyProtection="1"/>
    <xf numFmtId="0" fontId="9" fillId="21" borderId="39" xfId="0" applyFont="1" applyFill="1" applyBorder="1" applyProtection="1"/>
    <xf numFmtId="0" fontId="2" fillId="21" borderId="0" xfId="0" applyFont="1" applyFill="1" applyBorder="1" applyProtection="1"/>
    <xf numFmtId="0" fontId="9" fillId="21" borderId="144" xfId="0" applyFont="1" applyFill="1" applyBorder="1" applyProtection="1"/>
    <xf numFmtId="0" fontId="7" fillId="21" borderId="124" xfId="0" applyFont="1" applyFill="1" applyBorder="1" applyProtection="1"/>
    <xf numFmtId="0" fontId="2" fillId="21" borderId="124" xfId="0" applyFont="1" applyFill="1" applyBorder="1" applyProtection="1"/>
    <xf numFmtId="0" fontId="7" fillId="21" borderId="0" xfId="0" applyFont="1" applyFill="1" applyBorder="1" applyProtection="1"/>
    <xf numFmtId="0" fontId="7" fillId="21" borderId="0" xfId="0" applyFont="1" applyFill="1" applyBorder="1" applyAlignment="1" applyProtection="1">
      <alignment horizontal="left" vertical="top" wrapText="1"/>
    </xf>
    <xf numFmtId="0" fontId="2" fillId="21" borderId="0" xfId="0" applyFont="1" applyFill="1" applyBorder="1" applyAlignment="1" applyProtection="1">
      <alignment horizontal="left" vertical="top" wrapText="1"/>
    </xf>
    <xf numFmtId="49" fontId="3" fillId="21" borderId="36" xfId="5" applyNumberFormat="1" applyFont="1" applyFill="1" applyBorder="1" applyAlignment="1" applyProtection="1">
      <alignment horizontal="left"/>
    </xf>
    <xf numFmtId="0" fontId="3" fillId="21" borderId="118" xfId="5" applyFont="1" applyFill="1" applyBorder="1" applyAlignment="1" applyProtection="1"/>
    <xf numFmtId="0" fontId="3" fillId="21" borderId="120" xfId="5" applyFont="1" applyFill="1" applyBorder="1" applyProtection="1"/>
    <xf numFmtId="0" fontId="3" fillId="21" borderId="124" xfId="5" applyFont="1" applyFill="1" applyBorder="1" applyProtection="1"/>
    <xf numFmtId="0" fontId="3" fillId="21" borderId="95" xfId="5" applyFont="1" applyFill="1" applyBorder="1" applyProtection="1"/>
    <xf numFmtId="49" fontId="3" fillId="21" borderId="58" xfId="5" applyNumberFormat="1" applyFont="1" applyFill="1" applyBorder="1" applyAlignment="1" applyProtection="1">
      <alignment horizontal="left" vertical="top"/>
    </xf>
    <xf numFmtId="0" fontId="3" fillId="21" borderId="15" xfId="5" applyFont="1" applyFill="1" applyBorder="1" applyProtection="1"/>
    <xf numFmtId="0" fontId="24" fillId="21" borderId="160" xfId="5" applyFont="1" applyFill="1" applyBorder="1" applyProtection="1"/>
    <xf numFmtId="0" fontId="24" fillId="21" borderId="68" xfId="5" applyFont="1" applyFill="1" applyBorder="1" applyProtection="1"/>
    <xf numFmtId="3" fontId="3" fillId="21" borderId="165" xfId="5" applyNumberFormat="1" applyFont="1" applyFill="1" applyBorder="1" applyAlignment="1" applyProtection="1">
      <alignment wrapText="1"/>
    </xf>
    <xf numFmtId="3" fontId="3" fillId="21" borderId="158" xfId="5" applyNumberFormat="1" applyFont="1" applyFill="1" applyBorder="1" applyProtection="1"/>
    <xf numFmtId="0" fontId="3" fillId="21" borderId="158" xfId="5" applyFont="1" applyFill="1" applyBorder="1" applyProtection="1"/>
    <xf numFmtId="49" fontId="3" fillId="21" borderId="58" xfId="5" applyNumberFormat="1" applyFont="1" applyFill="1" applyBorder="1" applyAlignment="1" applyProtection="1">
      <alignment horizontal="left"/>
    </xf>
    <xf numFmtId="0" fontId="3" fillId="21" borderId="56" xfId="5" applyFont="1" applyFill="1" applyBorder="1" applyProtection="1"/>
    <xf numFmtId="3" fontId="3" fillId="21" borderId="16" xfId="5" applyNumberFormat="1" applyFont="1" applyFill="1" applyBorder="1" applyProtection="1"/>
    <xf numFmtId="49" fontId="7" fillId="21" borderId="58" xfId="5" applyNumberFormat="1" applyFont="1" applyFill="1" applyBorder="1" applyAlignment="1" applyProtection="1">
      <alignment horizontal="left"/>
    </xf>
    <xf numFmtId="0" fontId="3" fillId="21" borderId="167" xfId="5" applyFont="1" applyFill="1" applyBorder="1" applyProtection="1"/>
    <xf numFmtId="0" fontId="3" fillId="21" borderId="158" xfId="5" applyFont="1" applyFill="1" applyBorder="1" applyAlignment="1" applyProtection="1">
      <alignment horizontal="left"/>
    </xf>
    <xf numFmtId="0" fontId="3" fillId="21" borderId="0" xfId="5" applyFont="1" applyFill="1" applyBorder="1" applyProtection="1"/>
    <xf numFmtId="0" fontId="5" fillId="21" borderId="167" xfId="5" applyFont="1" applyFill="1" applyBorder="1" applyProtection="1"/>
    <xf numFmtId="49" fontId="5" fillId="21" borderId="58" xfId="5" applyNumberFormat="1" applyFont="1" applyFill="1" applyBorder="1" applyAlignment="1" applyProtection="1">
      <alignment horizontal="left"/>
    </xf>
    <xf numFmtId="0" fontId="7" fillId="21" borderId="175" xfId="5" applyFont="1" applyFill="1" applyBorder="1" applyProtection="1"/>
    <xf numFmtId="0" fontId="3" fillId="21" borderId="190" xfId="5" applyFont="1" applyFill="1" applyBorder="1" applyProtection="1"/>
    <xf numFmtId="0" fontId="3" fillId="21" borderId="175" xfId="5" applyFont="1" applyFill="1" applyBorder="1" applyProtection="1"/>
    <xf numFmtId="0" fontId="5" fillId="21" borderId="35" xfId="5" applyFont="1" applyFill="1" applyBorder="1" applyAlignment="1" applyProtection="1">
      <alignment horizontal="left"/>
    </xf>
    <xf numFmtId="0" fontId="5" fillId="21" borderId="35" xfId="5" applyFont="1" applyFill="1" applyBorder="1" applyProtection="1"/>
    <xf numFmtId="0" fontId="3" fillId="21" borderId="2" xfId="5" applyFont="1" applyFill="1" applyBorder="1" applyAlignment="1" applyProtection="1">
      <alignment horizontal="left"/>
    </xf>
    <xf numFmtId="0" fontId="3" fillId="21" borderId="2" xfId="5" applyFont="1" applyFill="1" applyBorder="1" applyProtection="1"/>
    <xf numFmtId="0" fontId="3" fillId="21" borderId="5" xfId="5" applyFont="1" applyFill="1" applyBorder="1" applyProtection="1"/>
    <xf numFmtId="1" fontId="5" fillId="21" borderId="50" xfId="5" applyNumberFormat="1" applyFont="1" applyFill="1" applyBorder="1" applyAlignment="1" applyProtection="1">
      <alignment horizontal="left"/>
    </xf>
    <xf numFmtId="0" fontId="5" fillId="21" borderId="5" xfId="5" applyFont="1" applyFill="1" applyBorder="1" applyProtection="1"/>
    <xf numFmtId="1" fontId="3" fillId="21" borderId="51" xfId="5" applyNumberFormat="1" applyFont="1" applyFill="1" applyBorder="1" applyAlignment="1" applyProtection="1">
      <alignment horizontal="left"/>
    </xf>
    <xf numFmtId="0" fontId="5" fillId="21" borderId="2" xfId="5" applyFont="1" applyFill="1" applyBorder="1" applyAlignment="1" applyProtection="1">
      <alignment horizontal="left"/>
    </xf>
    <xf numFmtId="0" fontId="5" fillId="21" borderId="2" xfId="5" applyFont="1" applyFill="1" applyBorder="1" applyAlignment="1" applyProtection="1">
      <alignment wrapText="1"/>
    </xf>
    <xf numFmtId="0" fontId="5" fillId="21" borderId="5" xfId="5" applyFont="1" applyFill="1" applyBorder="1" applyAlignment="1" applyProtection="1">
      <alignment wrapText="1"/>
    </xf>
    <xf numFmtId="1" fontId="3" fillId="21" borderId="51" xfId="5" applyNumberFormat="1" applyFont="1" applyFill="1" applyBorder="1" applyProtection="1"/>
    <xf numFmtId="1" fontId="5" fillId="21" borderId="191" xfId="5" applyNumberFormat="1" applyFont="1" applyFill="1" applyBorder="1" applyAlignment="1" applyProtection="1">
      <alignment horizontal="left"/>
    </xf>
    <xf numFmtId="0" fontId="5" fillId="21" borderId="9" xfId="5" applyFont="1" applyFill="1" applyBorder="1" applyProtection="1"/>
    <xf numFmtId="1" fontId="3" fillId="21" borderId="50" xfId="5" applyNumberFormat="1" applyFont="1" applyFill="1" applyBorder="1" applyAlignment="1" applyProtection="1">
      <alignment horizontal="left"/>
    </xf>
    <xf numFmtId="49" fontId="3" fillId="21" borderId="5" xfId="5" applyNumberFormat="1" applyFont="1" applyFill="1" applyBorder="1" applyAlignment="1" applyProtection="1">
      <alignment horizontal="left"/>
    </xf>
    <xf numFmtId="0" fontId="3" fillId="21" borderId="6" xfId="5" applyFont="1" applyFill="1" applyBorder="1" applyAlignment="1" applyProtection="1">
      <alignment wrapText="1"/>
    </xf>
    <xf numFmtId="3" fontId="2" fillId="21" borderId="5" xfId="5" applyNumberFormat="1" applyFont="1" applyFill="1" applyBorder="1" applyProtection="1"/>
    <xf numFmtId="3" fontId="45" fillId="21" borderId="5" xfId="5" applyNumberFormat="1" applyFont="1" applyFill="1" applyBorder="1" applyAlignment="1" applyProtection="1">
      <alignment horizontal="right"/>
    </xf>
    <xf numFmtId="3" fontId="45" fillId="21" borderId="2" xfId="5" applyNumberFormat="1" applyFont="1" applyFill="1" applyBorder="1" applyAlignment="1" applyProtection="1">
      <alignment horizontal="right"/>
    </xf>
    <xf numFmtId="3" fontId="45" fillId="21" borderId="15" xfId="5" applyNumberFormat="1" applyFont="1" applyFill="1" applyBorder="1" applyAlignment="1" applyProtection="1">
      <alignment horizontal="right"/>
    </xf>
    <xf numFmtId="3" fontId="42" fillId="21" borderId="11" xfId="5" applyNumberFormat="1" applyFont="1" applyFill="1" applyBorder="1" applyAlignment="1" applyProtection="1">
      <alignment horizontal="right"/>
    </xf>
    <xf numFmtId="3" fontId="42" fillId="21" borderId="170" xfId="5" applyNumberFormat="1" applyFont="1" applyFill="1" applyBorder="1" applyAlignment="1" applyProtection="1">
      <alignment horizontal="right"/>
    </xf>
    <xf numFmtId="3" fontId="42" fillId="21" borderId="0" xfId="5" applyNumberFormat="1" applyFont="1" applyFill="1" applyBorder="1" applyAlignment="1" applyProtection="1">
      <alignment horizontal="right"/>
    </xf>
    <xf numFmtId="3" fontId="42" fillId="21" borderId="86" xfId="5" applyNumberFormat="1" applyFont="1" applyFill="1" applyBorder="1" applyAlignment="1" applyProtection="1">
      <alignment horizontal="right"/>
    </xf>
    <xf numFmtId="3" fontId="42" fillId="21" borderId="39" xfId="5" applyNumberFormat="1" applyFont="1" applyFill="1" applyBorder="1" applyAlignment="1" applyProtection="1">
      <alignment horizontal="right"/>
    </xf>
    <xf numFmtId="3" fontId="2" fillId="21" borderId="9" xfId="5" applyNumberFormat="1" applyFont="1" applyFill="1" applyBorder="1" applyProtection="1"/>
    <xf numFmtId="3" fontId="45" fillId="21" borderId="9" xfId="5" applyNumberFormat="1" applyFont="1" applyFill="1" applyBorder="1" applyProtection="1"/>
    <xf numFmtId="3" fontId="2" fillId="21" borderId="2" xfId="5" applyNumberFormat="1" applyFont="1" applyFill="1" applyBorder="1" applyAlignment="1" applyProtection="1">
      <alignment horizontal="right"/>
    </xf>
    <xf numFmtId="3" fontId="2" fillId="21" borderId="5" xfId="5" applyNumberFormat="1" applyFont="1" applyFill="1" applyBorder="1" applyAlignment="1" applyProtection="1">
      <alignment horizontal="right"/>
    </xf>
    <xf numFmtId="3" fontId="2" fillId="21" borderId="9" xfId="5" applyNumberFormat="1" applyFont="1" applyFill="1" applyBorder="1" applyAlignment="1" applyProtection="1">
      <alignment horizontal="right"/>
    </xf>
    <xf numFmtId="0" fontId="2" fillId="21" borderId="0" xfId="5" applyFont="1" applyFill="1" applyProtection="1"/>
    <xf numFmtId="0" fontId="24" fillId="21" borderId="0" xfId="5" applyFill="1" applyProtection="1"/>
    <xf numFmtId="3" fontId="37" fillId="21" borderId="0" xfId="5" applyNumberFormat="1" applyFont="1" applyFill="1" applyBorder="1" applyProtection="1"/>
    <xf numFmtId="0" fontId="24" fillId="21" borderId="0" xfId="5" applyFont="1" applyFill="1" applyProtection="1"/>
    <xf numFmtId="0" fontId="2" fillId="21" borderId="0" xfId="5" applyFont="1" applyFill="1" applyBorder="1" applyProtection="1"/>
    <xf numFmtId="0" fontId="3" fillId="21" borderId="118" xfId="5" applyFont="1" applyFill="1" applyBorder="1" applyProtection="1"/>
    <xf numFmtId="0" fontId="3" fillId="21" borderId="121" xfId="5" applyFont="1" applyFill="1" applyBorder="1" applyProtection="1"/>
    <xf numFmtId="0" fontId="3" fillId="21" borderId="153" xfId="5" applyFont="1" applyFill="1" applyBorder="1" applyProtection="1"/>
    <xf numFmtId="0" fontId="3" fillId="21" borderId="57" xfId="5" applyFont="1" applyFill="1" applyBorder="1" applyProtection="1"/>
    <xf numFmtId="1" fontId="5" fillId="21" borderId="192" xfId="5" applyNumberFormat="1" applyFont="1" applyFill="1" applyBorder="1" applyAlignment="1" applyProtection="1">
      <alignment horizontal="left"/>
    </xf>
    <xf numFmtId="0" fontId="5" fillId="21" borderId="166" xfId="5" applyFont="1" applyFill="1" applyBorder="1" applyProtection="1"/>
    <xf numFmtId="0" fontId="3" fillId="21" borderId="3" xfId="5" applyFont="1" applyFill="1" applyBorder="1" applyProtection="1"/>
    <xf numFmtId="0" fontId="3" fillId="21" borderId="6" xfId="5" applyFont="1" applyFill="1" applyBorder="1" applyProtection="1"/>
    <xf numFmtId="1" fontId="3" fillId="21" borderId="142" xfId="5" applyNumberFormat="1" applyFont="1" applyFill="1" applyBorder="1" applyAlignment="1" applyProtection="1">
      <alignment horizontal="left"/>
    </xf>
    <xf numFmtId="1" fontId="5" fillId="21" borderId="58" xfId="5" applyNumberFormat="1" applyFont="1" applyFill="1" applyBorder="1" applyAlignment="1" applyProtection="1">
      <alignment horizontal="left"/>
    </xf>
    <xf numFmtId="1" fontId="3" fillId="21" borderId="58" xfId="5" applyNumberFormat="1" applyFont="1" applyFill="1" applyBorder="1" applyAlignment="1" applyProtection="1">
      <alignment horizontal="left"/>
    </xf>
    <xf numFmtId="1" fontId="5" fillId="21" borderId="125" xfId="5" applyNumberFormat="1" applyFont="1" applyFill="1" applyBorder="1" applyAlignment="1" applyProtection="1">
      <alignment horizontal="left"/>
    </xf>
    <xf numFmtId="0" fontId="5" fillId="21" borderId="114" xfId="5" applyFont="1" applyFill="1" applyBorder="1" applyProtection="1"/>
    <xf numFmtId="0" fontId="3" fillId="21" borderId="72" xfId="5" applyFont="1" applyFill="1" applyBorder="1" applyProtection="1"/>
    <xf numFmtId="3" fontId="3" fillId="21" borderId="56" xfId="0" applyNumberFormat="1" applyFont="1" applyFill="1" applyBorder="1" applyProtection="1"/>
    <xf numFmtId="49" fontId="7" fillId="21" borderId="58" xfId="0" applyNumberFormat="1" applyFont="1" applyFill="1" applyBorder="1" applyAlignment="1" applyProtection="1">
      <alignment horizontal="left"/>
    </xf>
    <xf numFmtId="49" fontId="12" fillId="21" borderId="58" xfId="0" applyNumberFormat="1" applyFont="1" applyFill="1" applyBorder="1" applyAlignment="1" applyProtection="1">
      <alignment horizontal="left"/>
    </xf>
    <xf numFmtId="1" fontId="5" fillId="21" borderId="134" xfId="0" applyNumberFormat="1" applyFont="1" applyFill="1" applyBorder="1" applyAlignment="1" applyProtection="1">
      <alignment horizontal="left"/>
    </xf>
    <xf numFmtId="1" fontId="3" fillId="21" borderId="22" xfId="0" applyNumberFormat="1" applyFont="1" applyFill="1" applyBorder="1" applyAlignment="1" applyProtection="1">
      <alignment horizontal="left"/>
    </xf>
    <xf numFmtId="1" fontId="5" fillId="21" borderId="22" xfId="0" applyNumberFormat="1" applyFont="1" applyFill="1" applyBorder="1" applyAlignment="1" applyProtection="1">
      <alignment horizontal="left"/>
    </xf>
    <xf numFmtId="1" fontId="5" fillId="21" borderId="130" xfId="0" applyNumberFormat="1" applyFont="1" applyFill="1" applyBorder="1" applyAlignment="1" applyProtection="1">
      <alignment horizontal="left"/>
    </xf>
    <xf numFmtId="3" fontId="3" fillId="21" borderId="189" xfId="0" applyNumberFormat="1" applyFont="1" applyFill="1" applyBorder="1" applyAlignment="1" applyProtection="1">
      <alignment wrapText="1"/>
    </xf>
    <xf numFmtId="3" fontId="3" fillId="21" borderId="44" xfId="0" applyNumberFormat="1" applyFont="1" applyFill="1" applyBorder="1" applyProtection="1"/>
    <xf numFmtId="3" fontId="3" fillId="21" borderId="0" xfId="0" applyNumberFormat="1" applyFont="1" applyFill="1" applyBorder="1" applyProtection="1"/>
    <xf numFmtId="0" fontId="9" fillId="21" borderId="175" xfId="0" applyFont="1" applyFill="1" applyBorder="1" applyAlignment="1" applyProtection="1">
      <alignment horizontal="left" wrapText="1"/>
    </xf>
    <xf numFmtId="0" fontId="9" fillId="21" borderId="175" xfId="0" applyFont="1" applyFill="1" applyBorder="1" applyAlignment="1" applyProtection="1">
      <alignment horizontal="left"/>
    </xf>
    <xf numFmtId="3" fontId="2" fillId="21" borderId="136" xfId="0" applyNumberFormat="1" applyFont="1" applyFill="1" applyBorder="1" applyAlignment="1" applyProtection="1">
      <alignment horizontal="right"/>
    </xf>
    <xf numFmtId="3" fontId="45" fillId="21" borderId="35" xfId="0" quotePrefix="1" applyNumberFormat="1" applyFont="1" applyFill="1" applyBorder="1" applyAlignment="1" applyProtection="1">
      <alignment horizontal="right"/>
    </xf>
    <xf numFmtId="3" fontId="2" fillId="21" borderId="5" xfId="0" applyNumberFormat="1" applyFont="1" applyFill="1" applyBorder="1" applyAlignment="1" applyProtection="1">
      <alignment horizontal="right"/>
    </xf>
    <xf numFmtId="3" fontId="45" fillId="21" borderId="2" xfId="0" applyNumberFormat="1" applyFont="1" applyFill="1" applyBorder="1" applyAlignment="1" applyProtection="1">
      <alignment horizontal="right"/>
    </xf>
    <xf numFmtId="3" fontId="45" fillId="21" borderId="5" xfId="0" applyNumberFormat="1" applyFont="1" applyFill="1" applyBorder="1" applyAlignment="1" applyProtection="1">
      <alignment horizontal="right"/>
    </xf>
    <xf numFmtId="3" fontId="2" fillId="21" borderId="170" xfId="0" applyNumberFormat="1" applyFont="1" applyFill="1" applyBorder="1" applyAlignment="1" applyProtection="1">
      <alignment horizontal="right"/>
    </xf>
    <xf numFmtId="3" fontId="45" fillId="21" borderId="11" xfId="0" applyNumberFormat="1" applyFont="1" applyFill="1" applyBorder="1" applyAlignment="1" applyProtection="1">
      <alignment horizontal="right"/>
    </xf>
    <xf numFmtId="3" fontId="2" fillId="21" borderId="86" xfId="0" applyNumberFormat="1" applyFont="1" applyFill="1" applyBorder="1" applyAlignment="1" applyProtection="1">
      <alignment horizontal="right"/>
    </xf>
    <xf numFmtId="3" fontId="2" fillId="21" borderId="2" xfId="0" applyNumberFormat="1" applyFont="1" applyFill="1" applyBorder="1" applyAlignment="1" applyProtection="1">
      <alignment horizontal="right"/>
    </xf>
    <xf numFmtId="3" fontId="2" fillId="21" borderId="25" xfId="0" applyNumberFormat="1" applyFont="1" applyFill="1" applyBorder="1" applyAlignment="1" applyProtection="1">
      <alignment horizontal="right"/>
    </xf>
    <xf numFmtId="3" fontId="45" fillId="21" borderId="13" xfId="0" quotePrefix="1" applyNumberFormat="1" applyFont="1" applyFill="1" applyBorder="1" applyAlignment="1" applyProtection="1">
      <alignment horizontal="right"/>
    </xf>
    <xf numFmtId="3" fontId="2" fillId="9" borderId="20" xfId="0" applyNumberFormat="1" applyFont="1" applyFill="1" applyBorder="1" applyProtection="1"/>
    <xf numFmtId="3" fontId="2" fillId="9" borderId="19" xfId="0" applyNumberFormat="1" applyFont="1" applyFill="1" applyBorder="1" applyProtection="1"/>
    <xf numFmtId="173" fontId="36" fillId="0" borderId="0" xfId="0" applyNumberFormat="1" applyFont="1" applyFill="1" applyBorder="1" applyAlignment="1" applyProtection="1">
      <alignment horizontal="left" vertical="justify" wrapText="1"/>
    </xf>
    <xf numFmtId="0" fontId="3" fillId="21" borderId="118" xfId="0" applyFont="1" applyFill="1" applyBorder="1" applyAlignment="1" applyProtection="1">
      <alignment horizontal="right"/>
    </xf>
    <xf numFmtId="0" fontId="8" fillId="21" borderId="98" xfId="0" applyFont="1" applyFill="1" applyBorder="1" applyAlignment="1" applyProtection="1">
      <alignment horizontal="center"/>
    </xf>
    <xf numFmtId="0" fontId="8" fillId="21" borderId="127" xfId="0" applyFont="1" applyFill="1" applyBorder="1" applyAlignment="1" applyProtection="1">
      <alignment horizontal="center"/>
    </xf>
    <xf numFmtId="0" fontId="8" fillId="21" borderId="130" xfId="0" applyFont="1" applyFill="1" applyBorder="1" applyAlignment="1" applyProtection="1">
      <alignment horizontal="center"/>
    </xf>
    <xf numFmtId="0" fontId="3" fillId="21" borderId="98" xfId="0" applyFont="1" applyFill="1" applyBorder="1" applyAlignment="1" applyProtection="1">
      <alignment horizontal="center"/>
    </xf>
    <xf numFmtId="0" fontId="8" fillId="0" borderId="124" xfId="0" applyFont="1" applyFill="1" applyBorder="1" applyAlignment="1" applyProtection="1">
      <alignment horizontal="center"/>
    </xf>
    <xf numFmtId="0" fontId="3" fillId="0" borderId="124" xfId="0" applyFont="1" applyFill="1" applyBorder="1" applyAlignment="1" applyProtection="1">
      <alignment horizontal="right"/>
    </xf>
    <xf numFmtId="0" fontId="36" fillId="0" borderId="0" xfId="0" applyFont="1" applyFill="1" applyAlignment="1" applyProtection="1">
      <alignment horizontal="right"/>
    </xf>
    <xf numFmtId="49" fontId="24" fillId="2" borderId="124" xfId="0" applyNumberFormat="1" applyFont="1" applyFill="1" applyBorder="1" applyProtection="1"/>
    <xf numFmtId="0" fontId="24" fillId="2" borderId="124" xfId="0" applyFont="1" applyFill="1" applyBorder="1" applyProtection="1"/>
    <xf numFmtId="0" fontId="8" fillId="2" borderId="124" xfId="0" applyFont="1" applyFill="1" applyBorder="1" applyProtection="1"/>
    <xf numFmtId="0" fontId="2" fillId="0" borderId="0" xfId="0" applyFont="1" applyFill="1" applyBorder="1" applyAlignment="1" applyProtection="1">
      <alignment vertical="top"/>
    </xf>
    <xf numFmtId="0" fontId="2" fillId="0" borderId="0" xfId="0" applyFont="1" applyFill="1" applyBorder="1" applyAlignment="1" applyProtection="1"/>
    <xf numFmtId="0" fontId="24" fillId="2" borderId="0" xfId="0" applyFont="1" applyFill="1" applyBorder="1" applyAlignment="1" applyProtection="1">
      <alignment vertical="top"/>
    </xf>
    <xf numFmtId="0" fontId="0" fillId="0" borderId="0" xfId="0" applyBorder="1" applyAlignment="1">
      <alignment vertical="top"/>
    </xf>
    <xf numFmtId="0" fontId="2" fillId="0" borderId="67" xfId="0" applyFont="1" applyFill="1" applyBorder="1" applyAlignment="1" applyProtection="1">
      <alignment vertical="top"/>
    </xf>
    <xf numFmtId="0" fontId="2" fillId="0" borderId="1" xfId="0" applyFont="1" applyFill="1" applyBorder="1" applyAlignment="1" applyProtection="1">
      <alignment vertical="top"/>
    </xf>
    <xf numFmtId="0" fontId="2"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7" fillId="0" borderId="58" xfId="0" applyFont="1" applyFill="1" applyBorder="1" applyProtection="1"/>
    <xf numFmtId="0" fontId="37" fillId="0" borderId="0" xfId="0" applyFont="1" applyFill="1" applyProtection="1"/>
    <xf numFmtId="0" fontId="111" fillId="0" borderId="0" xfId="0" applyFont="1" applyFill="1" applyProtection="1"/>
    <xf numFmtId="0" fontId="5" fillId="21" borderId="42" xfId="0" applyFont="1" applyFill="1" applyBorder="1" applyAlignment="1" applyProtection="1">
      <alignment wrapText="1"/>
    </xf>
    <xf numFmtId="3" fontId="2" fillId="28" borderId="18" xfId="0" applyNumberFormat="1" applyFont="1" applyFill="1" applyBorder="1" applyAlignment="1" applyProtection="1">
      <alignment horizontal="right"/>
    </xf>
    <xf numFmtId="3" fontId="2" fillId="21" borderId="118" xfId="0" applyNumberFormat="1" applyFont="1" applyFill="1" applyBorder="1" applyAlignment="1" applyProtection="1">
      <alignment horizontal="right"/>
    </xf>
    <xf numFmtId="3" fontId="2" fillId="21" borderId="13" xfId="0" applyNumberFormat="1" applyFont="1" applyFill="1" applyBorder="1" applyAlignment="1" applyProtection="1">
      <alignment horizontal="right"/>
    </xf>
    <xf numFmtId="3" fontId="10" fillId="28" borderId="7" xfId="0" applyNumberFormat="1" applyFont="1" applyFill="1" applyBorder="1" applyProtection="1"/>
    <xf numFmtId="3" fontId="10" fillId="28" borderId="5" xfId="0" applyNumberFormat="1" applyFont="1" applyFill="1" applyBorder="1" applyProtection="1"/>
    <xf numFmtId="3" fontId="10" fillId="28" borderId="19" xfId="0" applyNumberFormat="1" applyFont="1" applyFill="1" applyBorder="1" applyProtection="1"/>
    <xf numFmtId="0" fontId="36" fillId="21" borderId="0" xfId="0" applyFont="1" applyFill="1" applyBorder="1" applyAlignment="1" applyProtection="1"/>
    <xf numFmtId="0" fontId="36" fillId="21" borderId="39" xfId="0" applyFont="1" applyFill="1" applyBorder="1" applyAlignment="1" applyProtection="1"/>
    <xf numFmtId="49" fontId="2" fillId="10" borderId="139" xfId="0" applyNumberFormat="1" applyFont="1" applyFill="1" applyBorder="1" applyAlignment="1" applyProtection="1"/>
    <xf numFmtId="0" fontId="36" fillId="21" borderId="58" xfId="0" applyFont="1" applyFill="1" applyBorder="1" applyProtection="1"/>
    <xf numFmtId="0" fontId="115" fillId="7" borderId="0" xfId="0" applyFont="1" applyFill="1" applyProtection="1"/>
    <xf numFmtId="1" fontId="3" fillId="21" borderId="193" xfId="0" applyNumberFormat="1" applyFont="1" applyFill="1" applyBorder="1" applyAlignment="1" applyProtection="1">
      <alignment horizontal="center" wrapText="1"/>
    </xf>
    <xf numFmtId="3" fontId="111" fillId="0" borderId="0" xfId="0" quotePrefix="1" applyNumberFormat="1" applyFont="1" applyFill="1" applyBorder="1" applyAlignment="1" applyProtection="1">
      <alignment horizontal="left"/>
    </xf>
    <xf numFmtId="49" fontId="3" fillId="0" borderId="0" xfId="0" applyNumberFormat="1" applyFont="1" applyFill="1" applyBorder="1" applyAlignment="1" applyProtection="1">
      <alignment horizontal="left"/>
    </xf>
    <xf numFmtId="1" fontId="5" fillId="0" borderId="0" xfId="0" applyNumberFormat="1" applyFont="1" applyFill="1" applyBorder="1" applyAlignment="1" applyProtection="1">
      <alignment horizontal="left"/>
    </xf>
    <xf numFmtId="0" fontId="92" fillId="0" borderId="0" xfId="0" applyFont="1" applyFill="1" applyProtection="1"/>
    <xf numFmtId="0" fontId="111" fillId="2" borderId="0" xfId="0" applyFont="1" applyFill="1" applyProtection="1"/>
    <xf numFmtId="0" fontId="5" fillId="21" borderId="70" xfId="0" applyFont="1" applyFill="1" applyBorder="1" applyAlignment="1" applyProtection="1">
      <alignment horizontal="left"/>
    </xf>
    <xf numFmtId="167" fontId="45" fillId="21" borderId="0" xfId="0" applyNumberFormat="1" applyFont="1" applyFill="1" applyBorder="1" applyProtection="1"/>
    <xf numFmtId="3" fontId="45" fillId="22" borderId="0" xfId="0" applyNumberFormat="1" applyFont="1" applyFill="1" applyBorder="1" applyAlignment="1" applyProtection="1">
      <alignment horizontal="right"/>
    </xf>
    <xf numFmtId="3" fontId="45" fillId="23" borderId="0" xfId="0" applyNumberFormat="1" applyFont="1" applyFill="1" applyBorder="1" applyProtection="1"/>
    <xf numFmtId="167" fontId="45" fillId="0" borderId="0" xfId="0" applyNumberFormat="1" applyFont="1" applyFill="1" applyBorder="1" applyProtection="1"/>
    <xf numFmtId="3" fontId="45" fillId="0" borderId="0" xfId="0" applyNumberFormat="1" applyFont="1" applyFill="1" applyBorder="1" applyAlignment="1" applyProtection="1">
      <alignment horizontal="right"/>
    </xf>
    <xf numFmtId="3" fontId="45" fillId="0" borderId="0" xfId="0" applyNumberFormat="1" applyFont="1" applyFill="1" applyBorder="1" applyProtection="1"/>
    <xf numFmtId="3" fontId="45" fillId="22" borderId="122" xfId="0" applyNumberFormat="1" applyFont="1" applyFill="1" applyBorder="1" applyProtection="1"/>
    <xf numFmtId="3" fontId="10" fillId="0" borderId="10" xfId="0" applyNumberFormat="1" applyFont="1" applyFill="1" applyBorder="1" applyAlignment="1" applyProtection="1">
      <alignment horizontal="right"/>
      <protection locked="0"/>
    </xf>
    <xf numFmtId="3" fontId="13" fillId="0" borderId="72" xfId="0" applyNumberFormat="1" applyFont="1" applyFill="1" applyBorder="1" applyAlignment="1" applyProtection="1">
      <alignment horizontal="right"/>
      <protection locked="0"/>
    </xf>
    <xf numFmtId="49" fontId="8" fillId="21" borderId="194" xfId="0" applyNumberFormat="1" applyFont="1" applyFill="1" applyBorder="1" applyAlignment="1" applyProtection="1">
      <alignment horizontal="center"/>
    </xf>
    <xf numFmtId="1" fontId="8" fillId="21" borderId="195" xfId="0" applyNumberFormat="1" applyFont="1" applyFill="1" applyBorder="1" applyAlignment="1" applyProtection="1">
      <alignment horizontal="center"/>
    </xf>
    <xf numFmtId="1" fontId="8" fillId="21" borderId="195" xfId="0" applyNumberFormat="1" applyFont="1" applyFill="1" applyBorder="1" applyAlignment="1" applyProtection="1">
      <alignment horizontal="left"/>
    </xf>
    <xf numFmtId="3" fontId="13" fillId="2" borderId="196" xfId="0" applyNumberFormat="1" applyFont="1" applyFill="1" applyBorder="1" applyAlignment="1" applyProtection="1">
      <alignment horizontal="right"/>
      <protection locked="0"/>
    </xf>
    <xf numFmtId="0" fontId="24" fillId="21" borderId="157" xfId="0" applyFont="1" applyFill="1" applyBorder="1" applyAlignment="1" applyProtection="1">
      <alignment horizontal="left" wrapText="1"/>
    </xf>
    <xf numFmtId="0" fontId="3" fillId="21" borderId="156" xfId="0" applyFont="1" applyFill="1" applyBorder="1" applyAlignment="1" applyProtection="1">
      <alignment vertical="top" wrapText="1"/>
    </xf>
    <xf numFmtId="0" fontId="3" fillId="21" borderId="136" xfId="0" applyFont="1" applyFill="1" applyBorder="1" applyAlignment="1" applyProtection="1">
      <alignment horizontal="left" vertical="top" wrapText="1"/>
    </xf>
    <xf numFmtId="49" fontId="3" fillId="21" borderId="133" xfId="0" applyNumberFormat="1" applyFont="1" applyFill="1" applyBorder="1" applyAlignment="1" applyProtection="1">
      <alignment horizontal="left"/>
    </xf>
    <xf numFmtId="0" fontId="8" fillId="0" borderId="0" xfId="0" applyFont="1" applyFill="1" applyBorder="1" applyAlignment="1" applyProtection="1">
      <alignment horizontal="center"/>
    </xf>
    <xf numFmtId="3" fontId="2" fillId="3" borderId="40" xfId="0" applyNumberFormat="1" applyFont="1" applyFill="1" applyBorder="1" applyProtection="1"/>
    <xf numFmtId="3" fontId="3" fillId="21" borderId="160" xfId="0" applyNumberFormat="1" applyFont="1" applyFill="1" applyBorder="1" applyAlignment="1" applyProtection="1">
      <alignment horizontal="left" vertical="top" wrapText="1"/>
    </xf>
    <xf numFmtId="0" fontId="3" fillId="21" borderId="56" xfId="0" applyFont="1" applyFill="1" applyBorder="1" applyAlignment="1" applyProtection="1">
      <alignment vertical="top" wrapText="1"/>
    </xf>
    <xf numFmtId="0" fontId="3" fillId="21" borderId="62" xfId="0" applyFont="1" applyFill="1" applyBorder="1" applyProtection="1"/>
    <xf numFmtId="3" fontId="3" fillId="21" borderId="157" xfId="0" applyNumberFormat="1" applyFont="1" applyFill="1" applyBorder="1" applyAlignment="1" applyProtection="1">
      <alignment vertical="top" wrapText="1"/>
    </xf>
    <xf numFmtId="3" fontId="3" fillId="21" borderId="16" xfId="0" applyNumberFormat="1" applyFont="1" applyFill="1" applyBorder="1" applyAlignment="1" applyProtection="1">
      <alignment vertical="top" wrapText="1"/>
    </xf>
    <xf numFmtId="0" fontId="3" fillId="21" borderId="98" xfId="0" applyFont="1" applyFill="1" applyBorder="1" applyAlignment="1" applyProtection="1">
      <alignment vertical="top"/>
    </xf>
    <xf numFmtId="0" fontId="3" fillId="21" borderId="124" xfId="0" applyFont="1" applyFill="1" applyBorder="1" applyAlignment="1" applyProtection="1">
      <alignment vertical="top"/>
    </xf>
    <xf numFmtId="0" fontId="3" fillId="21" borderId="102" xfId="0" applyFont="1" applyFill="1" applyBorder="1" applyAlignment="1" applyProtection="1">
      <alignment vertical="top"/>
    </xf>
    <xf numFmtId="0" fontId="3" fillId="21" borderId="96" xfId="0" applyFont="1" applyFill="1" applyBorder="1" applyAlignment="1" applyProtection="1">
      <alignment vertical="top"/>
    </xf>
    <xf numFmtId="0" fontId="5" fillId="21" borderId="163" xfId="0" applyFont="1" applyFill="1" applyBorder="1" applyAlignment="1" applyProtection="1">
      <alignment vertical="top"/>
    </xf>
    <xf numFmtId="0" fontId="3" fillId="21" borderId="163" xfId="0" applyFont="1" applyFill="1" applyBorder="1" applyAlignment="1" applyProtection="1">
      <alignment vertical="top"/>
    </xf>
    <xf numFmtId="0" fontId="3" fillId="21" borderId="197" xfId="0" applyFont="1" applyFill="1" applyBorder="1" applyAlignment="1" applyProtection="1">
      <alignment vertical="top"/>
    </xf>
    <xf numFmtId="0" fontId="7" fillId="0" borderId="0" xfId="0" applyFont="1" applyFill="1" applyBorder="1" applyAlignment="1" applyProtection="1">
      <alignment vertical="top"/>
    </xf>
    <xf numFmtId="0" fontId="5" fillId="21" borderId="189" xfId="0" applyFont="1" applyFill="1" applyBorder="1" applyAlignment="1" applyProtection="1">
      <alignment vertical="center"/>
    </xf>
    <xf numFmtId="0" fontId="5" fillId="21" borderId="198" xfId="0" applyFont="1" applyFill="1" applyBorder="1" applyAlignment="1" applyProtection="1">
      <alignment vertical="center"/>
    </xf>
    <xf numFmtId="1" fontId="8" fillId="21" borderId="130" xfId="0" applyNumberFormat="1" applyFont="1" applyFill="1" applyBorder="1" applyAlignment="1" applyProtection="1">
      <alignment horizontal="left"/>
    </xf>
    <xf numFmtId="1" fontId="8" fillId="21" borderId="94" xfId="0" applyNumberFormat="1" applyFont="1" applyFill="1" applyBorder="1" applyAlignment="1" applyProtection="1">
      <alignment horizontal="left"/>
    </xf>
    <xf numFmtId="3" fontId="8" fillId="21" borderId="7" xfId="0" applyNumberFormat="1" applyFont="1" applyFill="1" applyBorder="1" applyProtection="1"/>
    <xf numFmtId="0" fontId="3" fillId="21" borderId="101" xfId="5" applyFont="1" applyFill="1" applyBorder="1" applyAlignment="1" applyProtection="1">
      <alignment horizontal="left" wrapText="1"/>
    </xf>
    <xf numFmtId="0" fontId="3" fillId="21" borderId="56" xfId="5" applyFont="1" applyFill="1" applyBorder="1" applyAlignment="1" applyProtection="1">
      <alignment horizontal="right"/>
    </xf>
    <xf numFmtId="3" fontId="2" fillId="0" borderId="0" xfId="0" applyNumberFormat="1" applyFont="1" applyFill="1" applyBorder="1" applyProtection="1"/>
    <xf numFmtId="3" fontId="13" fillId="2" borderId="183" xfId="0" applyNumberFormat="1" applyFont="1" applyFill="1" applyBorder="1" applyAlignment="1" applyProtection="1">
      <alignment horizontal="right"/>
      <protection locked="0"/>
    </xf>
    <xf numFmtId="0" fontId="3" fillId="21" borderId="88" xfId="0" applyFont="1" applyFill="1" applyBorder="1" applyAlignment="1" applyProtection="1">
      <alignment vertical="top" wrapText="1"/>
    </xf>
    <xf numFmtId="0" fontId="3" fillId="21" borderId="118" xfId="0" applyFont="1" applyFill="1" applyBorder="1" applyAlignment="1" applyProtection="1">
      <alignment vertical="top" wrapText="1"/>
    </xf>
    <xf numFmtId="3" fontId="3" fillId="21" borderId="44" xfId="5" applyNumberFormat="1" applyFont="1" applyFill="1" applyBorder="1" applyAlignment="1" applyProtection="1">
      <alignment vertical="center"/>
    </xf>
    <xf numFmtId="3" fontId="5" fillId="21" borderId="158" xfId="5" applyNumberFormat="1" applyFont="1" applyFill="1" applyBorder="1" applyAlignment="1" applyProtection="1">
      <alignment vertical="top"/>
    </xf>
    <xf numFmtId="3" fontId="106" fillId="21" borderId="15" xfId="0" applyNumberFormat="1" applyFont="1" applyFill="1" applyBorder="1" applyAlignment="1" applyProtection="1">
      <alignment vertical="center"/>
    </xf>
    <xf numFmtId="0" fontId="5" fillId="21" borderId="124" xfId="0" applyFont="1" applyFill="1" applyBorder="1" applyProtection="1"/>
    <xf numFmtId="49" fontId="5" fillId="21" borderId="98" xfId="0" applyNumberFormat="1" applyFont="1" applyFill="1" applyBorder="1" applyAlignment="1" applyProtection="1">
      <alignment horizontal="left"/>
    </xf>
    <xf numFmtId="49" fontId="5" fillId="21" borderId="127" xfId="0" applyNumberFormat="1" applyFont="1" applyFill="1" applyBorder="1" applyAlignment="1" applyProtection="1">
      <alignment horizontal="left" vertical="top"/>
    </xf>
    <xf numFmtId="49" fontId="2" fillId="10" borderId="157" xfId="0" applyNumberFormat="1" applyFont="1" applyFill="1" applyBorder="1" applyAlignment="1" applyProtection="1"/>
    <xf numFmtId="3" fontId="46" fillId="18" borderId="39" xfId="0" applyNumberFormat="1" applyFont="1" applyFill="1" applyBorder="1" applyAlignment="1" applyProtection="1">
      <alignment horizontal="right"/>
    </xf>
    <xf numFmtId="0" fontId="0" fillId="0" borderId="0" xfId="0" applyFill="1" applyAlignment="1" applyProtection="1">
      <alignment vertical="top"/>
    </xf>
    <xf numFmtId="0" fontId="111" fillId="0" borderId="0" xfId="0" applyFont="1" applyFill="1" applyBorder="1" applyAlignment="1" applyProtection="1">
      <alignment horizontal="right"/>
    </xf>
    <xf numFmtId="0" fontId="95" fillId="0" borderId="0" xfId="0" applyFont="1" applyFill="1" applyProtection="1"/>
    <xf numFmtId="0" fontId="5" fillId="0" borderId="0" xfId="0" applyFont="1" applyFill="1" applyBorder="1" applyAlignment="1" applyProtection="1">
      <alignment horizontal="center"/>
    </xf>
    <xf numFmtId="0" fontId="111" fillId="0" borderId="0" xfId="0" applyFont="1" applyFill="1" applyBorder="1" applyAlignment="1" applyProtection="1">
      <alignment horizontal="left"/>
    </xf>
    <xf numFmtId="9" fontId="111" fillId="0" borderId="0" xfId="0" applyNumberFormat="1" applyFont="1" applyFill="1" applyBorder="1" applyAlignment="1" applyProtection="1">
      <alignment horizontal="right"/>
    </xf>
    <xf numFmtId="0" fontId="3" fillId="0" borderId="0" xfId="0" applyFont="1" applyFill="1" applyBorder="1" applyAlignment="1" applyProtection="1">
      <alignment horizontal="center"/>
    </xf>
    <xf numFmtId="1" fontId="5" fillId="0" borderId="0" xfId="0" applyNumberFormat="1" applyFont="1" applyFill="1" applyBorder="1" applyAlignment="1" applyProtection="1">
      <alignment horizontal="center"/>
    </xf>
    <xf numFmtId="0" fontId="5" fillId="0" borderId="0" xfId="0" applyFont="1" applyFill="1" applyBorder="1" applyAlignment="1" applyProtection="1"/>
    <xf numFmtId="0" fontId="5" fillId="0" borderId="0" xfId="0" applyFont="1" applyFill="1" applyBorder="1" applyAlignment="1" applyProtection="1">
      <alignment horizontal="right"/>
    </xf>
    <xf numFmtId="0" fontId="99" fillId="0" borderId="0" xfId="0" applyFont="1" applyFill="1" applyBorder="1" applyProtection="1"/>
    <xf numFmtId="0" fontId="7" fillId="0" borderId="0" xfId="0" applyFont="1" applyFill="1" applyBorder="1" applyAlignment="1" applyProtection="1"/>
    <xf numFmtId="3" fontId="5" fillId="0" borderId="0" xfId="0" applyNumberFormat="1" applyFont="1" applyFill="1" applyBorder="1" applyProtection="1"/>
    <xf numFmtId="3" fontId="5" fillId="0" borderId="0" xfId="0" applyNumberFormat="1" applyFont="1" applyFill="1" applyBorder="1" applyAlignment="1" applyProtection="1">
      <alignment horizontal="center" vertical="center" wrapText="1"/>
    </xf>
    <xf numFmtId="49" fontId="3" fillId="21" borderId="9" xfId="0" applyNumberFormat="1" applyFont="1" applyFill="1" applyBorder="1" applyAlignment="1" applyProtection="1">
      <alignment horizontal="left"/>
    </xf>
    <xf numFmtId="1" fontId="3"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left"/>
    </xf>
    <xf numFmtId="49" fontId="3" fillId="0" borderId="0" xfId="0" applyNumberFormat="1" applyFont="1" applyFill="1" applyBorder="1" applyAlignment="1" applyProtection="1">
      <alignment horizontal="center"/>
    </xf>
    <xf numFmtId="49" fontId="8" fillId="0" borderId="0" xfId="0" applyNumberFormat="1" applyFont="1" applyFill="1" applyBorder="1" applyAlignment="1" applyProtection="1">
      <alignment horizontal="left"/>
    </xf>
    <xf numFmtId="3" fontId="3" fillId="21" borderId="75" xfId="0" applyNumberFormat="1" applyFont="1" applyFill="1" applyBorder="1" applyAlignment="1" applyProtection="1"/>
    <xf numFmtId="3" fontId="8" fillId="21" borderId="76" xfId="0" applyNumberFormat="1" applyFont="1" applyFill="1" applyBorder="1" applyAlignment="1" applyProtection="1"/>
    <xf numFmtId="3" fontId="8" fillId="21" borderId="92" xfId="0" applyNumberFormat="1" applyFont="1" applyFill="1" applyBorder="1" applyAlignment="1" applyProtection="1"/>
    <xf numFmtId="3" fontId="2" fillId="0" borderId="199" xfId="0" applyNumberFormat="1" applyFont="1" applyFill="1" applyBorder="1" applyAlignment="1" applyProtection="1">
      <alignment horizontal="right"/>
      <protection locked="0"/>
    </xf>
    <xf numFmtId="49" fontId="3" fillId="0" borderId="0" xfId="9" applyNumberFormat="1" applyFont="1" applyFill="1" applyAlignment="1" applyProtection="1">
      <alignment horizontal="left"/>
    </xf>
    <xf numFmtId="1" fontId="3" fillId="21" borderId="25" xfId="0" applyNumberFormat="1" applyFont="1" applyFill="1" applyBorder="1" applyAlignment="1" applyProtection="1">
      <alignment horizontal="left"/>
    </xf>
    <xf numFmtId="0" fontId="3" fillId="21" borderId="70" xfId="0" applyFont="1" applyFill="1" applyBorder="1" applyProtection="1"/>
    <xf numFmtId="0" fontId="5" fillId="21" borderId="13" xfId="0" applyFont="1" applyFill="1" applyBorder="1" applyAlignment="1" applyProtection="1">
      <alignment vertical="top" wrapText="1"/>
    </xf>
    <xf numFmtId="0" fontId="16" fillId="21" borderId="25" xfId="0" applyFont="1" applyFill="1" applyBorder="1" applyProtection="1"/>
    <xf numFmtId="0" fontId="5" fillId="21" borderId="84" xfId="0" applyFont="1" applyFill="1" applyBorder="1" applyAlignment="1" applyProtection="1">
      <alignment wrapText="1"/>
    </xf>
    <xf numFmtId="1" fontId="3" fillId="21" borderId="13" xfId="0" applyNumberFormat="1" applyFont="1" applyFill="1" applyBorder="1" applyAlignment="1" applyProtection="1">
      <alignment horizontal="center"/>
    </xf>
    <xf numFmtId="0" fontId="3" fillId="21" borderId="13" xfId="0" applyFont="1" applyFill="1" applyBorder="1" applyProtection="1"/>
    <xf numFmtId="1" fontId="8"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center" vertical="center" wrapText="1"/>
    </xf>
    <xf numFmtId="0" fontId="3" fillId="0" borderId="58" xfId="0" applyFont="1" applyFill="1" applyBorder="1" applyAlignment="1" applyProtection="1">
      <alignment horizontal="center"/>
    </xf>
    <xf numFmtId="0" fontId="3" fillId="0" borderId="58" xfId="0" applyFont="1" applyFill="1" applyBorder="1" applyAlignment="1" applyProtection="1">
      <alignment horizontal="left"/>
    </xf>
    <xf numFmtId="0" fontId="16" fillId="0" borderId="58" xfId="0" applyFont="1" applyFill="1" applyBorder="1" applyProtection="1"/>
    <xf numFmtId="0" fontId="116" fillId="2" borderId="0" xfId="0" applyFont="1" applyFill="1" applyBorder="1" applyProtection="1"/>
    <xf numFmtId="0" fontId="116" fillId="29" borderId="0" xfId="0" applyFont="1" applyFill="1" applyProtection="1"/>
    <xf numFmtId="0" fontId="5" fillId="21" borderId="189" xfId="5" applyFont="1" applyFill="1" applyBorder="1" applyProtection="1"/>
    <xf numFmtId="3" fontId="5" fillId="21" borderId="156" xfId="5" applyNumberFormat="1" applyFont="1" applyFill="1" applyBorder="1" applyProtection="1"/>
    <xf numFmtId="0" fontId="5" fillId="21" borderId="117" xfId="5" applyFont="1" applyFill="1" applyBorder="1" applyProtection="1"/>
    <xf numFmtId="0" fontId="12" fillId="21" borderId="158" xfId="5" applyFont="1" applyFill="1" applyBorder="1" applyProtection="1"/>
    <xf numFmtId="0" fontId="3" fillId="21" borderId="16" xfId="5" applyFont="1" applyFill="1" applyBorder="1" applyAlignment="1" applyProtection="1">
      <alignment vertical="top" wrapText="1"/>
    </xf>
    <xf numFmtId="3" fontId="5" fillId="21" borderId="158" xfId="0" applyNumberFormat="1" applyFont="1" applyFill="1" applyBorder="1" applyAlignment="1" applyProtection="1">
      <alignment vertical="top"/>
    </xf>
    <xf numFmtId="3" fontId="3" fillId="21" borderId="94" xfId="5" applyNumberFormat="1" applyFont="1" applyFill="1" applyBorder="1" applyAlignment="1" applyProtection="1"/>
    <xf numFmtId="168" fontId="9" fillId="0" borderId="0" xfId="0" applyNumberFormat="1" applyFont="1" applyFill="1" applyBorder="1" applyProtection="1"/>
    <xf numFmtId="0" fontId="101" fillId="0" borderId="0" xfId="0" applyFont="1" applyFill="1" applyBorder="1" applyProtection="1"/>
    <xf numFmtId="0" fontId="101" fillId="0" borderId="0" xfId="0" applyFont="1" applyFill="1" applyBorder="1" applyAlignment="1" applyProtection="1">
      <alignment horizontal="center"/>
    </xf>
    <xf numFmtId="0" fontId="3" fillId="21" borderId="154" xfId="0" applyFont="1" applyFill="1" applyBorder="1" applyAlignment="1" applyProtection="1">
      <alignment horizontal="left" vertical="top" wrapText="1"/>
    </xf>
    <xf numFmtId="0" fontId="3" fillId="21" borderId="91" xfId="0" applyFont="1" applyFill="1" applyBorder="1" applyAlignment="1" applyProtection="1">
      <alignment horizontal="left" vertical="top"/>
    </xf>
    <xf numFmtId="3" fontId="3" fillId="21" borderId="26" xfId="0" applyNumberFormat="1" applyFont="1" applyFill="1" applyBorder="1" applyAlignment="1" applyProtection="1">
      <alignment vertical="top" wrapText="1"/>
    </xf>
    <xf numFmtId="0" fontId="17" fillId="21" borderId="158" xfId="0" applyFont="1" applyFill="1" applyBorder="1" applyAlignment="1" applyProtection="1">
      <alignment vertical="top" wrapText="1"/>
    </xf>
    <xf numFmtId="0" fontId="3" fillId="21" borderId="173" xfId="0" applyFont="1" applyFill="1" applyBorder="1" applyAlignment="1" applyProtection="1">
      <alignment horizontal="left" wrapText="1"/>
    </xf>
    <xf numFmtId="0" fontId="17" fillId="21" borderId="157" xfId="0" applyFont="1" applyFill="1" applyBorder="1" applyAlignment="1" applyProtection="1">
      <alignment vertical="top" wrapText="1"/>
    </xf>
    <xf numFmtId="0" fontId="3" fillId="21" borderId="16" xfId="5" applyFont="1" applyFill="1" applyBorder="1" applyAlignment="1" applyProtection="1">
      <alignment horizontal="left" vertical="center" wrapText="1"/>
    </xf>
    <xf numFmtId="0" fontId="5" fillId="21" borderId="190" xfId="5" applyFont="1" applyFill="1" applyBorder="1" applyProtection="1"/>
    <xf numFmtId="0" fontId="112" fillId="2" borderId="0" xfId="0" applyFont="1" applyFill="1" applyProtection="1"/>
    <xf numFmtId="3" fontId="3" fillId="21" borderId="160" xfId="0" applyNumberFormat="1" applyFont="1" applyFill="1" applyBorder="1" applyAlignment="1" applyProtection="1">
      <alignment horizontal="left" vertical="top"/>
    </xf>
    <xf numFmtId="3" fontId="2" fillId="2" borderId="3" xfId="0" applyNumberFormat="1" applyFont="1" applyFill="1" applyBorder="1" applyAlignment="1" applyProtection="1">
      <alignment horizontal="right"/>
      <protection locked="0"/>
    </xf>
    <xf numFmtId="3" fontId="2" fillId="3" borderId="3" xfId="0" applyNumberFormat="1" applyFont="1" applyFill="1" applyBorder="1" applyAlignment="1" applyProtection="1">
      <alignment horizontal="right"/>
    </xf>
    <xf numFmtId="3" fontId="2" fillId="2" borderId="28" xfId="0" applyNumberFormat="1" applyFont="1" applyFill="1" applyBorder="1" applyAlignment="1" applyProtection="1">
      <alignment horizontal="right"/>
      <protection locked="0"/>
    </xf>
    <xf numFmtId="3" fontId="2" fillId="3" borderId="103" xfId="0" applyNumberFormat="1" applyFont="1" applyFill="1" applyBorder="1" applyAlignment="1" applyProtection="1">
      <alignment horizontal="right"/>
    </xf>
    <xf numFmtId="3" fontId="3" fillId="21" borderId="78" xfId="0" applyNumberFormat="1" applyFont="1" applyFill="1" applyBorder="1" applyProtection="1"/>
    <xf numFmtId="3" fontId="5" fillId="0" borderId="58" xfId="0" applyNumberFormat="1" applyFont="1" applyFill="1" applyBorder="1" applyProtection="1"/>
    <xf numFmtId="3" fontId="5" fillId="0" borderId="57" xfId="0" applyNumberFormat="1" applyFont="1" applyFill="1" applyBorder="1" applyProtection="1"/>
    <xf numFmtId="0" fontId="24" fillId="2" borderId="58" xfId="0" applyFont="1" applyFill="1" applyBorder="1" applyProtection="1"/>
    <xf numFmtId="3" fontId="45" fillId="22" borderId="131" xfId="0" applyNumberFormat="1" applyFont="1" applyFill="1" applyBorder="1" applyProtection="1"/>
    <xf numFmtId="0" fontId="3" fillId="21" borderId="112" xfId="0" applyFont="1" applyFill="1" applyBorder="1" applyProtection="1"/>
    <xf numFmtId="0" fontId="3" fillId="21" borderId="27" xfId="0" applyFont="1" applyFill="1" applyBorder="1" applyProtection="1"/>
    <xf numFmtId="3" fontId="2" fillId="22" borderId="0" xfId="0" applyNumberFormat="1" applyFont="1" applyFill="1" applyBorder="1" applyAlignment="1" applyProtection="1">
      <alignment horizontal="right"/>
    </xf>
    <xf numFmtId="0" fontId="2" fillId="22" borderId="0" xfId="0" applyFont="1" applyFill="1" applyBorder="1" applyProtection="1"/>
    <xf numFmtId="14" fontId="3" fillId="21" borderId="124" xfId="0" applyNumberFormat="1" applyFont="1" applyFill="1" applyBorder="1" applyAlignment="1" applyProtection="1">
      <alignment horizontal="center"/>
    </xf>
    <xf numFmtId="0" fontId="3" fillId="21" borderId="101" xfId="0" applyFont="1" applyFill="1" applyBorder="1" applyProtection="1"/>
    <xf numFmtId="14" fontId="3" fillId="21" borderId="95" xfId="0" applyNumberFormat="1" applyFont="1" applyFill="1" applyBorder="1" applyAlignment="1" applyProtection="1">
      <alignment horizontal="center"/>
    </xf>
    <xf numFmtId="3" fontId="2" fillId="22" borderId="39" xfId="0" applyNumberFormat="1" applyFont="1" applyFill="1" applyBorder="1" applyAlignment="1" applyProtection="1">
      <alignment horizontal="right"/>
    </xf>
    <xf numFmtId="0" fontId="2" fillId="22" borderId="39" xfId="0" applyFont="1" applyFill="1" applyBorder="1" applyProtection="1"/>
    <xf numFmtId="14" fontId="3" fillId="21" borderId="0" xfId="0" applyNumberFormat="1" applyFont="1" applyFill="1" applyBorder="1" applyAlignment="1" applyProtection="1">
      <alignment horizontal="center"/>
    </xf>
    <xf numFmtId="0" fontId="3" fillId="21" borderId="39" xfId="0" applyFont="1" applyFill="1" applyBorder="1" applyProtection="1"/>
    <xf numFmtId="0" fontId="3" fillId="21" borderId="67" xfId="0" applyFont="1" applyFill="1" applyBorder="1" applyProtection="1"/>
    <xf numFmtId="0" fontId="2" fillId="21" borderId="27" xfId="0" applyFont="1" applyFill="1" applyBorder="1" applyProtection="1"/>
    <xf numFmtId="14" fontId="3" fillId="21" borderId="39" xfId="0" applyNumberFormat="1" applyFont="1" applyFill="1" applyBorder="1" applyAlignment="1" applyProtection="1">
      <alignment horizontal="center"/>
    </xf>
    <xf numFmtId="49" fontId="2" fillId="10" borderId="37" xfId="0" applyNumberFormat="1" applyFont="1" applyFill="1" applyBorder="1" applyAlignment="1" applyProtection="1"/>
    <xf numFmtId="0" fontId="3" fillId="21" borderId="113" xfId="0" applyFont="1" applyFill="1" applyBorder="1" applyProtection="1"/>
    <xf numFmtId="0" fontId="3" fillId="21" borderId="68" xfId="0" applyFont="1" applyFill="1" applyBorder="1" applyAlignment="1" applyProtection="1">
      <alignment wrapText="1"/>
    </xf>
    <xf numFmtId="0" fontId="3" fillId="21" borderId="158" xfId="0" applyFont="1" applyFill="1" applyBorder="1" applyAlignment="1" applyProtection="1">
      <alignment vertical="top" wrapText="1"/>
    </xf>
    <xf numFmtId="0" fontId="3" fillId="21" borderId="38" xfId="0" applyFont="1" applyFill="1" applyBorder="1" applyAlignment="1" applyProtection="1">
      <alignment horizontal="center"/>
    </xf>
    <xf numFmtId="49" fontId="3" fillId="21" borderId="42" xfId="0" applyNumberFormat="1" applyFont="1" applyFill="1" applyBorder="1" applyAlignment="1" applyProtection="1">
      <alignment horizontal="center" wrapText="1"/>
    </xf>
    <xf numFmtId="49" fontId="3" fillId="21" borderId="132" xfId="0" applyNumberFormat="1" applyFont="1" applyFill="1" applyBorder="1" applyAlignment="1" applyProtection="1">
      <alignment horizontal="center"/>
    </xf>
    <xf numFmtId="49" fontId="3" fillId="21" borderId="133" xfId="0" applyNumberFormat="1" applyFont="1" applyFill="1" applyBorder="1" applyAlignment="1" applyProtection="1">
      <alignment horizontal="center"/>
    </xf>
    <xf numFmtId="0" fontId="3" fillId="21" borderId="5" xfId="0" applyFont="1" applyFill="1" applyBorder="1" applyAlignment="1" applyProtection="1">
      <alignment horizontal="center" wrapText="1"/>
    </xf>
    <xf numFmtId="49" fontId="3" fillId="21" borderId="34" xfId="0" applyNumberFormat="1" applyFont="1" applyFill="1" applyBorder="1" applyAlignment="1" applyProtection="1">
      <alignment horizontal="center"/>
    </xf>
    <xf numFmtId="49" fontId="3" fillId="21" borderId="35" xfId="0" applyNumberFormat="1" applyFont="1" applyFill="1" applyBorder="1" applyAlignment="1" applyProtection="1">
      <alignment horizontal="center"/>
    </xf>
    <xf numFmtId="49" fontId="3" fillId="21" borderId="106" xfId="0" applyNumberFormat="1" applyFont="1" applyFill="1" applyBorder="1" applyAlignment="1" applyProtection="1">
      <alignment horizontal="center"/>
    </xf>
    <xf numFmtId="1" fontId="3" fillId="21" borderId="2" xfId="0" applyNumberFormat="1" applyFont="1" applyFill="1" applyBorder="1" applyAlignment="1" applyProtection="1">
      <alignment horizontal="center" wrapText="1"/>
    </xf>
    <xf numFmtId="0" fontId="3" fillId="21" borderId="76" xfId="0" applyFont="1" applyFill="1" applyBorder="1" applyAlignment="1" applyProtection="1">
      <alignment horizontal="center" wrapText="1"/>
    </xf>
    <xf numFmtId="0" fontId="8" fillId="0" borderId="0" xfId="0" applyFont="1" applyFill="1" applyProtection="1"/>
    <xf numFmtId="1" fontId="3" fillId="21" borderId="42" xfId="0" applyNumberFormat="1" applyFont="1" applyFill="1" applyBorder="1" applyAlignment="1" applyProtection="1">
      <alignment horizontal="center" vertical="top" wrapText="1"/>
    </xf>
    <xf numFmtId="49" fontId="3" fillId="21" borderId="14" xfId="0" applyNumberFormat="1" applyFont="1" applyFill="1" applyBorder="1" applyAlignment="1" applyProtection="1">
      <alignment horizontal="center"/>
    </xf>
    <xf numFmtId="49" fontId="3" fillId="21" borderId="9" xfId="0" applyNumberFormat="1" applyFont="1" applyFill="1" applyBorder="1" applyAlignment="1" applyProtection="1">
      <alignment horizontal="center"/>
    </xf>
    <xf numFmtId="0" fontId="3" fillId="21" borderId="91" xfId="0" applyFont="1" applyFill="1" applyBorder="1" applyAlignment="1" applyProtection="1">
      <alignment horizontal="center"/>
    </xf>
    <xf numFmtId="1" fontId="3" fillId="21" borderId="25" xfId="0" applyNumberFormat="1" applyFont="1" applyFill="1" applyBorder="1" applyAlignment="1" applyProtection="1">
      <alignment horizontal="center"/>
    </xf>
    <xf numFmtId="3" fontId="3" fillId="21" borderId="25" xfId="0" applyNumberFormat="1" applyFont="1" applyFill="1" applyBorder="1" applyAlignment="1" applyProtection="1">
      <alignment horizontal="left" vertical="top" wrapText="1"/>
    </xf>
    <xf numFmtId="3" fontId="3" fillId="21" borderId="76" xfId="0" applyNumberFormat="1" applyFont="1" applyFill="1" applyBorder="1" applyAlignment="1" applyProtection="1"/>
    <xf numFmtId="3" fontId="3" fillId="21" borderId="92" xfId="0" applyNumberFormat="1" applyFont="1" applyFill="1" applyBorder="1" applyAlignment="1" applyProtection="1"/>
    <xf numFmtId="0" fontId="3" fillId="30" borderId="101" xfId="0" applyFont="1" applyFill="1" applyBorder="1" applyAlignment="1" applyProtection="1">
      <alignment horizontal="left" vertical="top" wrapText="1"/>
    </xf>
    <xf numFmtId="0" fontId="3" fillId="30" borderId="117" xfId="0" applyFont="1" applyFill="1" applyBorder="1" applyAlignment="1" applyProtection="1">
      <alignment horizontal="left" vertical="top"/>
    </xf>
    <xf numFmtId="0" fontId="0" fillId="30" borderId="44" xfId="0" applyFill="1" applyBorder="1" applyProtection="1"/>
    <xf numFmtId="0" fontId="3" fillId="30" borderId="16" xfId="0" applyFont="1" applyFill="1" applyBorder="1" applyAlignment="1" applyProtection="1">
      <alignment horizontal="left" vertical="top" wrapText="1"/>
    </xf>
    <xf numFmtId="3" fontId="3" fillId="30" borderId="167" xfId="0" applyNumberFormat="1" applyFont="1" applyFill="1" applyBorder="1" applyProtection="1"/>
    <xf numFmtId="3" fontId="3" fillId="30" borderId="101" xfId="0" applyNumberFormat="1" applyFont="1" applyFill="1" applyBorder="1" applyAlignment="1" applyProtection="1">
      <alignment horizontal="left" vertical="top" wrapText="1"/>
    </xf>
    <xf numFmtId="0" fontId="3" fillId="30" borderId="120" xfId="0" applyFont="1" applyFill="1" applyBorder="1" applyAlignment="1" applyProtection="1">
      <alignment horizontal="left" vertical="top" wrapText="1"/>
    </xf>
    <xf numFmtId="3" fontId="3" fillId="30" borderId="118" xfId="0" applyNumberFormat="1" applyFont="1" applyFill="1" applyBorder="1" applyAlignment="1" applyProtection="1">
      <alignment horizontal="left" wrapText="1"/>
    </xf>
    <xf numFmtId="49" fontId="3" fillId="30" borderId="118" xfId="0" applyNumberFormat="1" applyFont="1" applyFill="1" applyBorder="1" applyAlignment="1" applyProtection="1">
      <alignment vertical="top"/>
    </xf>
    <xf numFmtId="3" fontId="3" fillId="30" borderId="101" xfId="0" applyNumberFormat="1" applyFont="1" applyFill="1" applyBorder="1" applyAlignment="1" applyProtection="1">
      <alignment vertical="top"/>
    </xf>
    <xf numFmtId="3" fontId="3" fillId="30" borderId="88" xfId="0" applyNumberFormat="1" applyFont="1" applyFill="1" applyBorder="1" applyAlignment="1" applyProtection="1">
      <alignment vertical="top" wrapText="1"/>
    </xf>
    <xf numFmtId="3" fontId="3" fillId="30" borderId="16" xfId="0" applyNumberFormat="1" applyFont="1" applyFill="1" applyBorder="1" applyAlignment="1" applyProtection="1">
      <alignment horizontal="left" vertical="top" wrapText="1"/>
    </xf>
    <xf numFmtId="0" fontId="3" fillId="30" borderId="153" xfId="0" applyFont="1" applyFill="1" applyBorder="1" applyAlignment="1" applyProtection="1">
      <alignment horizontal="left" vertical="top" wrapText="1"/>
    </xf>
    <xf numFmtId="3" fontId="3" fillId="30" borderId="15" xfId="0" applyNumberFormat="1" applyFont="1" applyFill="1" applyBorder="1" applyAlignment="1" applyProtection="1">
      <alignment horizontal="left" vertical="top" wrapText="1"/>
    </xf>
    <xf numFmtId="0" fontId="11" fillId="30" borderId="0" xfId="0" applyFont="1" applyFill="1" applyBorder="1" applyProtection="1"/>
    <xf numFmtId="3" fontId="3" fillId="30" borderId="16" xfId="0" applyNumberFormat="1" applyFont="1" applyFill="1" applyBorder="1" applyAlignment="1" applyProtection="1">
      <alignment vertical="top"/>
    </xf>
    <xf numFmtId="3" fontId="8" fillId="30" borderId="60" xfId="0" applyNumberFormat="1" applyFont="1" applyFill="1" applyBorder="1" applyProtection="1"/>
    <xf numFmtId="0" fontId="5" fillId="30" borderId="44" xfId="0" applyFont="1" applyFill="1" applyBorder="1" applyProtection="1"/>
    <xf numFmtId="3" fontId="8" fillId="30" borderId="16" xfId="0" applyNumberFormat="1" applyFont="1" applyFill="1" applyBorder="1" applyAlignment="1" applyProtection="1">
      <alignment horizontal="left"/>
    </xf>
    <xf numFmtId="0" fontId="8" fillId="30" borderId="167" xfId="0" applyFont="1" applyFill="1" applyBorder="1" applyProtection="1"/>
    <xf numFmtId="3" fontId="8" fillId="30" borderId="153" xfId="0" applyNumberFormat="1" applyFont="1" applyFill="1" applyBorder="1" applyAlignment="1" applyProtection="1">
      <alignment horizontal="left" vertical="top"/>
    </xf>
    <xf numFmtId="0" fontId="0" fillId="30" borderId="0" xfId="0" applyFill="1" applyBorder="1" applyAlignment="1" applyProtection="1">
      <alignment vertical="top" wrapText="1"/>
    </xf>
    <xf numFmtId="0" fontId="11" fillId="30" borderId="16" xfId="0" applyFont="1" applyFill="1" applyBorder="1" applyProtection="1"/>
    <xf numFmtId="0" fontId="8" fillId="30" borderId="60" xfId="0" applyFont="1" applyFill="1" applyBorder="1" applyProtection="1"/>
    <xf numFmtId="0" fontId="11" fillId="30" borderId="62" xfId="0" applyFont="1" applyFill="1" applyBorder="1" applyProtection="1"/>
    <xf numFmtId="0" fontId="8" fillId="30" borderId="150" xfId="0" applyFont="1" applyFill="1" applyBorder="1" applyProtection="1"/>
    <xf numFmtId="0" fontId="8" fillId="30" borderId="42" xfId="0" applyFont="1" applyFill="1" applyBorder="1" applyProtection="1"/>
    <xf numFmtId="3" fontId="8" fillId="30" borderId="150" xfId="0" applyNumberFormat="1" applyFont="1" applyFill="1" applyBorder="1" applyProtection="1"/>
    <xf numFmtId="3" fontId="3" fillId="30" borderId="15" xfId="0" applyNumberFormat="1" applyFont="1" applyFill="1" applyBorder="1" applyAlignment="1" applyProtection="1">
      <alignment horizontal="left" vertical="top"/>
    </xf>
    <xf numFmtId="49" fontId="8" fillId="30" borderId="89" xfId="0" applyNumberFormat="1" applyFont="1" applyFill="1" applyBorder="1" applyProtection="1"/>
    <xf numFmtId="0" fontId="8" fillId="30" borderId="90" xfId="0" applyFont="1" applyFill="1" applyBorder="1" applyProtection="1"/>
    <xf numFmtId="0" fontId="3" fillId="30" borderId="127" xfId="0" applyFont="1" applyFill="1" applyBorder="1" applyAlignment="1" applyProtection="1">
      <alignment vertical="top" wrapText="1"/>
    </xf>
    <xf numFmtId="0" fontId="3" fillId="30" borderId="15" xfId="0" applyFont="1" applyFill="1" applyBorder="1" applyAlignment="1" applyProtection="1">
      <alignment vertical="top" wrapText="1"/>
    </xf>
    <xf numFmtId="3" fontId="3" fillId="30" borderId="60" xfId="0" applyNumberFormat="1" applyFont="1" applyFill="1" applyBorder="1" applyAlignment="1" applyProtection="1">
      <alignment vertical="top" wrapText="1"/>
    </xf>
    <xf numFmtId="0" fontId="8" fillId="30" borderId="127" xfId="0" applyFont="1" applyFill="1" applyBorder="1" applyProtection="1"/>
    <xf numFmtId="0" fontId="8" fillId="30" borderId="15" xfId="0" applyFont="1" applyFill="1" applyBorder="1" applyProtection="1"/>
    <xf numFmtId="0" fontId="8" fillId="30" borderId="116" xfId="0" applyFont="1" applyFill="1" applyBorder="1" applyProtection="1"/>
    <xf numFmtId="172" fontId="36" fillId="0" borderId="0" xfId="0" applyNumberFormat="1" applyFont="1" applyFill="1" applyBorder="1" applyAlignment="1" applyProtection="1">
      <alignment horizontal="left" vertical="top" wrapText="1"/>
    </xf>
    <xf numFmtId="3" fontId="2" fillId="2" borderId="0" xfId="0" applyNumberFormat="1" applyFont="1" applyFill="1" applyBorder="1" applyAlignment="1" applyProtection="1">
      <alignment horizontal="right"/>
      <protection locked="0"/>
    </xf>
    <xf numFmtId="0" fontId="5" fillId="21" borderId="187" xfId="0" applyFont="1" applyFill="1" applyBorder="1" applyAlignment="1" applyProtection="1">
      <alignment horizontal="left"/>
    </xf>
    <xf numFmtId="0" fontId="3" fillId="21" borderId="35" xfId="0" applyFont="1" applyFill="1" applyBorder="1" applyAlignment="1" applyProtection="1">
      <alignment horizontal="left"/>
    </xf>
    <xf numFmtId="3" fontId="2" fillId="2" borderId="40" xfId="0" applyNumberFormat="1" applyFont="1" applyFill="1" applyBorder="1" applyAlignment="1" applyProtection="1">
      <alignment horizontal="right"/>
      <protection locked="0"/>
    </xf>
    <xf numFmtId="0" fontId="3" fillId="21" borderId="12" xfId="0" applyFont="1" applyFill="1" applyBorder="1" applyAlignment="1" applyProtection="1">
      <alignment horizontal="left"/>
    </xf>
    <xf numFmtId="0" fontId="5" fillId="21" borderId="25" xfId="0" applyFont="1" applyFill="1" applyBorder="1" applyAlignment="1" applyProtection="1">
      <alignment horizontal="left"/>
    </xf>
    <xf numFmtId="3" fontId="2" fillId="2" borderId="201" xfId="0" applyNumberFormat="1" applyFont="1" applyFill="1" applyBorder="1" applyAlignment="1" applyProtection="1">
      <alignment horizontal="right"/>
      <protection locked="0"/>
    </xf>
    <xf numFmtId="0" fontId="3" fillId="21" borderId="162" xfId="0" applyFont="1" applyFill="1" applyBorder="1" applyAlignment="1" applyProtection="1">
      <alignment horizontal="left" wrapText="1"/>
    </xf>
    <xf numFmtId="49" fontId="8" fillId="0" borderId="202" xfId="0" applyNumberFormat="1" applyFont="1" applyFill="1" applyBorder="1" applyAlignment="1" applyProtection="1">
      <alignment horizontal="center"/>
    </xf>
    <xf numFmtId="49" fontId="3" fillId="0" borderId="202" xfId="0" applyNumberFormat="1" applyFont="1" applyFill="1" applyBorder="1" applyAlignment="1" applyProtection="1">
      <alignment horizontal="center" wrapText="1"/>
    </xf>
    <xf numFmtId="49" fontId="3" fillId="0" borderId="202" xfId="0" applyNumberFormat="1" applyFont="1" applyFill="1" applyBorder="1" applyAlignment="1" applyProtection="1">
      <alignment horizontal="left"/>
    </xf>
    <xf numFmtId="3" fontId="3" fillId="21" borderId="15" xfId="0" applyNumberFormat="1" applyFont="1" applyFill="1" applyBorder="1" applyAlignment="1" applyProtection="1">
      <alignment horizontal="left" wrapText="1"/>
    </xf>
    <xf numFmtId="0" fontId="71" fillId="2" borderId="0" xfId="0" applyFont="1" applyFill="1" applyAlignment="1" applyProtection="1"/>
    <xf numFmtId="3" fontId="5" fillId="21" borderId="118" xfId="0" applyNumberFormat="1" applyFont="1" applyFill="1" applyBorder="1" applyAlignment="1" applyProtection="1">
      <alignment horizontal="left"/>
    </xf>
    <xf numFmtId="3" fontId="5" fillId="21" borderId="15" xfId="0" applyNumberFormat="1" applyFont="1" applyFill="1" applyBorder="1" applyAlignment="1" applyProtection="1">
      <alignment horizontal="left" vertical="top" wrapText="1"/>
    </xf>
    <xf numFmtId="49" fontId="3" fillId="21" borderId="42" xfId="0" applyNumberFormat="1" applyFont="1" applyFill="1" applyBorder="1" applyAlignment="1" applyProtection="1">
      <alignment horizontal="left"/>
    </xf>
    <xf numFmtId="3" fontId="13" fillId="9" borderId="63" xfId="0" applyNumberFormat="1" applyFont="1" applyFill="1" applyBorder="1" applyProtection="1"/>
    <xf numFmtId="0" fontId="9" fillId="0" borderId="0" xfId="0" applyFont="1" applyFill="1" applyProtection="1"/>
    <xf numFmtId="3" fontId="10" fillId="0" borderId="5" xfId="0" quotePrefix="1" applyNumberFormat="1" applyFont="1" applyFill="1" applyBorder="1" applyAlignment="1" applyProtection="1">
      <alignment horizontal="right"/>
      <protection locked="0"/>
    </xf>
    <xf numFmtId="0" fontId="18" fillId="2" borderId="0" xfId="0" applyFont="1" applyFill="1" applyBorder="1" applyAlignment="1" applyProtection="1"/>
    <xf numFmtId="3" fontId="118" fillId="21" borderId="0" xfId="0" applyNumberFormat="1" applyFont="1" applyFill="1" applyBorder="1" applyAlignment="1" applyProtection="1"/>
    <xf numFmtId="3" fontId="118" fillId="21" borderId="44" xfId="0" applyNumberFormat="1" applyFont="1" applyFill="1" applyBorder="1" applyAlignment="1" applyProtection="1"/>
    <xf numFmtId="0" fontId="119" fillId="2" borderId="0" xfId="0" applyFont="1" applyFill="1" applyBorder="1" applyProtection="1"/>
    <xf numFmtId="166" fontId="7" fillId="0" borderId="1" xfId="0" applyNumberFormat="1" applyFont="1" applyFill="1" applyBorder="1" applyAlignment="1" applyProtection="1">
      <alignment horizontal="center" vertical="center"/>
    </xf>
    <xf numFmtId="0" fontId="0" fillId="2" borderId="1" xfId="0" applyFill="1" applyBorder="1" applyProtection="1"/>
    <xf numFmtId="0" fontId="3" fillId="2" borderId="1" xfId="0" applyFont="1" applyFill="1" applyBorder="1" applyProtection="1"/>
    <xf numFmtId="3" fontId="9" fillId="2" borderId="114" xfId="0" applyNumberFormat="1" applyFont="1" applyFill="1" applyBorder="1" applyProtection="1">
      <protection locked="0"/>
    </xf>
    <xf numFmtId="3" fontId="9" fillId="2" borderId="71" xfId="0" applyNumberFormat="1" applyFont="1" applyFill="1" applyBorder="1" applyProtection="1">
      <protection locked="0"/>
    </xf>
    <xf numFmtId="0" fontId="3" fillId="21" borderId="134" xfId="0" applyFont="1" applyFill="1" applyBorder="1" applyAlignment="1" applyProtection="1">
      <alignment horizontal="center"/>
    </xf>
    <xf numFmtId="0" fontId="95" fillId="7" borderId="0" xfId="0" quotePrefix="1" applyFont="1" applyFill="1" applyBorder="1" applyAlignment="1" applyProtection="1">
      <alignment horizontal="left"/>
    </xf>
    <xf numFmtId="0" fontId="112" fillId="0" borderId="0" xfId="0" applyFont="1" applyFill="1" applyAlignment="1" applyProtection="1">
      <alignment wrapText="1"/>
    </xf>
    <xf numFmtId="3" fontId="3" fillId="21" borderId="9" xfId="0" applyNumberFormat="1" applyFont="1" applyFill="1" applyBorder="1" applyProtection="1"/>
    <xf numFmtId="3" fontId="9" fillId="21" borderId="0" xfId="0" applyNumberFormat="1" applyFont="1" applyFill="1" applyBorder="1" applyProtection="1"/>
    <xf numFmtId="3" fontId="9" fillId="21" borderId="39" xfId="0" applyNumberFormat="1" applyFont="1" applyFill="1" applyBorder="1" applyProtection="1"/>
    <xf numFmtId="3" fontId="7" fillId="21" borderId="0" xfId="0" applyNumberFormat="1" applyFont="1" applyFill="1" applyBorder="1" applyProtection="1"/>
    <xf numFmtId="3" fontId="7" fillId="21" borderId="0" xfId="0" applyNumberFormat="1" applyFont="1" applyFill="1" applyBorder="1" applyAlignment="1" applyProtection="1">
      <alignment horizontal="left" vertical="top" wrapText="1"/>
    </xf>
    <xf numFmtId="3" fontId="2" fillId="21" borderId="157" xfId="0" applyNumberFormat="1" applyFont="1" applyFill="1" applyBorder="1" applyAlignment="1" applyProtection="1">
      <alignment horizontal="right"/>
    </xf>
    <xf numFmtId="3" fontId="2" fillId="21" borderId="131" xfId="0" applyNumberFormat="1" applyFont="1" applyFill="1" applyBorder="1" applyAlignment="1" applyProtection="1">
      <alignment horizontal="right"/>
    </xf>
    <xf numFmtId="3" fontId="2" fillId="22" borderId="157" xfId="0" applyNumberFormat="1" applyFont="1" applyFill="1" applyBorder="1" applyAlignment="1" applyProtection="1">
      <alignment horizontal="left"/>
    </xf>
    <xf numFmtId="3" fontId="2" fillId="22" borderId="45" xfId="0" applyNumberFormat="1" applyFont="1" applyFill="1" applyBorder="1" applyAlignment="1" applyProtection="1">
      <alignment horizontal="right"/>
    </xf>
    <xf numFmtId="0" fontId="9" fillId="31" borderId="203" xfId="0" applyFont="1" applyFill="1" applyBorder="1" applyAlignment="1" applyProtection="1">
      <alignment horizontal="left" vertical="center"/>
    </xf>
    <xf numFmtId="0" fontId="92" fillId="31" borderId="203" xfId="0" applyFont="1" applyFill="1" applyBorder="1" applyAlignment="1" applyProtection="1">
      <alignment horizontal="left" vertical="center"/>
    </xf>
    <xf numFmtId="0" fontId="17" fillId="30" borderId="117" xfId="0" applyFont="1" applyFill="1" applyBorder="1" applyAlignment="1" applyProtection="1">
      <alignment horizontal="center" vertical="center"/>
    </xf>
    <xf numFmtId="0" fontId="0" fillId="0" borderId="0" xfId="0" applyFill="1" applyBorder="1" applyAlignment="1">
      <alignment horizontal="left" wrapText="1"/>
    </xf>
    <xf numFmtId="0" fontId="24" fillId="21" borderId="58" xfId="5" applyFill="1" applyBorder="1" applyAlignment="1" applyProtection="1">
      <alignment wrapText="1"/>
    </xf>
    <xf numFmtId="0" fontId="24" fillId="21" borderId="44" xfId="5" applyFill="1" applyBorder="1" applyAlignment="1" applyProtection="1">
      <alignment wrapText="1"/>
    </xf>
    <xf numFmtId="0" fontId="3" fillId="21" borderId="205" xfId="0" applyFont="1" applyFill="1" applyBorder="1" applyAlignment="1" applyProtection="1">
      <alignment horizontal="center"/>
    </xf>
    <xf numFmtId="49" fontId="3" fillId="21" borderId="150" xfId="0" applyNumberFormat="1" applyFont="1" applyFill="1" applyBorder="1" applyAlignment="1" applyProtection="1">
      <alignment horizontal="center"/>
    </xf>
    <xf numFmtId="49" fontId="3" fillId="21" borderId="160" xfId="0" applyNumberFormat="1" applyFont="1" applyFill="1" applyBorder="1" applyAlignment="1" applyProtection="1">
      <alignment horizontal="center"/>
    </xf>
    <xf numFmtId="0" fontId="3" fillId="21" borderId="35" xfId="0" applyFont="1" applyFill="1" applyBorder="1" applyAlignment="1" applyProtection="1">
      <alignment horizontal="center"/>
    </xf>
    <xf numFmtId="0" fontId="3" fillId="21" borderId="70" xfId="0" applyFont="1" applyFill="1" applyBorder="1" applyAlignment="1" applyProtection="1">
      <alignment horizontal="center"/>
    </xf>
    <xf numFmtId="3" fontId="3" fillId="21" borderId="27" xfId="0" applyNumberFormat="1" applyFont="1" applyFill="1" applyBorder="1" applyAlignment="1" applyProtection="1"/>
    <xf numFmtId="49" fontId="3" fillId="21" borderId="58" xfId="0" applyNumberFormat="1" applyFont="1" applyFill="1" applyBorder="1" applyAlignment="1" applyProtection="1">
      <alignment horizontal="left" vertical="top"/>
    </xf>
    <xf numFmtId="49" fontId="3" fillId="21" borderId="142" xfId="0" applyNumberFormat="1" applyFont="1" applyFill="1" applyBorder="1" applyAlignment="1" applyProtection="1">
      <alignment horizontal="left" vertical="top"/>
    </xf>
    <xf numFmtId="0" fontId="31" fillId="7" borderId="0" xfId="0" applyFont="1" applyFill="1" applyBorder="1" applyProtection="1"/>
    <xf numFmtId="1" fontId="17" fillId="0" borderId="0" xfId="0" applyNumberFormat="1" applyFont="1" applyFill="1" applyBorder="1" applyAlignment="1" applyProtection="1">
      <alignment horizontal="center"/>
    </xf>
    <xf numFmtId="166" fontId="3" fillId="0" borderId="0" xfId="0" applyNumberFormat="1" applyFont="1" applyFill="1" applyBorder="1" applyProtection="1"/>
    <xf numFmtId="0"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center"/>
    </xf>
    <xf numFmtId="1" fontId="5" fillId="0" borderId="0" xfId="0" applyNumberFormat="1" applyFont="1" applyFill="1" applyBorder="1" applyAlignment="1" applyProtection="1">
      <alignment horizontal="center" wrapText="1"/>
    </xf>
    <xf numFmtId="3" fontId="8" fillId="0" borderId="0"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1" fontId="3" fillId="0" borderId="0" xfId="0" applyNumberFormat="1" applyFont="1" applyFill="1" applyBorder="1" applyAlignment="1" applyProtection="1">
      <alignment horizontal="center" vertical="top" wrapText="1"/>
    </xf>
    <xf numFmtId="2" fontId="3" fillId="0" borderId="0" xfId="0" applyNumberFormat="1" applyFont="1" applyFill="1" applyBorder="1" applyAlignment="1" applyProtection="1">
      <alignment horizontal="center" wrapText="1"/>
    </xf>
    <xf numFmtId="49" fontId="3" fillId="0" borderId="0" xfId="0" applyNumberFormat="1" applyFont="1" applyFill="1" applyBorder="1" applyAlignment="1" applyProtection="1">
      <alignment horizontal="center" wrapText="1"/>
    </xf>
    <xf numFmtId="49" fontId="118" fillId="0" borderId="0" xfId="0" applyNumberFormat="1" applyFont="1" applyFill="1" applyBorder="1" applyAlignment="1" applyProtection="1">
      <alignment horizontal="center" wrapText="1"/>
    </xf>
    <xf numFmtId="1" fontId="118" fillId="0" borderId="0" xfId="0" applyNumberFormat="1" applyFont="1" applyFill="1" applyBorder="1" applyAlignment="1" applyProtection="1">
      <alignment horizontal="center"/>
    </xf>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7" fillId="0" borderId="0" xfId="0" applyFont="1" applyFill="1" applyBorder="1" applyAlignment="1" applyProtection="1">
      <alignment horizontal="center"/>
    </xf>
    <xf numFmtId="1" fontId="8" fillId="0" borderId="0" xfId="0" applyNumberFormat="1" applyFont="1" applyFill="1" applyBorder="1" applyAlignment="1" applyProtection="1">
      <alignment horizontal="center" vertical="center" wrapText="1"/>
    </xf>
    <xf numFmtId="3" fontId="2" fillId="2" borderId="114" xfId="0" applyNumberFormat="1" applyFont="1" applyFill="1" applyBorder="1" applyAlignment="1" applyProtection="1">
      <alignment horizontal="right"/>
      <protection locked="0"/>
    </xf>
    <xf numFmtId="3" fontId="2" fillId="2" borderId="6" xfId="0" applyNumberFormat="1" applyFont="1" applyFill="1" applyBorder="1" applyAlignment="1" applyProtection="1">
      <alignment horizontal="right"/>
      <protection locked="0"/>
    </xf>
    <xf numFmtId="49" fontId="3" fillId="21" borderId="35" xfId="0" applyNumberFormat="1" applyFont="1" applyFill="1" applyBorder="1" applyAlignment="1" applyProtection="1">
      <alignment horizontal="left" wrapText="1"/>
    </xf>
    <xf numFmtId="3" fontId="5" fillId="21" borderId="156" xfId="5" applyNumberFormat="1" applyFont="1" applyFill="1" applyBorder="1" applyAlignment="1" applyProtection="1">
      <alignment vertical="top"/>
    </xf>
    <xf numFmtId="3" fontId="4" fillId="0" borderId="0" xfId="0" applyNumberFormat="1" applyFont="1" applyFill="1" applyBorder="1" applyProtection="1"/>
    <xf numFmtId="49" fontId="12" fillId="0" borderId="0" xfId="0" applyNumberFormat="1" applyFont="1" applyFill="1" applyBorder="1" applyAlignment="1" applyProtection="1">
      <alignment horizontal="center"/>
    </xf>
    <xf numFmtId="3" fontId="3" fillId="0" borderId="0" xfId="0" applyNumberFormat="1" applyFont="1" applyFill="1" applyBorder="1" applyAlignment="1" applyProtection="1"/>
    <xf numFmtId="0" fontId="0" fillId="21" borderId="150" xfId="0" applyFill="1" applyBorder="1" applyAlignment="1">
      <alignment vertical="center"/>
    </xf>
    <xf numFmtId="0" fontId="0" fillId="21" borderId="42" xfId="0" applyFill="1" applyBorder="1" applyAlignment="1">
      <alignment vertical="center"/>
    </xf>
    <xf numFmtId="0" fontId="7" fillId="21" borderId="42" xfId="0" applyFont="1" applyFill="1" applyBorder="1" applyAlignment="1" applyProtection="1"/>
    <xf numFmtId="0" fontId="0" fillId="21" borderId="161" xfId="0" applyFill="1" applyBorder="1" applyAlignment="1" applyProtection="1">
      <alignment wrapText="1"/>
    </xf>
    <xf numFmtId="0" fontId="0" fillId="21" borderId="42" xfId="0" applyFill="1" applyBorder="1" applyAlignment="1">
      <alignment vertical="center" wrapText="1"/>
    </xf>
    <xf numFmtId="0" fontId="7" fillId="21" borderId="42" xfId="0" applyFont="1" applyFill="1" applyBorder="1" applyProtection="1"/>
    <xf numFmtId="0" fontId="0" fillId="21" borderId="142" xfId="0" applyFill="1" applyBorder="1" applyAlignment="1">
      <alignment horizontal="left" vertical="center"/>
    </xf>
    <xf numFmtId="0" fontId="0" fillId="21" borderId="1" xfId="0" applyFill="1" applyBorder="1" applyAlignment="1">
      <alignment horizontal="left" vertical="center"/>
    </xf>
    <xf numFmtId="0" fontId="0" fillId="21" borderId="89" xfId="0" applyFill="1" applyBorder="1" applyAlignment="1">
      <alignment horizontal="left" vertical="center"/>
    </xf>
    <xf numFmtId="0" fontId="0" fillId="21" borderId="90" xfId="0" applyFill="1" applyBorder="1" applyAlignment="1">
      <alignment horizontal="left" wrapText="1"/>
    </xf>
    <xf numFmtId="0" fontId="5" fillId="21" borderId="157" xfId="0" applyFont="1" applyFill="1" applyBorder="1" applyAlignment="1" applyProtection="1">
      <alignment vertical="top" wrapText="1"/>
    </xf>
    <xf numFmtId="0" fontId="3" fillId="21" borderId="16" xfId="0" applyFont="1" applyFill="1" applyBorder="1" applyAlignment="1" applyProtection="1">
      <alignment vertical="center"/>
    </xf>
    <xf numFmtId="0" fontId="3" fillId="21" borderId="15" xfId="0" applyFont="1" applyFill="1" applyBorder="1" applyAlignment="1" applyProtection="1">
      <alignment vertical="center"/>
    </xf>
    <xf numFmtId="0" fontId="3" fillId="21" borderId="15" xfId="0" applyFont="1" applyFill="1" applyBorder="1" applyAlignment="1" applyProtection="1">
      <alignment vertical="center" wrapText="1"/>
    </xf>
    <xf numFmtId="0" fontId="0" fillId="21" borderId="190" xfId="0" applyFill="1" applyBorder="1" applyAlignment="1">
      <alignment horizontal="center" vertical="center"/>
    </xf>
    <xf numFmtId="0" fontId="0" fillId="21" borderId="175" xfId="0" applyFill="1" applyBorder="1" applyAlignment="1" applyProtection="1">
      <alignment vertical="top" wrapText="1"/>
    </xf>
    <xf numFmtId="0" fontId="3" fillId="21" borderId="123" xfId="0" applyFont="1" applyFill="1" applyBorder="1" applyAlignment="1" applyProtection="1">
      <alignment vertical="top"/>
    </xf>
    <xf numFmtId="0" fontId="3" fillId="21" borderId="68" xfId="0" applyFont="1" applyFill="1" applyBorder="1" applyAlignment="1" applyProtection="1">
      <alignment horizontal="left" vertical="top" wrapText="1"/>
    </xf>
    <xf numFmtId="0" fontId="17" fillId="21" borderId="167" xfId="0" applyFont="1" applyFill="1" applyBorder="1" applyAlignment="1" applyProtection="1">
      <alignment horizontal="center" vertical="center" wrapText="1"/>
    </xf>
    <xf numFmtId="0" fontId="7" fillId="21" borderId="158" xfId="0" applyFont="1" applyFill="1" applyBorder="1" applyAlignment="1" applyProtection="1"/>
    <xf numFmtId="0" fontId="3" fillId="21" borderId="15" xfId="0" applyFont="1" applyFill="1" applyBorder="1" applyAlignment="1" applyProtection="1"/>
    <xf numFmtId="0" fontId="3" fillId="21" borderId="128" xfId="0" applyFont="1" applyFill="1" applyBorder="1" applyAlignment="1" applyProtection="1">
      <alignment horizontal="left" vertical="top" wrapText="1"/>
    </xf>
    <xf numFmtId="0" fontId="3" fillId="21" borderId="58" xfId="0" applyFont="1" applyFill="1" applyBorder="1" applyAlignment="1" applyProtection="1">
      <alignment horizontal="left" vertical="center"/>
    </xf>
    <xf numFmtId="0" fontId="3" fillId="21" borderId="0" xfId="0" applyFont="1" applyFill="1" applyBorder="1" applyAlignment="1" applyProtection="1">
      <alignment horizontal="left" vertical="center"/>
    </xf>
    <xf numFmtId="0" fontId="3" fillId="21" borderId="153" xfId="0" applyFont="1" applyFill="1" applyBorder="1" applyAlignment="1" applyProtection="1">
      <alignment horizontal="left" vertical="center"/>
    </xf>
    <xf numFmtId="0" fontId="3" fillId="21" borderId="60" xfId="0" applyFont="1" applyFill="1" applyBorder="1" applyAlignment="1" applyProtection="1">
      <alignment horizontal="left" wrapText="1"/>
    </xf>
    <xf numFmtId="3" fontId="3" fillId="21" borderId="158" xfId="5" applyNumberFormat="1" applyFont="1" applyFill="1" applyBorder="1" applyAlignment="1" applyProtection="1"/>
    <xf numFmtId="3" fontId="5" fillId="21" borderId="158" xfId="5" applyNumberFormat="1" applyFont="1" applyFill="1" applyBorder="1" applyAlignment="1" applyProtection="1">
      <alignment vertical="top" wrapText="1"/>
    </xf>
    <xf numFmtId="49" fontId="3" fillId="21" borderId="175" xfId="5" applyNumberFormat="1" applyFont="1" applyFill="1" applyBorder="1" applyProtection="1"/>
    <xf numFmtId="3" fontId="3" fillId="21" borderId="167" xfId="5" applyNumberFormat="1" applyFont="1" applyFill="1" applyBorder="1" applyAlignment="1" applyProtection="1"/>
    <xf numFmtId="0" fontId="3" fillId="21" borderId="190" xfId="5" applyFont="1" applyFill="1" applyBorder="1" applyAlignment="1" applyProtection="1">
      <alignment horizontal="left" vertical="center"/>
    </xf>
    <xf numFmtId="0" fontId="5" fillId="21" borderId="160" xfId="5" applyFont="1" applyFill="1" applyBorder="1" applyAlignment="1" applyProtection="1">
      <alignment vertical="top"/>
    </xf>
    <xf numFmtId="0" fontId="3" fillId="21" borderId="68" xfId="0" applyFont="1" applyFill="1" applyBorder="1" applyAlignment="1" applyProtection="1">
      <alignment vertical="top"/>
    </xf>
    <xf numFmtId="0" fontId="5" fillId="21" borderId="27" xfId="5" applyFont="1" applyFill="1" applyBorder="1" applyAlignment="1" applyProtection="1"/>
    <xf numFmtId="0" fontId="3" fillId="21" borderId="15" xfId="5" applyFont="1" applyFill="1" applyBorder="1" applyAlignment="1" applyProtection="1">
      <alignment horizontal="right"/>
    </xf>
    <xf numFmtId="0" fontId="3" fillId="21" borderId="153" xfId="5" applyFont="1" applyFill="1" applyBorder="1" applyAlignment="1" applyProtection="1"/>
    <xf numFmtId="0" fontId="3" fillId="21" borderId="15" xfId="5" applyFont="1" applyFill="1" applyBorder="1" applyAlignment="1" applyProtection="1"/>
    <xf numFmtId="0" fontId="3" fillId="21" borderId="15" xfId="5" applyFont="1" applyFill="1" applyBorder="1" applyAlignment="1" applyProtection="1">
      <alignment horizontal="left" vertical="top" wrapText="1"/>
    </xf>
    <xf numFmtId="0" fontId="3" fillId="21" borderId="16" xfId="5" applyFont="1" applyFill="1" applyBorder="1" applyAlignment="1" applyProtection="1">
      <alignment horizontal="left" vertical="top" wrapText="1"/>
    </xf>
    <xf numFmtId="49" fontId="3" fillId="21" borderId="158" xfId="5" applyNumberFormat="1" applyFont="1" applyFill="1" applyBorder="1" applyAlignment="1" applyProtection="1">
      <alignment vertical="top"/>
    </xf>
    <xf numFmtId="0" fontId="0" fillId="21" borderId="15" xfId="0" applyFill="1" applyBorder="1" applyAlignment="1">
      <alignment vertical="top" wrapText="1"/>
    </xf>
    <xf numFmtId="0" fontId="0" fillId="21" borderId="42" xfId="0" applyFill="1" applyBorder="1" applyAlignment="1">
      <alignment vertical="top" wrapText="1"/>
    </xf>
    <xf numFmtId="0" fontId="3" fillId="21" borderId="175" xfId="0" applyFont="1" applyFill="1" applyBorder="1" applyAlignment="1" applyProtection="1">
      <alignment horizontal="left" vertical="center"/>
    </xf>
    <xf numFmtId="3" fontId="111" fillId="0" borderId="58" xfId="0" applyNumberFormat="1" applyFont="1" applyFill="1" applyBorder="1" applyProtection="1"/>
    <xf numFmtId="3" fontId="3" fillId="32" borderId="42" xfId="0" applyNumberFormat="1" applyFont="1" applyFill="1" applyBorder="1" applyAlignment="1" applyProtection="1">
      <alignment horizontal="left" vertical="top" wrapText="1"/>
    </xf>
    <xf numFmtId="3" fontId="3" fillId="21" borderId="42" xfId="0" applyNumberFormat="1" applyFont="1" applyFill="1" applyBorder="1" applyAlignment="1" applyProtection="1">
      <alignment horizontal="left" vertical="top"/>
    </xf>
    <xf numFmtId="0" fontId="0" fillId="21" borderId="44" xfId="0" applyFill="1" applyBorder="1" applyProtection="1"/>
    <xf numFmtId="3" fontId="5" fillId="21" borderId="206" xfId="0" applyNumberFormat="1" applyFont="1" applyFill="1" applyBorder="1" applyAlignment="1" applyProtection="1">
      <alignment horizontal="left" vertical="center" wrapText="1"/>
    </xf>
    <xf numFmtId="0" fontId="3" fillId="21" borderId="133" xfId="0" applyFont="1" applyFill="1" applyBorder="1" applyProtection="1"/>
    <xf numFmtId="3" fontId="9" fillId="2" borderId="204" xfId="0" applyNumberFormat="1" applyFont="1" applyFill="1" applyBorder="1" applyProtection="1">
      <protection locked="0"/>
    </xf>
    <xf numFmtId="0" fontId="5" fillId="21" borderId="96" xfId="5" applyFont="1" applyFill="1" applyBorder="1" applyProtection="1"/>
    <xf numFmtId="0" fontId="5" fillId="21" borderId="44" xfId="5" applyFont="1" applyFill="1" applyBorder="1" applyProtection="1"/>
    <xf numFmtId="0" fontId="5" fillId="21" borderId="27" xfId="5" applyFont="1" applyFill="1" applyBorder="1" applyAlignment="1" applyProtection="1">
      <alignment horizontal="left"/>
    </xf>
    <xf numFmtId="0" fontId="5" fillId="21" borderId="189" xfId="5" applyFont="1" applyFill="1" applyBorder="1" applyAlignment="1" applyProtection="1">
      <alignment horizontal="left"/>
    </xf>
    <xf numFmtId="0" fontId="3" fillId="21" borderId="56" xfId="5" applyFont="1" applyFill="1" applyBorder="1" applyAlignment="1" applyProtection="1">
      <alignment vertical="top"/>
    </xf>
    <xf numFmtId="0" fontId="3" fillId="21" borderId="56" xfId="5" applyFont="1" applyFill="1" applyBorder="1" applyAlignment="1" applyProtection="1">
      <alignment horizontal="left" vertical="center"/>
    </xf>
    <xf numFmtId="3" fontId="3" fillId="21" borderId="44" xfId="5" applyNumberFormat="1" applyFont="1" applyFill="1" applyBorder="1" applyAlignment="1" applyProtection="1">
      <alignment wrapText="1"/>
    </xf>
    <xf numFmtId="3" fontId="3" fillId="21" borderId="44" xfId="5" applyNumberFormat="1" applyFont="1" applyFill="1" applyBorder="1" applyAlignment="1" applyProtection="1">
      <alignment vertical="center" wrapText="1"/>
    </xf>
    <xf numFmtId="0" fontId="5" fillId="21" borderId="189" xfId="0" applyFont="1" applyFill="1" applyBorder="1" applyAlignment="1" applyProtection="1">
      <alignment horizontal="left"/>
    </xf>
    <xf numFmtId="0" fontId="5" fillId="21" borderId="96" xfId="0" applyFont="1" applyFill="1" applyBorder="1" applyAlignment="1" applyProtection="1">
      <alignment horizontal="left"/>
    </xf>
    <xf numFmtId="0" fontId="5" fillId="21" borderId="27" xfId="0" applyFont="1" applyFill="1" applyBorder="1" applyAlignment="1" applyProtection="1">
      <alignment horizontal="left"/>
    </xf>
    <xf numFmtId="0" fontId="5" fillId="21" borderId="44" xfId="0" applyFont="1" applyFill="1" applyBorder="1" applyAlignment="1" applyProtection="1">
      <alignment horizontal="left"/>
    </xf>
    <xf numFmtId="0" fontId="3" fillId="21" borderId="158" xfId="0" applyFont="1" applyFill="1" applyBorder="1" applyAlignment="1" applyProtection="1">
      <alignment horizontal="center"/>
    </xf>
    <xf numFmtId="0" fontId="3" fillId="21" borderId="56" xfId="5" applyFont="1" applyFill="1" applyBorder="1" applyAlignment="1" applyProtection="1">
      <alignment vertical="top" wrapText="1"/>
    </xf>
    <xf numFmtId="0" fontId="3" fillId="21" borderId="62" xfId="5" applyFont="1" applyFill="1" applyBorder="1" applyProtection="1"/>
    <xf numFmtId="1" fontId="3" fillId="21" borderId="16" xfId="5" applyNumberFormat="1" applyFont="1" applyFill="1" applyBorder="1" applyAlignment="1" applyProtection="1">
      <alignment horizontal="center"/>
    </xf>
    <xf numFmtId="1" fontId="3" fillId="21" borderId="167" xfId="5" applyNumberFormat="1" applyFont="1" applyFill="1" applyBorder="1" applyAlignment="1" applyProtection="1">
      <alignment horizontal="center"/>
    </xf>
    <xf numFmtId="3" fontId="5" fillId="21" borderId="175" xfId="5" applyNumberFormat="1" applyFont="1" applyFill="1" applyBorder="1" applyAlignment="1" applyProtection="1">
      <alignment vertical="top"/>
    </xf>
    <xf numFmtId="3" fontId="5" fillId="21" borderId="44" xfId="5" applyNumberFormat="1" applyFont="1" applyFill="1" applyBorder="1" applyAlignment="1" applyProtection="1">
      <alignment vertical="center"/>
    </xf>
    <xf numFmtId="3" fontId="5" fillId="21" borderId="44" xfId="0" applyNumberFormat="1" applyFont="1" applyFill="1" applyBorder="1" applyAlignment="1" applyProtection="1">
      <alignment vertical="center"/>
    </xf>
    <xf numFmtId="3" fontId="5" fillId="21" borderId="175" xfId="0" applyNumberFormat="1" applyFont="1" applyFill="1" applyBorder="1" applyAlignment="1" applyProtection="1">
      <alignment vertical="top"/>
    </xf>
    <xf numFmtId="0" fontId="3" fillId="21" borderId="158" xfId="5" applyFont="1" applyFill="1" applyBorder="1" applyAlignment="1" applyProtection="1">
      <alignment vertical="top" wrapText="1"/>
    </xf>
    <xf numFmtId="0" fontId="3" fillId="10" borderId="58" xfId="0" applyFont="1" applyFill="1" applyBorder="1" applyAlignment="1" applyProtection="1">
      <alignment horizontal="center"/>
    </xf>
    <xf numFmtId="0" fontId="5" fillId="21" borderId="15" xfId="0" applyFont="1" applyFill="1" applyBorder="1" applyAlignment="1" applyProtection="1">
      <alignment horizontal="left" vertical="center" wrapText="1"/>
    </xf>
    <xf numFmtId="3" fontId="2" fillId="21" borderId="50" xfId="0" applyNumberFormat="1" applyFont="1" applyFill="1" applyBorder="1" applyAlignment="1" applyProtection="1">
      <alignment horizontal="right"/>
    </xf>
    <xf numFmtId="3" fontId="18" fillId="21" borderId="7" xfId="0" applyNumberFormat="1" applyFont="1" applyFill="1" applyBorder="1" applyProtection="1"/>
    <xf numFmtId="3" fontId="44" fillId="21" borderId="5" xfId="0" applyNumberFormat="1" applyFont="1" applyFill="1" applyBorder="1" applyProtection="1"/>
    <xf numFmtId="3" fontId="91" fillId="21" borderId="5" xfId="0" applyNumberFormat="1" applyFont="1" applyFill="1" applyBorder="1" applyProtection="1"/>
    <xf numFmtId="0" fontId="2" fillId="21" borderId="7" xfId="0" applyFont="1" applyFill="1" applyBorder="1" applyAlignment="1" applyProtection="1">
      <alignment vertical="top"/>
    </xf>
    <xf numFmtId="0" fontId="2" fillId="21" borderId="5" xfId="0" applyFont="1" applyFill="1" applyBorder="1" applyAlignment="1" applyProtection="1">
      <alignment vertical="top"/>
    </xf>
    <xf numFmtId="0" fontId="21" fillId="21" borderId="0" xfId="0" applyFont="1" applyFill="1" applyBorder="1" applyProtection="1"/>
    <xf numFmtId="0" fontId="21" fillId="21" borderId="15" xfId="0" applyFont="1" applyFill="1" applyBorder="1" applyProtection="1"/>
    <xf numFmtId="0" fontId="4" fillId="21" borderId="15" xfId="0" applyFont="1" applyFill="1" applyBorder="1" applyProtection="1"/>
    <xf numFmtId="0" fontId="8" fillId="21" borderId="208" xfId="0" applyFont="1" applyFill="1" applyBorder="1" applyAlignment="1" applyProtection="1">
      <alignment horizontal="left"/>
    </xf>
    <xf numFmtId="0" fontId="8" fillId="21" borderId="66" xfId="0" applyFont="1" applyFill="1" applyBorder="1" applyAlignment="1" applyProtection="1">
      <alignment horizontal="left"/>
    </xf>
    <xf numFmtId="0" fontId="3" fillId="21" borderId="66" xfId="0" applyFont="1" applyFill="1" applyBorder="1" applyAlignment="1" applyProtection="1">
      <alignment horizontal="left"/>
    </xf>
    <xf numFmtId="0" fontId="2" fillId="21" borderId="106" xfId="0" applyFont="1" applyFill="1" applyBorder="1" applyAlignment="1" applyProtection="1">
      <alignment vertical="top"/>
    </xf>
    <xf numFmtId="0" fontId="2" fillId="21" borderId="70" xfId="0" applyFont="1" applyFill="1" applyBorder="1" applyAlignment="1" applyProtection="1">
      <alignment vertical="top"/>
    </xf>
    <xf numFmtId="3" fontId="47" fillId="21" borderId="7" xfId="0" applyNumberFormat="1" applyFont="1" applyFill="1" applyBorder="1" applyProtection="1"/>
    <xf numFmtId="3" fontId="44" fillId="21" borderId="8" xfId="0" applyNumberFormat="1" applyFont="1" applyFill="1" applyBorder="1" applyProtection="1"/>
    <xf numFmtId="3" fontId="91" fillId="21" borderId="8" xfId="0" applyNumberFormat="1" applyFont="1" applyFill="1" applyBorder="1" applyProtection="1"/>
    <xf numFmtId="3" fontId="44" fillId="21" borderId="7" xfId="0" applyNumberFormat="1" applyFont="1" applyFill="1" applyBorder="1" applyProtection="1"/>
    <xf numFmtId="3" fontId="2" fillId="21" borderId="7" xfId="0" applyNumberFormat="1" applyFont="1" applyFill="1" applyBorder="1" applyAlignment="1" applyProtection="1">
      <alignment vertical="top"/>
    </xf>
    <xf numFmtId="3" fontId="42" fillId="21" borderId="29" xfId="0" applyNumberFormat="1" applyFont="1" applyFill="1" applyBorder="1" applyAlignment="1" applyProtection="1">
      <alignment vertical="top" wrapText="1"/>
    </xf>
    <xf numFmtId="3" fontId="2" fillId="21" borderId="46" xfId="0" applyNumberFormat="1" applyFont="1" applyFill="1" applyBorder="1" applyAlignment="1" applyProtection="1">
      <alignment horizontal="right"/>
    </xf>
    <xf numFmtId="3" fontId="42" fillId="21" borderId="146" xfId="0" applyNumberFormat="1" applyFont="1" applyFill="1" applyBorder="1" applyAlignment="1" applyProtection="1">
      <alignment vertical="top" wrapText="1"/>
    </xf>
    <xf numFmtId="169" fontId="41" fillId="21" borderId="157" xfId="0" applyNumberFormat="1" applyFont="1" applyFill="1" applyBorder="1" applyProtection="1"/>
    <xf numFmtId="3" fontId="10" fillId="21" borderId="7" xfId="0" applyNumberFormat="1" applyFont="1" applyFill="1" applyBorder="1" applyAlignment="1" applyProtection="1">
      <alignment vertical="top"/>
      <protection locked="0"/>
    </xf>
    <xf numFmtId="3" fontId="10" fillId="21" borderId="5" xfId="0" applyNumberFormat="1" applyFont="1" applyFill="1" applyBorder="1" applyAlignment="1" applyProtection="1">
      <alignment vertical="top"/>
      <protection locked="0"/>
    </xf>
    <xf numFmtId="0" fontId="2" fillId="21" borderId="5" xfId="0" applyFont="1" applyFill="1" applyBorder="1" applyAlignment="1" applyProtection="1">
      <alignment vertical="top"/>
      <protection locked="0"/>
    </xf>
    <xf numFmtId="0" fontId="2" fillId="21" borderId="160" xfId="0" applyFont="1" applyFill="1" applyBorder="1" applyAlignment="1" applyProtection="1">
      <alignment vertical="top"/>
      <protection locked="0"/>
    </xf>
    <xf numFmtId="0" fontId="2" fillId="21" borderId="68" xfId="0" applyFont="1" applyFill="1" applyBorder="1" applyAlignment="1" applyProtection="1">
      <alignment vertical="top"/>
      <protection locked="0"/>
    </xf>
    <xf numFmtId="3" fontId="18" fillId="21" borderId="14" xfId="0" applyNumberFormat="1" applyFont="1" applyFill="1" applyBorder="1" applyProtection="1"/>
    <xf numFmtId="3" fontId="44" fillId="21" borderId="17" xfId="0" applyNumberFormat="1" applyFont="1" applyFill="1" applyBorder="1" applyProtection="1"/>
    <xf numFmtId="3" fontId="91" fillId="21" borderId="17" xfId="0" applyNumberFormat="1" applyFont="1" applyFill="1" applyBorder="1" applyProtection="1"/>
    <xf numFmtId="3" fontId="2" fillId="21" borderId="7" xfId="0" applyNumberFormat="1" applyFont="1" applyFill="1" applyBorder="1" applyAlignment="1" applyProtection="1">
      <alignment vertical="top"/>
      <protection locked="0"/>
    </xf>
    <xf numFmtId="0" fontId="16" fillId="21" borderId="94" xfId="0" applyFont="1" applyFill="1" applyBorder="1" applyAlignment="1" applyProtection="1">
      <alignment wrapText="1"/>
    </xf>
    <xf numFmtId="0" fontId="9" fillId="21" borderId="191" xfId="0" applyFont="1" applyFill="1" applyBorder="1" applyProtection="1"/>
    <xf numFmtId="3" fontId="111" fillId="21" borderId="7" xfId="0" applyNumberFormat="1" applyFont="1" applyFill="1" applyBorder="1" applyProtection="1"/>
    <xf numFmtId="3" fontId="113" fillId="21" borderId="5" xfId="0" applyNumberFormat="1" applyFont="1" applyFill="1" applyBorder="1" applyProtection="1"/>
    <xf numFmtId="3" fontId="25" fillId="21" borderId="5" xfId="0" applyNumberFormat="1" applyFont="1" applyFill="1" applyBorder="1" applyProtection="1"/>
    <xf numFmtId="3" fontId="45" fillId="21" borderId="160" xfId="0" applyNumberFormat="1" applyFont="1" applyFill="1" applyBorder="1" applyProtection="1"/>
    <xf numFmtId="3" fontId="45" fillId="21" borderId="128" xfId="0" applyNumberFormat="1" applyFont="1" applyFill="1" applyBorder="1" applyProtection="1"/>
    <xf numFmtId="3" fontId="2" fillId="21" borderId="46" xfId="0" applyNumberFormat="1" applyFont="1" applyFill="1" applyBorder="1" applyAlignment="1" applyProtection="1">
      <alignment horizontal="right" vertical="top" wrapText="1"/>
    </xf>
    <xf numFmtId="3" fontId="42" fillId="21" borderId="22" xfId="0" applyNumberFormat="1" applyFont="1" applyFill="1" applyBorder="1" applyAlignment="1" applyProtection="1">
      <alignment vertical="top"/>
    </xf>
    <xf numFmtId="0" fontId="9" fillId="21" borderId="5" xfId="0" applyFont="1" applyFill="1" applyBorder="1" applyAlignment="1" applyProtection="1">
      <alignment vertical="top"/>
    </xf>
    <xf numFmtId="3" fontId="3" fillId="21" borderId="133" xfId="0" applyNumberFormat="1" applyFont="1" applyFill="1" applyBorder="1" applyProtection="1"/>
    <xf numFmtId="3" fontId="45" fillId="21" borderId="16" xfId="0" applyNumberFormat="1" applyFont="1" applyFill="1" applyBorder="1" applyProtection="1"/>
    <xf numFmtId="3" fontId="45" fillId="21" borderId="68" xfId="0" applyNumberFormat="1" applyFont="1" applyFill="1" applyBorder="1" applyProtection="1"/>
    <xf numFmtId="0" fontId="9" fillId="21" borderId="7" xfId="0" applyFont="1" applyFill="1" applyBorder="1" applyAlignment="1" applyProtection="1">
      <alignment vertical="top"/>
    </xf>
    <xf numFmtId="3" fontId="120" fillId="3" borderId="63" xfId="0" applyNumberFormat="1" applyFont="1" applyFill="1" applyBorder="1" applyAlignment="1" applyProtection="1">
      <alignment horizontal="right"/>
    </xf>
    <xf numFmtId="3" fontId="120" fillId="3" borderId="207" xfId="0" applyNumberFormat="1" applyFont="1" applyFill="1" applyBorder="1" applyAlignment="1" applyProtection="1">
      <alignment horizontal="right"/>
    </xf>
    <xf numFmtId="3" fontId="3"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3" fontId="8" fillId="0" borderId="0" xfId="0" applyNumberFormat="1" applyFont="1" applyFill="1" applyBorder="1" applyAlignment="1" applyProtection="1"/>
    <xf numFmtId="3" fontId="8" fillId="21" borderId="12" xfId="0" applyNumberFormat="1" applyFont="1" applyFill="1" applyBorder="1" applyAlignment="1" applyProtection="1"/>
    <xf numFmtId="1" fontId="8" fillId="21" borderId="35" xfId="0" applyNumberFormat="1" applyFont="1" applyFill="1" applyBorder="1" applyAlignment="1" applyProtection="1">
      <alignment horizontal="center"/>
    </xf>
    <xf numFmtId="1" fontId="3" fillId="21" borderId="35" xfId="0" applyNumberFormat="1" applyFont="1" applyFill="1" applyBorder="1" applyAlignment="1" applyProtection="1">
      <alignment horizontal="left"/>
    </xf>
    <xf numFmtId="3" fontId="13" fillId="2" borderId="64" xfId="0" applyNumberFormat="1" applyFont="1" applyFill="1" applyBorder="1" applyAlignment="1" applyProtection="1">
      <alignment horizontal="right"/>
      <protection locked="0"/>
    </xf>
    <xf numFmtId="0" fontId="112" fillId="0" borderId="0" xfId="0" applyFont="1" applyFill="1" applyProtection="1"/>
    <xf numFmtId="0" fontId="112" fillId="0" borderId="0" xfId="0" applyFont="1" applyFill="1" applyBorder="1" applyProtection="1"/>
    <xf numFmtId="0" fontId="112" fillId="2" borderId="0" xfId="0" applyFont="1" applyFill="1" applyBorder="1" applyProtection="1"/>
    <xf numFmtId="3" fontId="112" fillId="2" borderId="0" xfId="0" applyNumberFormat="1" applyFont="1" applyFill="1" applyBorder="1" applyProtection="1"/>
    <xf numFmtId="0" fontId="24" fillId="21" borderId="5" xfId="0" applyFont="1" applyFill="1" applyBorder="1" applyProtection="1"/>
    <xf numFmtId="0" fontId="1" fillId="21" borderId="5" xfId="0" applyFont="1" applyFill="1" applyBorder="1" applyProtection="1"/>
    <xf numFmtId="3" fontId="121" fillId="21" borderId="5" xfId="0" applyNumberFormat="1" applyFont="1" applyFill="1" applyBorder="1" applyAlignment="1" applyProtection="1"/>
    <xf numFmtId="3" fontId="45" fillId="23" borderId="138" xfId="0" applyNumberFormat="1" applyFont="1" applyFill="1" applyBorder="1" applyProtection="1"/>
    <xf numFmtId="3" fontId="36" fillId="2" borderId="0" xfId="0" applyNumberFormat="1" applyFont="1" applyFill="1" applyAlignment="1" applyProtection="1">
      <alignment vertical="top" wrapText="1"/>
    </xf>
    <xf numFmtId="0" fontId="116" fillId="0" borderId="0" xfId="0" applyFont="1" applyFill="1" applyProtection="1"/>
    <xf numFmtId="0" fontId="3" fillId="21" borderId="25" xfId="5" applyFont="1" applyFill="1" applyBorder="1" applyProtection="1"/>
    <xf numFmtId="3" fontId="111" fillId="0" borderId="0" xfId="0" applyNumberFormat="1" applyFont="1" applyFill="1" applyBorder="1" applyAlignment="1" applyProtection="1">
      <alignment vertical="top"/>
    </xf>
    <xf numFmtId="3" fontId="2" fillId="0" borderId="18" xfId="0" applyNumberFormat="1" applyFont="1" applyFill="1" applyBorder="1" applyProtection="1">
      <protection locked="0"/>
    </xf>
    <xf numFmtId="3" fontId="9" fillId="0" borderId="0" xfId="0" applyNumberFormat="1" applyFont="1" applyFill="1" applyBorder="1" applyProtection="1">
      <protection locked="0"/>
    </xf>
    <xf numFmtId="3" fontId="2" fillId="0" borderId="0" xfId="0" applyNumberFormat="1" applyFont="1" applyFill="1" applyBorder="1" applyAlignment="1" applyProtection="1">
      <alignment horizontal="right"/>
      <protection locked="0"/>
    </xf>
    <xf numFmtId="49" fontId="3" fillId="21" borderId="209" xfId="0" applyNumberFormat="1" applyFont="1" applyFill="1" applyBorder="1" applyAlignment="1" applyProtection="1">
      <alignment horizontal="left"/>
    </xf>
    <xf numFmtId="0" fontId="51" fillId="2" borderId="168" xfId="0" applyFont="1" applyFill="1" applyBorder="1" applyProtection="1"/>
    <xf numFmtId="0" fontId="51" fillId="2" borderId="166" xfId="0" applyFont="1" applyFill="1" applyBorder="1" applyProtection="1"/>
    <xf numFmtId="3" fontId="2" fillId="2" borderId="43" xfId="0" applyNumberFormat="1" applyFont="1" applyFill="1" applyBorder="1" applyAlignment="1" applyProtection="1">
      <alignment horizontal="right"/>
      <protection locked="0"/>
    </xf>
    <xf numFmtId="0" fontId="0" fillId="2" borderId="57" xfId="0" applyFill="1" applyBorder="1" applyProtection="1"/>
    <xf numFmtId="0" fontId="2" fillId="0" borderId="0" xfId="0" applyFont="1" applyBorder="1" applyAlignment="1" applyProtection="1">
      <alignment wrapText="1"/>
      <protection locked="0"/>
    </xf>
    <xf numFmtId="0" fontId="51" fillId="2" borderId="1" xfId="0" applyFont="1" applyFill="1" applyBorder="1" applyProtection="1"/>
    <xf numFmtId="0" fontId="0" fillId="2" borderId="62" xfId="0" applyFill="1" applyBorder="1" applyProtection="1"/>
    <xf numFmtId="49" fontId="3" fillId="0" borderId="202" xfId="0" applyNumberFormat="1" applyFont="1" applyFill="1" applyBorder="1" applyAlignment="1" applyProtection="1">
      <alignment horizontal="center"/>
    </xf>
    <xf numFmtId="0" fontId="51" fillId="2" borderId="43" xfId="0" applyFont="1" applyFill="1" applyBorder="1" applyProtection="1"/>
    <xf numFmtId="3" fontId="2" fillId="9" borderId="85" xfId="0" applyNumberFormat="1" applyFont="1" applyFill="1" applyBorder="1" applyProtection="1"/>
    <xf numFmtId="3" fontId="13" fillId="2" borderId="35" xfId="0" applyNumberFormat="1" applyFont="1" applyFill="1" applyBorder="1" applyAlignment="1" applyProtection="1">
      <alignment horizontal="right"/>
      <protection locked="0"/>
    </xf>
    <xf numFmtId="3" fontId="13" fillId="2" borderId="40" xfId="0" applyNumberFormat="1" applyFont="1" applyFill="1" applyBorder="1" applyAlignment="1" applyProtection="1">
      <alignment horizontal="right"/>
      <protection locked="0"/>
    </xf>
    <xf numFmtId="0" fontId="3" fillId="21" borderId="133" xfId="0" applyFont="1" applyFill="1" applyBorder="1" applyAlignment="1" applyProtection="1">
      <alignment horizontal="center"/>
    </xf>
    <xf numFmtId="3" fontId="2" fillId="0" borderId="36" xfId="0" applyNumberFormat="1" applyFont="1" applyFill="1" applyBorder="1" applyProtection="1"/>
    <xf numFmtId="0" fontId="111" fillId="2" borderId="0" xfId="0" applyFont="1" applyFill="1" applyBorder="1" applyProtection="1"/>
    <xf numFmtId="167" fontId="5" fillId="21" borderId="147" xfId="0" applyNumberFormat="1" applyFont="1" applyFill="1" applyBorder="1" applyAlignment="1" applyProtection="1">
      <alignment horizontal="left"/>
    </xf>
    <xf numFmtId="3" fontId="13" fillId="2" borderId="107" xfId="0" applyNumberFormat="1" applyFont="1" applyFill="1" applyBorder="1" applyAlignment="1" applyProtection="1">
      <alignment horizontal="right"/>
      <protection locked="0"/>
    </xf>
    <xf numFmtId="167" fontId="5" fillId="21" borderId="95" xfId="0" applyNumberFormat="1" applyFont="1" applyFill="1" applyBorder="1" applyAlignment="1" applyProtection="1">
      <alignment horizontal="left"/>
    </xf>
    <xf numFmtId="167" fontId="3" fillId="21" borderId="56" xfId="0" applyNumberFormat="1" applyFont="1" applyFill="1" applyBorder="1" applyAlignment="1" applyProtection="1">
      <alignment horizontal="left"/>
    </xf>
    <xf numFmtId="0" fontId="3" fillId="21" borderId="34" xfId="0" applyNumberFormat="1" applyFont="1" applyFill="1" applyBorder="1" applyAlignment="1" applyProtection="1">
      <alignment horizontal="center"/>
    </xf>
    <xf numFmtId="49" fontId="3" fillId="21" borderId="35" xfId="0" applyNumberFormat="1" applyFont="1" applyFill="1" applyBorder="1" applyAlignment="1" applyProtection="1">
      <alignment horizontal="center" wrapText="1"/>
    </xf>
    <xf numFmtId="3" fontId="2" fillId="9" borderId="26" xfId="0" applyNumberFormat="1" applyFont="1" applyFill="1" applyBorder="1" applyAlignment="1" applyProtection="1"/>
    <xf numFmtId="1" fontId="122" fillId="21" borderId="90" xfId="0" applyNumberFormat="1" applyFont="1" applyFill="1" applyBorder="1" applyAlignment="1" applyProtection="1">
      <alignment horizontal="left" vertical="top" wrapText="1"/>
    </xf>
    <xf numFmtId="0" fontId="3" fillId="21" borderId="196" xfId="0" applyFont="1" applyFill="1" applyBorder="1" applyAlignment="1" applyProtection="1">
      <alignment wrapText="1"/>
    </xf>
    <xf numFmtId="0" fontId="3" fillId="21" borderId="204" xfId="0" applyFont="1" applyFill="1" applyBorder="1" applyAlignment="1" applyProtection="1">
      <alignment horizontal="left" wrapText="1"/>
    </xf>
    <xf numFmtId="0" fontId="124" fillId="21" borderId="150" xfId="0" applyFont="1" applyFill="1" applyBorder="1" applyProtection="1"/>
    <xf numFmtId="3" fontId="2" fillId="3" borderId="114" xfId="0" applyNumberFormat="1" applyFont="1" applyFill="1" applyBorder="1" applyProtection="1"/>
    <xf numFmtId="3" fontId="2" fillId="3" borderId="7" xfId="0" applyNumberFormat="1" applyFont="1" applyFill="1" applyBorder="1" applyProtection="1"/>
    <xf numFmtId="3" fontId="10" fillId="2" borderId="6" xfId="0" quotePrefix="1" applyNumberFormat="1" applyFont="1" applyFill="1" applyBorder="1" applyAlignment="1" applyProtection="1">
      <alignment horizontal="right"/>
      <protection locked="0"/>
    </xf>
    <xf numFmtId="3" fontId="10" fillId="0" borderId="6" xfId="0" quotePrefix="1" applyNumberFormat="1" applyFont="1" applyFill="1" applyBorder="1" applyAlignment="1" applyProtection="1">
      <alignment horizontal="right"/>
      <protection locked="0"/>
    </xf>
    <xf numFmtId="3" fontId="2" fillId="9" borderId="176" xfId="0" applyNumberFormat="1" applyFont="1" applyFill="1" applyBorder="1" applyAlignment="1" applyProtection="1"/>
    <xf numFmtId="3" fontId="2" fillId="9" borderId="91" xfId="0" applyNumberFormat="1" applyFont="1" applyFill="1" applyBorder="1" applyAlignment="1" applyProtection="1"/>
    <xf numFmtId="1" fontId="2" fillId="0" borderId="0" xfId="0" applyNumberFormat="1" applyFont="1" applyFill="1" applyBorder="1" applyAlignment="1" applyProtection="1">
      <alignment horizontal="left" vertical="top"/>
    </xf>
    <xf numFmtId="3" fontId="2" fillId="0" borderId="18" xfId="5" applyNumberFormat="1" applyFont="1" applyFill="1" applyBorder="1" applyAlignment="1" applyProtection="1">
      <alignment horizontal="right"/>
      <protection locked="0"/>
    </xf>
    <xf numFmtId="0" fontId="3" fillId="21" borderId="23" xfId="0" applyFont="1" applyFill="1" applyBorder="1" applyAlignment="1" applyProtection="1">
      <alignment horizontal="left" vertical="top" wrapText="1"/>
    </xf>
    <xf numFmtId="0" fontId="3" fillId="21" borderId="23" xfId="5" applyFont="1" applyFill="1" applyBorder="1" applyAlignment="1" applyProtection="1">
      <alignment horizontal="left" vertical="top" wrapText="1"/>
    </xf>
    <xf numFmtId="0" fontId="2" fillId="0" borderId="0" xfId="0" quotePrefix="1" applyFont="1" applyFill="1" applyBorder="1" applyAlignment="1" applyProtection="1">
      <alignment vertical="top"/>
    </xf>
    <xf numFmtId="49" fontId="3" fillId="21" borderId="0" xfId="5" applyNumberFormat="1" applyFont="1" applyFill="1" applyBorder="1" applyAlignment="1" applyProtection="1">
      <alignment horizontal="center"/>
    </xf>
    <xf numFmtId="0" fontId="3" fillId="21" borderId="36" xfId="5" applyFont="1" applyFill="1" applyBorder="1" applyAlignment="1" applyProtection="1">
      <alignment horizontal="left" vertical="top" wrapText="1"/>
    </xf>
    <xf numFmtId="0" fontId="5" fillId="21" borderId="15" xfId="5" applyFont="1" applyFill="1" applyBorder="1" applyProtection="1"/>
    <xf numFmtId="0" fontId="3" fillId="21" borderId="42" xfId="5" applyFont="1" applyFill="1" applyBorder="1" applyProtection="1"/>
    <xf numFmtId="3" fontId="2" fillId="3" borderId="63" xfId="5" applyNumberFormat="1" applyFont="1" applyFill="1" applyBorder="1" applyAlignment="1" applyProtection="1">
      <alignment horizontal="right"/>
    </xf>
    <xf numFmtId="0" fontId="36" fillId="2" borderId="0" xfId="5" applyFont="1" applyFill="1" applyBorder="1" applyAlignment="1" applyProtection="1">
      <alignment horizontal="left" vertical="top"/>
    </xf>
    <xf numFmtId="3" fontId="2" fillId="3" borderId="84" xfId="5" applyNumberFormat="1" applyFont="1" applyFill="1" applyBorder="1" applyAlignment="1" applyProtection="1">
      <alignment horizontal="right"/>
    </xf>
    <xf numFmtId="0" fontId="5" fillId="21" borderId="118" xfId="5" applyFont="1" applyFill="1" applyBorder="1" applyAlignment="1" applyProtection="1">
      <alignment horizontal="left"/>
    </xf>
    <xf numFmtId="0" fontId="2" fillId="0" borderId="0" xfId="5" applyFont="1" applyFill="1" applyBorder="1" applyAlignment="1" applyProtection="1">
      <alignment vertical="top"/>
    </xf>
    <xf numFmtId="0" fontId="3" fillId="21" borderId="15" xfId="5" applyFont="1" applyFill="1" applyBorder="1" applyProtection="1"/>
    <xf numFmtId="3" fontId="2" fillId="0" borderId="2" xfId="5" applyNumberFormat="1" applyFont="1" applyFill="1" applyBorder="1" applyAlignment="1" applyProtection="1">
      <alignment horizontal="right"/>
      <protection locked="0"/>
    </xf>
    <xf numFmtId="3" fontId="2" fillId="0" borderId="15" xfId="5" applyNumberFormat="1" applyFont="1" applyFill="1" applyBorder="1" applyAlignment="1" applyProtection="1">
      <alignment horizontal="right"/>
      <protection locked="0"/>
    </xf>
    <xf numFmtId="3" fontId="2" fillId="0" borderId="60" xfId="5" applyNumberFormat="1" applyFont="1" applyFill="1" applyBorder="1" applyAlignment="1" applyProtection="1">
      <alignment horizontal="right"/>
      <protection locked="0"/>
    </xf>
    <xf numFmtId="0" fontId="1" fillId="2" borderId="0" xfId="5" applyFont="1" applyFill="1" applyAlignment="1" applyProtection="1">
      <alignment vertical="top"/>
    </xf>
    <xf numFmtId="3" fontId="36" fillId="2" borderId="0" xfId="5" applyNumberFormat="1" applyFont="1" applyFill="1" applyAlignment="1" applyProtection="1">
      <alignment vertical="top"/>
    </xf>
    <xf numFmtId="0" fontId="68" fillId="2" borderId="0" xfId="5" applyFont="1" applyFill="1" applyAlignment="1" applyProtection="1">
      <alignment vertical="top"/>
    </xf>
    <xf numFmtId="0" fontId="24" fillId="2" borderId="0" xfId="5" applyFill="1" applyBorder="1" applyAlignment="1" applyProtection="1">
      <alignment horizontal="left" vertical="top"/>
    </xf>
    <xf numFmtId="0" fontId="24" fillId="2" borderId="0" xfId="5" applyFill="1" applyAlignment="1" applyProtection="1">
      <alignment vertical="top"/>
    </xf>
    <xf numFmtId="0" fontId="69" fillId="2" borderId="0" xfId="5" applyFont="1" applyFill="1" applyAlignment="1" applyProtection="1">
      <alignment vertical="top"/>
    </xf>
    <xf numFmtId="3" fontId="3" fillId="21" borderId="20" xfId="0" applyNumberFormat="1" applyFont="1" applyFill="1" applyBorder="1" applyAlignment="1" applyProtection="1">
      <alignment horizontal="center"/>
    </xf>
    <xf numFmtId="3" fontId="2" fillId="21" borderId="35" xfId="5" applyNumberFormat="1" applyFont="1" applyFill="1" applyBorder="1" applyProtection="1"/>
    <xf numFmtId="3" fontId="3" fillId="21" borderId="158" xfId="5" applyNumberFormat="1" applyFont="1" applyFill="1" applyBorder="1" applyProtection="1"/>
    <xf numFmtId="0" fontId="7" fillId="21" borderId="175" xfId="5" applyFont="1" applyFill="1" applyBorder="1" applyProtection="1"/>
    <xf numFmtId="3" fontId="2" fillId="21" borderId="5" xfId="5" applyNumberFormat="1" applyFont="1" applyFill="1" applyBorder="1" applyProtection="1"/>
    <xf numFmtId="3" fontId="42" fillId="21" borderId="39" xfId="5" applyNumberFormat="1" applyFont="1" applyFill="1" applyBorder="1" applyAlignment="1" applyProtection="1">
      <alignment horizontal="right"/>
    </xf>
    <xf numFmtId="169" fontId="41" fillId="21" borderId="150" xfId="5" applyNumberFormat="1" applyFont="1" applyFill="1" applyBorder="1" applyProtection="1"/>
    <xf numFmtId="169" fontId="41" fillId="21" borderId="190" xfId="5" applyNumberFormat="1" applyFont="1" applyFill="1" applyBorder="1" applyProtection="1"/>
    <xf numFmtId="0" fontId="3" fillId="21" borderId="156" xfId="5" applyFont="1" applyFill="1" applyBorder="1" applyProtection="1"/>
    <xf numFmtId="3" fontId="5" fillId="21" borderId="111" xfId="5" applyNumberFormat="1" applyFont="1" applyFill="1" applyBorder="1" applyAlignment="1" applyProtection="1">
      <alignment vertical="top"/>
    </xf>
    <xf numFmtId="3" fontId="3" fillId="21" borderId="0" xfId="5" applyNumberFormat="1" applyFont="1" applyFill="1" applyBorder="1" applyAlignment="1" applyProtection="1">
      <alignment vertical="top"/>
    </xf>
    <xf numFmtId="169" fontId="3" fillId="21" borderId="1" xfId="5" applyNumberFormat="1" applyFont="1" applyFill="1" applyBorder="1" applyProtection="1"/>
    <xf numFmtId="3" fontId="2" fillId="21" borderId="68" xfId="5" applyNumberFormat="1" applyFont="1" applyFill="1" applyBorder="1" applyProtection="1"/>
    <xf numFmtId="3" fontId="45" fillId="21" borderId="35" xfId="5" applyNumberFormat="1" applyFont="1" applyFill="1" applyBorder="1" applyProtection="1"/>
    <xf numFmtId="3" fontId="3" fillId="21" borderId="172" xfId="5" applyNumberFormat="1" applyFont="1" applyFill="1" applyBorder="1" applyAlignment="1" applyProtection="1">
      <alignment vertical="top" wrapText="1"/>
    </xf>
    <xf numFmtId="0" fontId="3" fillId="21" borderId="168" xfId="5" applyFont="1" applyFill="1" applyBorder="1" applyAlignment="1" applyProtection="1">
      <alignment vertical="top" wrapText="1"/>
    </xf>
    <xf numFmtId="3" fontId="3" fillId="21" borderId="158" xfId="5" applyNumberFormat="1" applyFont="1" applyFill="1" applyBorder="1" applyAlignment="1" applyProtection="1">
      <alignment vertical="center"/>
    </xf>
    <xf numFmtId="0" fontId="3" fillId="21" borderId="16" xfId="5" applyFont="1" applyFill="1" applyBorder="1" applyAlignment="1" applyProtection="1">
      <alignment horizontal="left" vertical="center"/>
    </xf>
    <xf numFmtId="0" fontId="3" fillId="21" borderId="16" xfId="5" applyFont="1" applyFill="1" applyBorder="1" applyAlignment="1" applyProtection="1">
      <alignment vertical="top"/>
    </xf>
    <xf numFmtId="3" fontId="2" fillId="21" borderId="15" xfId="5" applyNumberFormat="1" applyFont="1" applyFill="1" applyBorder="1" applyProtection="1"/>
    <xf numFmtId="3" fontId="2" fillId="21" borderId="13" xfId="5" applyNumberFormat="1" applyFont="1" applyFill="1" applyBorder="1" applyProtection="1"/>
    <xf numFmtId="0" fontId="3" fillId="21" borderId="189" xfId="0" applyFont="1" applyFill="1" applyBorder="1" applyAlignment="1" applyProtection="1"/>
    <xf numFmtId="3" fontId="3" fillId="21" borderId="156" xfId="0" applyNumberFormat="1" applyFont="1" applyFill="1" applyBorder="1" applyAlignment="1" applyProtection="1"/>
    <xf numFmtId="3" fontId="3" fillId="21" borderId="158" xfId="0" applyNumberFormat="1" applyFont="1" applyFill="1" applyBorder="1" applyAlignment="1" applyProtection="1"/>
    <xf numFmtId="0" fontId="0" fillId="2" borderId="0" xfId="0" applyFill="1" applyAlignment="1" applyProtection="1"/>
    <xf numFmtId="0" fontId="3" fillId="21" borderId="118" xfId="0" applyFont="1" applyFill="1" applyBorder="1" applyAlignment="1" applyProtection="1"/>
    <xf numFmtId="3" fontId="5" fillId="21" borderId="96" xfId="0" applyNumberFormat="1" applyFont="1" applyFill="1" applyBorder="1" applyAlignment="1" applyProtection="1"/>
    <xf numFmtId="3" fontId="2" fillId="9" borderId="5" xfId="0" applyNumberFormat="1" applyFont="1" applyFill="1" applyBorder="1" applyAlignment="1" applyProtection="1"/>
    <xf numFmtId="0" fontId="3" fillId="21" borderId="56" xfId="0" applyFont="1" applyFill="1" applyBorder="1" applyAlignment="1" applyProtection="1"/>
    <xf numFmtId="0" fontId="3" fillId="21" borderId="111" xfId="5" applyFont="1" applyFill="1" applyBorder="1" applyAlignment="1" applyProtection="1"/>
    <xf numFmtId="0" fontId="3" fillId="21" borderId="62" xfId="5" applyFont="1" applyFill="1" applyBorder="1" applyAlignment="1" applyProtection="1"/>
    <xf numFmtId="0" fontId="3" fillId="21" borderId="0" xfId="0" applyFont="1" applyFill="1" applyBorder="1" applyAlignment="1" applyProtection="1"/>
    <xf numFmtId="0" fontId="3" fillId="21" borderId="167" xfId="0" applyFont="1" applyFill="1" applyBorder="1" applyAlignment="1" applyProtection="1"/>
    <xf numFmtId="0" fontId="3" fillId="21" borderId="158" xfId="0" applyFont="1" applyFill="1" applyBorder="1" applyAlignment="1" applyProtection="1"/>
    <xf numFmtId="0" fontId="3" fillId="21" borderId="147" xfId="0" applyFont="1" applyFill="1" applyBorder="1" applyAlignment="1" applyProtection="1"/>
    <xf numFmtId="0" fontId="5" fillId="21" borderId="54" xfId="0" applyFont="1" applyFill="1" applyBorder="1" applyAlignment="1" applyProtection="1"/>
    <xf numFmtId="3" fontId="2" fillId="9" borderId="35" xfId="0" applyNumberFormat="1" applyFont="1" applyFill="1" applyBorder="1" applyAlignment="1" applyProtection="1"/>
    <xf numFmtId="3" fontId="2" fillId="9" borderId="136" xfId="0" applyNumberFormat="1" applyFont="1" applyFill="1" applyBorder="1" applyAlignment="1" applyProtection="1"/>
    <xf numFmtId="0" fontId="3" fillId="21" borderId="5" xfId="0" applyFont="1" applyFill="1" applyBorder="1" applyAlignment="1" applyProtection="1"/>
    <xf numFmtId="0" fontId="5" fillId="21" borderId="5" xfId="0" applyFont="1" applyFill="1" applyBorder="1" applyAlignment="1" applyProtection="1"/>
    <xf numFmtId="0" fontId="5" fillId="21" borderId="55" xfId="0" applyFont="1" applyFill="1" applyBorder="1" applyAlignment="1" applyProtection="1"/>
    <xf numFmtId="3" fontId="2" fillId="9" borderId="2" xfId="0" applyNumberFormat="1" applyFont="1" applyFill="1" applyBorder="1" applyAlignment="1" applyProtection="1"/>
    <xf numFmtId="3" fontId="2" fillId="9" borderId="54" xfId="0" applyNumberFormat="1" applyFont="1" applyFill="1" applyBorder="1" applyAlignment="1" applyProtection="1"/>
    <xf numFmtId="0" fontId="3" fillId="21" borderId="2" xfId="0" applyFont="1" applyFill="1" applyBorder="1" applyAlignment="1" applyProtection="1"/>
    <xf numFmtId="0" fontId="5" fillId="21" borderId="2" xfId="0" applyFont="1" applyFill="1" applyBorder="1" applyAlignment="1" applyProtection="1"/>
    <xf numFmtId="0" fontId="5" fillId="21" borderId="13" xfId="0" applyFont="1" applyFill="1" applyBorder="1" applyAlignment="1" applyProtection="1"/>
    <xf numFmtId="0" fontId="10" fillId="0" borderId="0" xfId="0" applyFont="1" applyFill="1" applyBorder="1" applyAlignment="1" applyProtection="1"/>
    <xf numFmtId="0" fontId="24" fillId="0" borderId="0" xfId="0" applyFont="1" applyFill="1" applyAlignment="1" applyProtection="1"/>
    <xf numFmtId="0" fontId="24" fillId="0" borderId="0" xfId="0" applyFont="1" applyFill="1" applyBorder="1" applyAlignment="1" applyProtection="1"/>
    <xf numFmtId="1" fontId="3" fillId="21" borderId="89" xfId="0" applyNumberFormat="1" applyFont="1" applyFill="1" applyBorder="1" applyAlignment="1" applyProtection="1">
      <alignment horizontal="center" vertical="top" wrapText="1"/>
    </xf>
    <xf numFmtId="3" fontId="3" fillId="21" borderId="158" xfId="0" applyNumberFormat="1" applyFont="1" applyFill="1" applyBorder="1" applyAlignment="1" applyProtection="1">
      <alignment vertical="top"/>
    </xf>
    <xf numFmtId="3" fontId="42" fillId="0" borderId="0" xfId="5" applyNumberFormat="1" applyFont="1" applyFill="1" applyBorder="1" applyAlignment="1" applyProtection="1">
      <alignment horizontal="right"/>
    </xf>
    <xf numFmtId="3" fontId="111" fillId="2" borderId="0" xfId="0" applyNumberFormat="1" applyFont="1" applyFill="1" applyProtection="1"/>
    <xf numFmtId="3" fontId="2" fillId="0" borderId="7" xfId="0" applyNumberFormat="1" applyFont="1" applyFill="1" applyBorder="1" applyAlignment="1" applyProtection="1">
      <alignment horizontal="right"/>
      <protection locked="0"/>
    </xf>
    <xf numFmtId="0" fontId="111" fillId="2" borderId="0" xfId="0" applyFont="1" applyFill="1" applyBorder="1" applyAlignment="1" applyProtection="1">
      <alignment horizontal="left"/>
    </xf>
    <xf numFmtId="0" fontId="111" fillId="2" borderId="0" xfId="0" applyFont="1" applyFill="1" applyBorder="1" applyAlignment="1" applyProtection="1"/>
    <xf numFmtId="3" fontId="42" fillId="0" borderId="124" xfId="5" applyNumberFormat="1" applyFont="1" applyFill="1" applyBorder="1" applyAlignment="1" applyProtection="1">
      <alignment horizontal="right"/>
    </xf>
    <xf numFmtId="49" fontId="3" fillId="21" borderId="130" xfId="0" applyNumberFormat="1" applyFont="1" applyFill="1" applyBorder="1" applyAlignment="1" applyProtection="1">
      <alignment horizontal="left"/>
    </xf>
    <xf numFmtId="49" fontId="3" fillId="21" borderId="170" xfId="0" applyNumberFormat="1" applyFont="1" applyFill="1" applyBorder="1" applyProtection="1"/>
    <xf numFmtId="3" fontId="10" fillId="28" borderId="160" xfId="0" applyNumberFormat="1" applyFont="1" applyFill="1" applyBorder="1" applyProtection="1"/>
    <xf numFmtId="3" fontId="10" fillId="28" borderId="68" xfId="0" applyNumberFormat="1" applyFont="1" applyFill="1" applyBorder="1" applyProtection="1"/>
    <xf numFmtId="3" fontId="10" fillId="28" borderId="69" xfId="0" applyNumberFormat="1" applyFont="1" applyFill="1" applyBorder="1" applyProtection="1"/>
    <xf numFmtId="1" fontId="3" fillId="21" borderId="211" xfId="0" applyNumberFormat="1" applyFont="1" applyFill="1" applyBorder="1" applyAlignment="1" applyProtection="1">
      <alignment horizontal="left"/>
    </xf>
    <xf numFmtId="1" fontId="3" fillId="21" borderId="211" xfId="0" applyNumberFormat="1" applyFont="1" applyFill="1" applyBorder="1" applyProtection="1"/>
    <xf numFmtId="1" fontId="2" fillId="21" borderId="212" xfId="0" applyNumberFormat="1" applyFont="1" applyFill="1" applyBorder="1" applyAlignment="1" applyProtection="1"/>
    <xf numFmtId="1" fontId="125" fillId="21" borderId="214" xfId="0" applyNumberFormat="1" applyFont="1" applyFill="1" applyBorder="1" applyProtection="1"/>
    <xf numFmtId="1" fontId="126" fillId="21" borderId="213" xfId="0" applyNumberFormat="1" applyFont="1" applyFill="1" applyBorder="1" applyAlignment="1" applyProtection="1"/>
    <xf numFmtId="1" fontId="125" fillId="21" borderId="215" xfId="0" applyNumberFormat="1" applyFont="1" applyFill="1" applyBorder="1" applyProtection="1"/>
    <xf numFmtId="1" fontId="125" fillId="21" borderId="216" xfId="0" applyNumberFormat="1" applyFont="1" applyFill="1" applyBorder="1" applyProtection="1"/>
    <xf numFmtId="1" fontId="126" fillId="21" borderId="178" xfId="0" applyNumberFormat="1" applyFont="1" applyFill="1" applyBorder="1" applyAlignment="1" applyProtection="1"/>
    <xf numFmtId="1" fontId="126" fillId="21" borderId="39" xfId="0" applyNumberFormat="1" applyFont="1" applyFill="1" applyBorder="1" applyAlignment="1" applyProtection="1"/>
    <xf numFmtId="1" fontId="126" fillId="21" borderId="59" xfId="0" applyNumberFormat="1" applyFont="1" applyFill="1" applyBorder="1" applyAlignment="1" applyProtection="1"/>
    <xf numFmtId="1" fontId="126" fillId="21" borderId="0" xfId="0" applyNumberFormat="1" applyFont="1" applyFill="1" applyBorder="1" applyAlignment="1" applyProtection="1"/>
    <xf numFmtId="0" fontId="118" fillId="21" borderId="39" xfId="0" applyNumberFormat="1" applyFont="1" applyFill="1" applyBorder="1" applyAlignment="1" applyProtection="1"/>
    <xf numFmtId="0" fontId="118" fillId="21" borderId="66" xfId="0" applyNumberFormat="1" applyFont="1" applyFill="1" applyBorder="1" applyAlignment="1" applyProtection="1"/>
    <xf numFmtId="0" fontId="118" fillId="21" borderId="178" xfId="0" applyNumberFormat="1" applyFont="1" applyFill="1" applyBorder="1" applyAlignment="1" applyProtection="1"/>
    <xf numFmtId="49" fontId="126" fillId="21" borderId="39" xfId="0" applyNumberFormat="1" applyFont="1" applyFill="1" applyBorder="1" applyAlignment="1" applyProtection="1"/>
    <xf numFmtId="0" fontId="118" fillId="21" borderId="59" xfId="0" applyNumberFormat="1" applyFont="1" applyFill="1" applyBorder="1" applyAlignment="1" applyProtection="1"/>
    <xf numFmtId="3" fontId="2" fillId="2" borderId="91" xfId="0" applyNumberFormat="1" applyFont="1" applyFill="1" applyBorder="1" applyAlignment="1" applyProtection="1">
      <alignment horizontal="right"/>
      <protection locked="0"/>
    </xf>
    <xf numFmtId="0" fontId="24" fillId="21" borderId="159" xfId="5" applyFont="1" applyFill="1" applyBorder="1" applyAlignment="1" applyProtection="1">
      <alignment horizontal="left" wrapText="1"/>
    </xf>
    <xf numFmtId="169" fontId="41" fillId="21" borderId="159" xfId="5" applyNumberFormat="1" applyFont="1" applyFill="1" applyBorder="1" applyProtection="1"/>
    <xf numFmtId="0" fontId="24" fillId="21" borderId="159" xfId="5" applyFill="1" applyBorder="1" applyProtection="1"/>
    <xf numFmtId="3" fontId="42" fillId="21" borderId="159" xfId="5" applyNumberFormat="1" applyFont="1" applyFill="1" applyBorder="1" applyProtection="1"/>
    <xf numFmtId="3" fontId="2" fillId="21" borderId="32" xfId="5" applyNumberFormat="1" applyFont="1" applyFill="1" applyBorder="1" applyAlignment="1" applyProtection="1">
      <alignment horizontal="right"/>
    </xf>
    <xf numFmtId="3" fontId="2" fillId="21" borderId="31" xfId="5" applyNumberFormat="1" applyFont="1" applyFill="1" applyBorder="1" applyAlignment="1" applyProtection="1">
      <alignment horizontal="right"/>
    </xf>
    <xf numFmtId="3" fontId="2" fillId="21" borderId="33" xfId="5" applyNumberFormat="1" applyFont="1" applyFill="1" applyBorder="1" applyAlignment="1" applyProtection="1">
      <alignment horizontal="right"/>
    </xf>
    <xf numFmtId="3" fontId="2" fillId="21" borderId="119" xfId="5" applyNumberFormat="1" applyFont="1" applyFill="1" applyBorder="1" applyAlignment="1" applyProtection="1">
      <alignment horizontal="right"/>
    </xf>
    <xf numFmtId="3" fontId="2" fillId="21" borderId="103" xfId="5" applyNumberFormat="1" applyFont="1" applyFill="1" applyBorder="1" applyAlignment="1" applyProtection="1">
      <alignment horizontal="right"/>
    </xf>
    <xf numFmtId="3" fontId="2" fillId="21" borderId="210" xfId="5" applyNumberFormat="1" applyFont="1" applyFill="1" applyBorder="1" applyAlignment="1" applyProtection="1">
      <alignment horizontal="right"/>
    </xf>
    <xf numFmtId="3" fontId="2" fillId="21" borderId="207" xfId="5" applyNumberFormat="1" applyFont="1" applyFill="1" applyBorder="1" applyAlignment="1" applyProtection="1">
      <alignment horizontal="right"/>
    </xf>
    <xf numFmtId="3" fontId="2" fillId="21" borderId="33" xfId="5" applyNumberFormat="1" applyFont="1" applyFill="1" applyBorder="1" applyProtection="1"/>
    <xf numFmtId="0" fontId="24" fillId="21" borderId="179" xfId="5" applyFill="1" applyBorder="1" applyProtection="1"/>
    <xf numFmtId="3" fontId="45" fillId="22" borderId="130" xfId="0" applyNumberFormat="1" applyFont="1" applyFill="1" applyBorder="1" applyProtection="1"/>
    <xf numFmtId="0" fontId="0" fillId="0" borderId="57" xfId="0" applyFill="1" applyBorder="1" applyProtection="1"/>
    <xf numFmtId="0" fontId="0" fillId="0" borderId="0" xfId="0" applyBorder="1" applyAlignment="1" applyProtection="1">
      <alignment wrapText="1"/>
      <protection locked="0"/>
    </xf>
    <xf numFmtId="3" fontId="2" fillId="0" borderId="19" xfId="0" applyNumberFormat="1" applyFont="1" applyFill="1" applyBorder="1" applyAlignment="1" applyProtection="1">
      <alignment horizontal="right"/>
      <protection locked="0"/>
    </xf>
    <xf numFmtId="3" fontId="3" fillId="21" borderId="56" xfId="0" applyNumberFormat="1" applyFont="1" applyFill="1" applyBorder="1" applyAlignment="1" applyProtection="1">
      <alignment horizontal="left" wrapText="1"/>
    </xf>
    <xf numFmtId="3" fontId="3" fillId="21" borderId="56" xfId="0" applyNumberFormat="1" applyFont="1" applyFill="1" applyBorder="1" applyAlignment="1" applyProtection="1">
      <alignment horizontal="left" vertical="top"/>
    </xf>
    <xf numFmtId="3" fontId="3" fillId="21" borderId="147" xfId="0" applyNumberFormat="1" applyFont="1" applyFill="1" applyBorder="1" applyAlignment="1" applyProtection="1">
      <alignment horizontal="left" vertical="top"/>
    </xf>
    <xf numFmtId="171" fontId="3" fillId="21" borderId="218" xfId="0" applyNumberFormat="1" applyFont="1" applyFill="1" applyBorder="1" applyAlignment="1" applyProtection="1">
      <alignment horizontal="left"/>
    </xf>
    <xf numFmtId="3" fontId="13" fillId="2" borderId="147" xfId="0" applyNumberFormat="1" applyFont="1" applyFill="1" applyBorder="1" applyAlignment="1" applyProtection="1">
      <alignment horizontal="right"/>
      <protection locked="0"/>
    </xf>
    <xf numFmtId="3" fontId="2" fillId="3" borderId="219" xfId="0" applyNumberFormat="1" applyFont="1" applyFill="1" applyBorder="1" applyAlignment="1" applyProtection="1">
      <alignment horizontal="right"/>
    </xf>
    <xf numFmtId="3" fontId="13" fillId="6" borderId="147" xfId="0" applyNumberFormat="1" applyFont="1" applyFill="1" applyBorder="1" applyAlignment="1" applyProtection="1">
      <alignment horizontal="right"/>
      <protection locked="0"/>
    </xf>
    <xf numFmtId="3" fontId="2" fillId="21" borderId="218" xfId="0" applyNumberFormat="1" applyFont="1" applyFill="1" applyBorder="1" applyAlignment="1" applyProtection="1">
      <alignment horizontal="right"/>
    </xf>
    <xf numFmtId="3" fontId="2" fillId="3" borderId="147" xfId="0" applyNumberFormat="1" applyFont="1" applyFill="1" applyBorder="1" applyAlignment="1" applyProtection="1">
      <alignment horizontal="right"/>
    </xf>
    <xf numFmtId="3" fontId="2" fillId="3" borderId="209" xfId="0" applyNumberFormat="1" applyFont="1" applyFill="1" applyBorder="1" applyAlignment="1" applyProtection="1">
      <alignment horizontal="right"/>
    </xf>
    <xf numFmtId="3" fontId="13" fillId="2" borderId="86" xfId="0" applyNumberFormat="1" applyFont="1" applyFill="1" applyBorder="1" applyAlignment="1" applyProtection="1">
      <alignment horizontal="right"/>
      <protection locked="0"/>
    </xf>
    <xf numFmtId="3" fontId="2" fillId="3" borderId="199" xfId="0" applyNumberFormat="1" applyFont="1" applyFill="1" applyBorder="1" applyAlignment="1" applyProtection="1">
      <alignment horizontal="right"/>
    </xf>
    <xf numFmtId="3" fontId="5" fillId="0" borderId="58" xfId="0" applyNumberFormat="1" applyFont="1" applyFill="1" applyBorder="1" applyAlignment="1" applyProtection="1">
      <alignment horizontal="left"/>
    </xf>
    <xf numFmtId="3" fontId="3" fillId="0" borderId="0" xfId="0" applyNumberFormat="1" applyFont="1" applyFill="1" applyBorder="1" applyAlignment="1" applyProtection="1">
      <alignment horizontal="left"/>
    </xf>
    <xf numFmtId="3" fontId="5" fillId="0" borderId="58" xfId="0" applyNumberFormat="1" applyFont="1" applyFill="1" applyBorder="1" applyAlignment="1" applyProtection="1">
      <alignment horizontal="left" vertical="top" wrapText="1"/>
    </xf>
    <xf numFmtId="3" fontId="3" fillId="0" borderId="0" xfId="0" applyNumberFormat="1" applyFont="1" applyFill="1" applyBorder="1" applyAlignment="1" applyProtection="1">
      <alignment horizontal="left" wrapText="1"/>
    </xf>
    <xf numFmtId="0" fontId="5" fillId="0" borderId="58" xfId="0" applyFont="1" applyFill="1" applyBorder="1" applyAlignment="1" applyProtection="1">
      <alignment horizontal="left"/>
    </xf>
    <xf numFmtId="3" fontId="3" fillId="0" borderId="0" xfId="0" applyNumberFormat="1" applyFont="1" applyFill="1" applyBorder="1" applyAlignment="1" applyProtection="1">
      <alignment horizontal="left" vertical="top"/>
    </xf>
    <xf numFmtId="3" fontId="3" fillId="0" borderId="58" xfId="0" applyNumberFormat="1" applyFont="1" applyFill="1" applyBorder="1" applyAlignment="1" applyProtection="1">
      <alignment horizontal="left" vertical="top" wrapText="1"/>
    </xf>
    <xf numFmtId="171" fontId="3" fillId="0" borderId="58" xfId="0" applyNumberFormat="1" applyFont="1" applyFill="1" applyBorder="1" applyAlignment="1" applyProtection="1">
      <alignment horizontal="left"/>
    </xf>
    <xf numFmtId="171" fontId="3" fillId="0" borderId="0" xfId="0" applyNumberFormat="1" applyFont="1" applyFill="1" applyBorder="1" applyAlignment="1" applyProtection="1">
      <alignment horizontal="left"/>
    </xf>
    <xf numFmtId="3" fontId="111" fillId="0" borderId="0" xfId="0" applyNumberFormat="1" applyFont="1" applyFill="1" applyBorder="1" applyAlignment="1" applyProtection="1">
      <alignment horizontal="right"/>
    </xf>
    <xf numFmtId="0" fontId="2" fillId="0" borderId="0" xfId="0" applyFont="1" applyBorder="1" applyAlignment="1" applyProtection="1"/>
    <xf numFmtId="0" fontId="0" fillId="0" borderId="0" xfId="0" applyBorder="1" applyAlignment="1">
      <alignment wrapText="1"/>
    </xf>
    <xf numFmtId="0" fontId="0" fillId="0" borderId="0" xfId="0" applyBorder="1" applyAlignment="1" applyProtection="1">
      <alignment vertical="top"/>
    </xf>
    <xf numFmtId="0" fontId="3" fillId="0" borderId="0" xfId="0" applyFont="1" applyBorder="1" applyAlignment="1" applyProtection="1"/>
    <xf numFmtId="49" fontId="3" fillId="21" borderId="91" xfId="0" applyNumberFormat="1" applyFont="1" applyFill="1" applyBorder="1" applyAlignment="1" applyProtection="1">
      <alignment horizontal="center"/>
    </xf>
    <xf numFmtId="49" fontId="3" fillId="21" borderId="177" xfId="0" applyNumberFormat="1" applyFont="1" applyFill="1" applyBorder="1" applyAlignment="1" applyProtection="1">
      <alignment horizontal="left"/>
    </xf>
    <xf numFmtId="0" fontId="2" fillId="21" borderId="110" xfId="0" applyFont="1" applyFill="1" applyBorder="1" applyProtection="1"/>
    <xf numFmtId="49" fontId="3" fillId="21" borderId="71" xfId="0" applyNumberFormat="1" applyFont="1" applyFill="1" applyBorder="1" applyAlignment="1" applyProtection="1">
      <alignment horizontal="left"/>
    </xf>
    <xf numFmtId="49" fontId="3" fillId="21" borderId="25" xfId="0" applyNumberFormat="1" applyFont="1" applyFill="1" applyBorder="1" applyAlignment="1" applyProtection="1">
      <alignment horizontal="center"/>
    </xf>
    <xf numFmtId="0" fontId="3" fillId="21" borderId="117" xfId="0" applyNumberFormat="1" applyFont="1" applyFill="1" applyBorder="1" applyAlignment="1" applyProtection="1">
      <alignment horizontal="center" vertical="top" wrapText="1"/>
    </xf>
    <xf numFmtId="0" fontId="111" fillId="0" borderId="58" xfId="0" applyNumberFormat="1" applyFont="1" applyFill="1" applyBorder="1" applyAlignment="1" applyProtection="1">
      <alignment horizontal="left"/>
    </xf>
    <xf numFmtId="0" fontId="2" fillId="21" borderId="98" xfId="0" applyFont="1" applyFill="1" applyBorder="1" applyAlignment="1" applyProtection="1">
      <alignment horizontal="left" vertical="top" wrapText="1"/>
    </xf>
    <xf numFmtId="0" fontId="36" fillId="0" borderId="0" xfId="0" applyFont="1" applyFill="1" applyAlignment="1" applyProtection="1"/>
    <xf numFmtId="0" fontId="3" fillId="21" borderId="111" xfId="5" applyFont="1" applyFill="1" applyBorder="1" applyAlignment="1" applyProtection="1">
      <alignment horizontal="left" vertical="top"/>
    </xf>
    <xf numFmtId="3" fontId="45" fillId="21" borderId="9" xfId="5" applyNumberFormat="1" applyFont="1" applyFill="1" applyBorder="1" applyAlignment="1" applyProtection="1">
      <alignment horizontal="right"/>
    </xf>
    <xf numFmtId="0" fontId="3" fillId="21" borderId="3" xfId="0" applyFont="1" applyFill="1" applyBorder="1" applyAlignment="1" applyProtection="1">
      <alignment vertical="top" wrapText="1"/>
    </xf>
    <xf numFmtId="3" fontId="2" fillId="2" borderId="220" xfId="0" applyNumberFormat="1" applyFont="1" applyFill="1" applyBorder="1" applyProtection="1">
      <protection locked="0"/>
    </xf>
    <xf numFmtId="3" fontId="2" fillId="2" borderId="110" xfId="0" applyNumberFormat="1" applyFont="1" applyFill="1" applyBorder="1" applyProtection="1">
      <protection locked="0"/>
    </xf>
    <xf numFmtId="3" fontId="2" fillId="0" borderId="34" xfId="0" applyNumberFormat="1" applyFont="1" applyFill="1" applyBorder="1" applyProtection="1">
      <protection locked="0"/>
    </xf>
    <xf numFmtId="3" fontId="2" fillId="0" borderId="114" xfId="0" applyNumberFormat="1" applyFont="1" applyFill="1" applyBorder="1" applyProtection="1">
      <protection locked="0"/>
    </xf>
    <xf numFmtId="3" fontId="13" fillId="0" borderId="22"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21" xfId="0" applyNumberFormat="1" applyFont="1" applyFill="1" applyBorder="1" applyAlignment="1" applyProtection="1">
      <alignment horizontal="right"/>
      <protection locked="0"/>
    </xf>
    <xf numFmtId="3" fontId="13" fillId="0" borderId="2" xfId="0" applyNumberFormat="1" applyFont="1" applyFill="1" applyBorder="1" applyAlignment="1" applyProtection="1">
      <alignment horizontal="right"/>
      <protection locked="0"/>
    </xf>
    <xf numFmtId="3" fontId="13" fillId="28" borderId="29" xfId="0" applyNumberFormat="1" applyFont="1" applyFill="1" applyBorder="1" applyAlignment="1" applyProtection="1">
      <alignment horizontal="right"/>
    </xf>
    <xf numFmtId="3" fontId="2" fillId="21" borderId="94" xfId="0" applyNumberFormat="1" applyFont="1" applyFill="1" applyBorder="1" applyAlignment="1" applyProtection="1">
      <alignment horizontal="right"/>
    </xf>
    <xf numFmtId="0" fontId="111" fillId="0" borderId="0" xfId="0" applyNumberFormat="1" applyFont="1" applyFill="1" applyBorder="1" applyAlignment="1" applyProtection="1">
      <alignment horizontal="left"/>
    </xf>
    <xf numFmtId="3" fontId="2" fillId="3" borderId="85" xfId="0" applyNumberFormat="1" applyFont="1" applyFill="1" applyBorder="1" applyAlignment="1" applyProtection="1">
      <alignment horizontal="right"/>
    </xf>
    <xf numFmtId="0" fontId="24" fillId="0" borderId="0" xfId="0" quotePrefix="1" applyFont="1" applyBorder="1" applyAlignment="1" applyProtection="1">
      <alignment vertical="top" wrapText="1"/>
    </xf>
    <xf numFmtId="0" fontId="3" fillId="0" borderId="0" xfId="0" applyFont="1" applyAlignment="1" applyProtection="1"/>
    <xf numFmtId="0" fontId="2" fillId="0" borderId="0" xfId="0" applyFont="1" applyBorder="1" applyAlignment="1" applyProtection="1">
      <alignment wrapText="1"/>
    </xf>
    <xf numFmtId="3" fontId="3" fillId="21" borderId="20" xfId="5" applyNumberFormat="1" applyFont="1" applyFill="1" applyBorder="1" applyAlignment="1" applyProtection="1">
      <alignment horizontal="center"/>
    </xf>
    <xf numFmtId="3" fontId="125" fillId="22" borderId="42" xfId="0" applyNumberFormat="1" applyFont="1" applyFill="1" applyBorder="1" applyAlignment="1" applyProtection="1">
      <alignment horizontal="right"/>
    </xf>
    <xf numFmtId="3" fontId="2" fillId="33" borderId="113" xfId="5" applyNumberFormat="1" applyFont="1" applyFill="1" applyBorder="1" applyProtection="1"/>
    <xf numFmtId="3" fontId="2" fillId="33" borderId="5" xfId="5" applyNumberFormat="1" applyFont="1" applyFill="1" applyBorder="1" applyAlignment="1" applyProtection="1">
      <alignment horizontal="right"/>
    </xf>
    <xf numFmtId="3" fontId="2" fillId="33" borderId="70" xfId="5" applyNumberFormat="1" applyFont="1" applyFill="1" applyBorder="1" applyAlignment="1" applyProtection="1">
      <alignment horizontal="right"/>
    </xf>
    <xf numFmtId="3" fontId="2" fillId="33" borderId="25" xfId="5" applyNumberFormat="1" applyFont="1" applyFill="1" applyBorder="1" applyAlignment="1" applyProtection="1">
      <alignment horizontal="right"/>
    </xf>
    <xf numFmtId="3" fontId="111" fillId="21" borderId="14" xfId="0" applyNumberFormat="1" applyFont="1" applyFill="1" applyBorder="1" applyProtection="1"/>
    <xf numFmtId="3" fontId="113" fillId="21" borderId="9" xfId="0" applyNumberFormat="1" applyFont="1" applyFill="1" applyBorder="1" applyProtection="1"/>
    <xf numFmtId="3" fontId="114" fillId="21" borderId="9" xfId="0" applyNumberFormat="1" applyFont="1" applyFill="1" applyBorder="1" applyProtection="1"/>
    <xf numFmtId="3" fontId="114" fillId="21" borderId="5" xfId="0" applyNumberFormat="1" applyFont="1" applyFill="1" applyBorder="1" applyProtection="1"/>
    <xf numFmtId="0" fontId="111" fillId="0" borderId="0" xfId="0" applyNumberFormat="1" applyFont="1" applyFill="1" applyBorder="1" applyAlignment="1" applyProtection="1"/>
    <xf numFmtId="0" fontId="0" fillId="0" borderId="0" xfId="0" applyFill="1" applyBorder="1" applyAlignment="1" applyProtection="1">
      <alignment vertical="top" wrapText="1"/>
    </xf>
    <xf numFmtId="3" fontId="3" fillId="21" borderId="15" xfId="5" applyNumberFormat="1" applyFont="1" applyFill="1" applyBorder="1" applyAlignment="1" applyProtection="1">
      <alignment vertical="top" wrapText="1"/>
    </xf>
    <xf numFmtId="3" fontId="3" fillId="21" borderId="158" xfId="5" applyNumberFormat="1" applyFont="1" applyFill="1" applyBorder="1" applyAlignment="1" applyProtection="1">
      <alignment vertical="center" wrapText="1"/>
    </xf>
    <xf numFmtId="49" fontId="3" fillId="21" borderId="70" xfId="0" applyNumberFormat="1" applyFont="1" applyFill="1" applyBorder="1" applyAlignment="1" applyProtection="1">
      <alignment horizontal="center"/>
    </xf>
    <xf numFmtId="167" fontId="5" fillId="21" borderId="88" xfId="0" applyNumberFormat="1" applyFont="1" applyFill="1" applyBorder="1" applyAlignment="1" applyProtection="1">
      <alignment horizontal="left"/>
    </xf>
    <xf numFmtId="167" fontId="3" fillId="21" borderId="60" xfId="0" applyNumberFormat="1" applyFont="1" applyFill="1" applyBorder="1" applyAlignment="1" applyProtection="1">
      <alignment horizontal="left"/>
    </xf>
    <xf numFmtId="0" fontId="5" fillId="21" borderId="88" xfId="0" applyFont="1" applyFill="1" applyBorder="1" applyAlignment="1" applyProtection="1">
      <alignment horizontal="left"/>
    </xf>
    <xf numFmtId="0" fontId="123" fillId="21" borderId="101" xfId="0" applyFont="1" applyFill="1" applyBorder="1" applyAlignment="1" applyProtection="1">
      <alignment vertical="top" wrapText="1"/>
    </xf>
    <xf numFmtId="0" fontId="123" fillId="21" borderId="88" xfId="0" applyFont="1" applyFill="1" applyBorder="1" applyAlignment="1" applyProtection="1">
      <alignment vertical="top" wrapText="1"/>
    </xf>
    <xf numFmtId="49" fontId="3" fillId="21" borderId="22" xfId="5" applyNumberFormat="1" applyFont="1" applyFill="1" applyBorder="1" applyAlignment="1" applyProtection="1">
      <alignment horizontal="center"/>
    </xf>
    <xf numFmtId="0" fontId="5" fillId="21" borderId="84" xfId="5" applyFont="1" applyFill="1" applyBorder="1" applyProtection="1"/>
    <xf numFmtId="3" fontId="5" fillId="21" borderId="118" xfId="5" applyNumberFormat="1" applyFont="1" applyFill="1" applyBorder="1" applyAlignment="1" applyProtection="1">
      <alignment horizontal="left" vertical="top" wrapText="1"/>
    </xf>
    <xf numFmtId="3" fontId="5" fillId="21" borderId="88" xfId="5" applyNumberFormat="1" applyFont="1" applyFill="1" applyBorder="1" applyAlignment="1" applyProtection="1">
      <alignment horizontal="left" vertical="top" wrapText="1"/>
    </xf>
    <xf numFmtId="3" fontId="5" fillId="21" borderId="60" xfId="5" applyNumberFormat="1" applyFont="1" applyFill="1" applyBorder="1" applyAlignment="1" applyProtection="1">
      <alignment horizontal="left"/>
    </xf>
    <xf numFmtId="3" fontId="5" fillId="21" borderId="60" xfId="5" quotePrefix="1" applyNumberFormat="1" applyFont="1" applyFill="1" applyBorder="1" applyAlignment="1" applyProtection="1">
      <alignment horizontal="left" vertical="top"/>
    </xf>
    <xf numFmtId="0" fontId="3" fillId="21" borderId="42" xfId="5" applyFont="1" applyFill="1" applyBorder="1" applyAlignment="1" applyProtection="1">
      <alignment horizontal="center" wrapText="1"/>
    </xf>
    <xf numFmtId="3" fontId="3" fillId="21" borderId="90" xfId="5" applyNumberFormat="1" applyFont="1" applyFill="1" applyBorder="1" applyAlignment="1" applyProtection="1">
      <alignment horizontal="center" wrapText="1"/>
    </xf>
    <xf numFmtId="3" fontId="5" fillId="21" borderId="189" xfId="5" applyNumberFormat="1" applyFont="1" applyFill="1" applyBorder="1" applyProtection="1"/>
    <xf numFmtId="3" fontId="5" fillId="21" borderId="0" xfId="5" applyNumberFormat="1" applyFont="1" applyFill="1" applyBorder="1" applyAlignment="1" applyProtection="1">
      <alignment vertical="center"/>
    </xf>
    <xf numFmtId="3" fontId="3" fillId="21" borderId="189" xfId="0" applyNumberFormat="1" applyFont="1" applyFill="1" applyBorder="1" applyAlignment="1" applyProtection="1"/>
    <xf numFmtId="49" fontId="3" fillId="21" borderId="2" xfId="0" applyNumberFormat="1" applyFont="1" applyFill="1" applyBorder="1" applyAlignment="1" applyProtection="1">
      <alignment horizontal="left" vertical="top" wrapText="1"/>
    </xf>
    <xf numFmtId="3" fontId="2" fillId="0" borderId="124" xfId="0" applyNumberFormat="1" applyFont="1" applyFill="1" applyBorder="1" applyAlignment="1" applyProtection="1">
      <alignment horizontal="right"/>
      <protection locked="0"/>
    </xf>
    <xf numFmtId="49" fontId="3" fillId="0" borderId="124" xfId="0" applyNumberFormat="1" applyFont="1" applyFill="1" applyBorder="1" applyAlignment="1" applyProtection="1">
      <alignment horizontal="center"/>
    </xf>
    <xf numFmtId="0" fontId="3" fillId="0" borderId="124" xfId="0" applyFont="1" applyFill="1" applyBorder="1" applyProtection="1"/>
    <xf numFmtId="0" fontId="1" fillId="0" borderId="124" xfId="0" applyFont="1" applyFill="1" applyBorder="1" applyProtection="1"/>
    <xf numFmtId="3" fontId="5" fillId="21" borderId="217" xfId="5" applyNumberFormat="1" applyFont="1" applyFill="1" applyBorder="1" applyAlignment="1" applyProtection="1">
      <alignment horizontal="left" vertical="center" wrapText="1"/>
    </xf>
    <xf numFmtId="0" fontId="129" fillId="21" borderId="2" xfId="5" applyFont="1" applyFill="1" applyBorder="1" applyAlignment="1" applyProtection="1">
      <alignment horizontal="left"/>
    </xf>
    <xf numFmtId="49" fontId="101" fillId="21" borderId="22" xfId="0" applyNumberFormat="1" applyFont="1" applyFill="1" applyBorder="1" applyAlignment="1" applyProtection="1">
      <alignment horizontal="center"/>
    </xf>
    <xf numFmtId="0" fontId="101" fillId="21" borderId="24" xfId="0" applyFont="1" applyFill="1" applyBorder="1" applyAlignment="1" applyProtection="1">
      <alignment horizontal="center"/>
    </xf>
    <xf numFmtId="49" fontId="129" fillId="21" borderId="22" xfId="5" applyNumberFormat="1" applyFont="1" applyFill="1" applyBorder="1" applyAlignment="1" applyProtection="1">
      <alignment horizontal="center"/>
    </xf>
    <xf numFmtId="49" fontId="129" fillId="21" borderId="24" xfId="5" applyNumberFormat="1" applyFont="1" applyFill="1" applyBorder="1" applyAlignment="1" applyProtection="1">
      <alignment horizontal="center"/>
    </xf>
    <xf numFmtId="49" fontId="129" fillId="21" borderId="142" xfId="0" applyNumberFormat="1" applyFont="1" applyFill="1" applyBorder="1" applyAlignment="1" applyProtection="1">
      <alignment horizontal="center"/>
    </xf>
    <xf numFmtId="49" fontId="129" fillId="21" borderId="146" xfId="5" applyNumberFormat="1" applyFont="1" applyFill="1" applyBorder="1" applyAlignment="1" applyProtection="1">
      <alignment horizontal="center"/>
    </xf>
    <xf numFmtId="0" fontId="130" fillId="21" borderId="9" xfId="0" applyFont="1" applyFill="1" applyBorder="1" applyAlignment="1" applyProtection="1">
      <alignment horizontal="left"/>
    </xf>
    <xf numFmtId="3" fontId="2" fillId="22" borderId="20" xfId="0" applyNumberFormat="1" applyFont="1" applyFill="1" applyBorder="1" applyProtection="1"/>
    <xf numFmtId="3" fontId="2" fillId="9" borderId="179" xfId="0" applyNumberFormat="1" applyFont="1" applyFill="1" applyBorder="1" applyProtection="1"/>
    <xf numFmtId="3" fontId="2" fillId="21" borderId="32" xfId="0" applyNumberFormat="1" applyFont="1" applyFill="1" applyBorder="1" applyAlignment="1" applyProtection="1">
      <alignment horizontal="right"/>
    </xf>
    <xf numFmtId="3" fontId="2" fillId="0" borderId="19" xfId="0" applyNumberFormat="1" applyFont="1" applyFill="1" applyBorder="1" applyProtection="1">
      <protection locked="0"/>
    </xf>
    <xf numFmtId="3" fontId="2" fillId="0" borderId="26" xfId="0" applyNumberFormat="1" applyFont="1" applyFill="1" applyBorder="1" applyProtection="1">
      <protection locked="0"/>
    </xf>
    <xf numFmtId="0" fontId="63" fillId="21" borderId="27" xfId="0" applyFont="1" applyFill="1" applyBorder="1" applyAlignment="1">
      <alignment horizontal="right" wrapText="1"/>
    </xf>
    <xf numFmtId="0" fontId="0" fillId="21" borderId="0" xfId="0" applyFill="1" applyAlignment="1"/>
    <xf numFmtId="0" fontId="129" fillId="21" borderId="0" xfId="0" applyFont="1" applyFill="1" applyAlignment="1">
      <alignment wrapText="1"/>
    </xf>
    <xf numFmtId="0" fontId="129" fillId="21" borderId="213" xfId="0" applyFont="1" applyFill="1" applyBorder="1" applyAlignment="1">
      <alignment wrapText="1"/>
    </xf>
    <xf numFmtId="0" fontId="131" fillId="21" borderId="0" xfId="0" applyFont="1" applyFill="1" applyAlignment="1">
      <alignment vertical="top" wrapText="1"/>
    </xf>
    <xf numFmtId="0" fontId="131" fillId="21" borderId="0" xfId="0" applyFont="1" applyFill="1" applyAlignment="1">
      <alignment wrapText="1"/>
    </xf>
    <xf numFmtId="0" fontId="130" fillId="21" borderId="0" xfId="0" applyFont="1" applyFill="1" applyAlignment="1">
      <alignment wrapText="1"/>
    </xf>
    <xf numFmtId="0" fontId="111" fillId="21" borderId="0" xfId="0" applyFont="1" applyFill="1" applyBorder="1" applyAlignment="1" applyProtection="1">
      <alignment wrapText="1"/>
    </xf>
    <xf numFmtId="0" fontId="0" fillId="21" borderId="0" xfId="0" applyFill="1" applyAlignment="1">
      <alignment wrapText="1"/>
    </xf>
    <xf numFmtId="0" fontId="0" fillId="21" borderId="0" xfId="0" applyFill="1" applyAlignment="1">
      <alignment horizontal="left" vertical="top" wrapText="1"/>
    </xf>
    <xf numFmtId="0" fontId="129" fillId="21" borderId="39" xfId="0" applyFont="1" applyFill="1" applyBorder="1" applyAlignment="1">
      <alignment wrapText="1"/>
    </xf>
    <xf numFmtId="0" fontId="7" fillId="21" borderId="0" xfId="0" applyFont="1" applyFill="1" applyAlignment="1">
      <alignment wrapText="1"/>
    </xf>
    <xf numFmtId="0" fontId="36" fillId="0" borderId="0" xfId="0" quotePrefix="1" applyFont="1" applyFill="1" applyProtection="1"/>
    <xf numFmtId="0" fontId="100" fillId="0" borderId="0" xfId="0" applyFont="1" applyFill="1" applyAlignment="1" applyProtection="1">
      <alignment wrapText="1"/>
    </xf>
    <xf numFmtId="0" fontId="112" fillId="0" borderId="0" xfId="0" applyFont="1" applyFill="1" applyAlignment="1" applyProtection="1">
      <alignment vertical="top" wrapText="1"/>
    </xf>
    <xf numFmtId="1" fontId="111" fillId="0" borderId="58" xfId="0" applyNumberFormat="1" applyFont="1" applyFill="1" applyBorder="1" applyAlignment="1" applyProtection="1">
      <alignment horizontal="left"/>
    </xf>
    <xf numFmtId="0" fontId="111" fillId="0" borderId="0" xfId="0" applyNumberFormat="1" applyFont="1" applyFill="1" applyBorder="1" applyAlignment="1" applyProtection="1">
      <alignment horizontal="left" wrapText="1"/>
    </xf>
    <xf numFmtId="0" fontId="127" fillId="0" borderId="0" xfId="0" applyFont="1" applyFill="1" applyBorder="1" applyProtection="1"/>
    <xf numFmtId="3" fontId="36" fillId="0" borderId="56" xfId="5" quotePrefix="1" applyNumberFormat="1" applyFont="1" applyFill="1" applyBorder="1" applyAlignment="1" applyProtection="1">
      <alignment horizontal="left"/>
    </xf>
    <xf numFmtId="3" fontId="128" fillId="0" borderId="73" xfId="5" quotePrefix="1" applyNumberFormat="1" applyFont="1" applyFill="1" applyBorder="1" applyAlignment="1" applyProtection="1">
      <alignment horizontal="left"/>
    </xf>
    <xf numFmtId="3" fontId="128" fillId="0" borderId="75" xfId="5" quotePrefix="1" applyNumberFormat="1" applyFont="1" applyFill="1" applyBorder="1" applyAlignment="1" applyProtection="1">
      <alignment horizontal="left"/>
    </xf>
    <xf numFmtId="0" fontId="50" fillId="0" borderId="75" xfId="5" applyFont="1" applyFill="1" applyBorder="1" applyProtection="1"/>
    <xf numFmtId="0" fontId="50" fillId="0" borderId="123" xfId="5" applyFont="1" applyFill="1" applyBorder="1" applyProtection="1"/>
    <xf numFmtId="3" fontId="36" fillId="0" borderId="73" xfId="5" quotePrefix="1" applyNumberFormat="1" applyFont="1" applyFill="1" applyBorder="1" applyAlignment="1" applyProtection="1">
      <alignment horizontal="left"/>
    </xf>
    <xf numFmtId="0" fontId="38" fillId="0" borderId="75" xfId="5" applyFont="1" applyFill="1" applyBorder="1" applyProtection="1"/>
    <xf numFmtId="0" fontId="38" fillId="0" borderId="73" xfId="5" applyFont="1" applyFill="1" applyBorder="1" applyProtection="1"/>
    <xf numFmtId="3" fontId="36" fillId="0" borderId="77" xfId="5" quotePrefix="1" applyNumberFormat="1" applyFont="1" applyFill="1" applyBorder="1" applyAlignment="1" applyProtection="1">
      <alignment horizontal="left"/>
    </xf>
    <xf numFmtId="0" fontId="111" fillId="0" borderId="0" xfId="0" applyFont="1" applyFill="1" applyAlignment="1" applyProtection="1"/>
    <xf numFmtId="49" fontId="129" fillId="21" borderId="7" xfId="0" applyNumberFormat="1" applyFont="1" applyFill="1" applyBorder="1" applyAlignment="1" applyProtection="1">
      <alignment horizontal="center"/>
    </xf>
    <xf numFmtId="0" fontId="112" fillId="0" borderId="0" xfId="0" applyFont="1" applyFill="1" applyAlignment="1" applyProtection="1">
      <alignment horizontal="right" vertical="top" wrapText="1"/>
    </xf>
    <xf numFmtId="3" fontId="2" fillId="0" borderId="32" xfId="0" applyNumberFormat="1" applyFont="1" applyFill="1" applyBorder="1" applyProtection="1">
      <protection locked="0"/>
    </xf>
    <xf numFmtId="49" fontId="3" fillId="21" borderId="42" xfId="0" applyNumberFormat="1" applyFont="1" applyFill="1" applyBorder="1" applyAlignment="1" applyProtection="1">
      <alignment horizontal="center"/>
    </xf>
    <xf numFmtId="49" fontId="129" fillId="21" borderId="2" xfId="0" applyNumberFormat="1" applyFont="1" applyFill="1" applyBorder="1" applyAlignment="1" applyProtection="1">
      <alignment horizontal="center" vertical="top" wrapText="1"/>
    </xf>
    <xf numFmtId="0" fontId="3" fillId="21" borderId="60" xfId="5" applyFont="1" applyFill="1" applyBorder="1" applyAlignment="1" applyProtection="1">
      <alignment horizontal="left" wrapText="1"/>
    </xf>
    <xf numFmtId="0" fontId="136" fillId="0" borderId="0" xfId="0" applyFont="1" applyFill="1" applyBorder="1" applyAlignment="1" applyProtection="1">
      <alignment horizontal="left" vertical="top"/>
    </xf>
    <xf numFmtId="0" fontId="0" fillId="0" borderId="57" xfId="0" applyFill="1" applyBorder="1" applyAlignment="1"/>
    <xf numFmtId="0" fontId="0" fillId="0" borderId="0" xfId="0" applyFill="1" applyAlignment="1"/>
    <xf numFmtId="0" fontId="127" fillId="2" borderId="0" xfId="0" applyFont="1" applyFill="1" applyProtection="1"/>
    <xf numFmtId="0" fontId="138" fillId="0" borderId="0" xfId="0" applyFont="1" applyFill="1" applyAlignment="1">
      <alignment wrapText="1"/>
    </xf>
    <xf numFmtId="0" fontId="0" fillId="0" borderId="0" xfId="0" applyAlignment="1">
      <alignment wrapText="1"/>
    </xf>
    <xf numFmtId="0" fontId="9" fillId="0" borderId="0" xfId="0" applyFont="1" applyAlignment="1">
      <alignment wrapText="1"/>
    </xf>
    <xf numFmtId="3" fontId="111" fillId="0" borderId="0" xfId="0" applyNumberFormat="1" applyFont="1" applyFill="1" applyBorder="1" applyProtection="1"/>
    <xf numFmtId="0" fontId="36" fillId="0" borderId="0" xfId="0" applyFont="1" applyFill="1" applyAlignment="1" applyProtection="1">
      <alignment horizontal="left" vertical="top"/>
    </xf>
    <xf numFmtId="0" fontId="112" fillId="0" borderId="0" xfId="0" applyFont="1" applyFill="1" applyAlignment="1" applyProtection="1">
      <alignment horizontal="right"/>
    </xf>
    <xf numFmtId="0" fontId="112" fillId="0" borderId="0" xfId="0" applyFont="1" applyFill="1" applyAlignment="1" applyProtection="1">
      <alignment horizontal="left" vertical="top" wrapText="1"/>
    </xf>
    <xf numFmtId="3" fontId="5" fillId="21" borderId="15" xfId="5" applyNumberFormat="1" applyFont="1" applyFill="1" applyBorder="1" applyAlignment="1" applyProtection="1">
      <alignment horizontal="left"/>
    </xf>
    <xf numFmtId="3" fontId="5" fillId="21" borderId="15" xfId="5" applyNumberFormat="1" applyFont="1" applyFill="1" applyBorder="1" applyAlignment="1" applyProtection="1">
      <alignment horizontal="left" vertical="center"/>
    </xf>
    <xf numFmtId="3" fontId="130" fillId="21" borderId="15" xfId="5" applyNumberFormat="1" applyFont="1" applyFill="1" applyBorder="1" applyAlignment="1" applyProtection="1">
      <alignment horizontal="left" vertical="top" wrapText="1"/>
    </xf>
    <xf numFmtId="0" fontId="111" fillId="0" borderId="0" xfId="0" applyFont="1" applyFill="1" applyBorder="1" applyAlignment="1" applyProtection="1">
      <alignment vertical="top"/>
    </xf>
    <xf numFmtId="0" fontId="127" fillId="0" borderId="0" xfId="0" applyFont="1" applyFill="1" applyBorder="1" applyAlignment="1" applyProtection="1">
      <alignment vertical="top"/>
    </xf>
    <xf numFmtId="0" fontId="138" fillId="0" borderId="0" xfId="0" applyFont="1" applyAlignment="1">
      <alignment wrapText="1"/>
    </xf>
    <xf numFmtId="3" fontId="139" fillId="0" borderId="0" xfId="0" applyNumberFormat="1" applyFont="1" applyFill="1" applyBorder="1" applyProtection="1"/>
    <xf numFmtId="0" fontId="0" fillId="0" borderId="0" xfId="0" applyFill="1" applyBorder="1" applyAlignment="1">
      <alignment horizontal="left" wrapText="1"/>
    </xf>
    <xf numFmtId="3" fontId="2" fillId="34" borderId="5" xfId="0" applyNumberFormat="1" applyFont="1" applyFill="1" applyBorder="1" applyProtection="1">
      <protection locked="0"/>
    </xf>
    <xf numFmtId="3" fontId="2" fillId="34" borderId="19" xfId="0" applyNumberFormat="1" applyFont="1" applyFill="1" applyBorder="1" applyProtection="1">
      <protection locked="0"/>
    </xf>
    <xf numFmtId="1" fontId="3" fillId="21" borderId="2" xfId="0" applyNumberFormat="1" applyFont="1" applyFill="1" applyBorder="1" applyAlignment="1" applyProtection="1">
      <alignment horizontal="center" vertical="center" wrapText="1"/>
    </xf>
    <xf numFmtId="0" fontId="3" fillId="21" borderId="2" xfId="0" applyFont="1" applyFill="1" applyBorder="1" applyAlignment="1" applyProtection="1">
      <alignment horizontal="left" vertical="center" wrapText="1"/>
    </xf>
    <xf numFmtId="0" fontId="5" fillId="21" borderId="25" xfId="0" applyFont="1" applyFill="1" applyBorder="1" applyAlignment="1" applyProtection="1">
      <alignment horizontal="left" vertical="center" wrapText="1"/>
    </xf>
    <xf numFmtId="0" fontId="36" fillId="0" borderId="0" xfId="0" applyFont="1" applyFill="1" applyAlignment="1" applyProtection="1">
      <alignment vertical="top" wrapText="1"/>
    </xf>
    <xf numFmtId="3" fontId="2" fillId="2" borderId="44" xfId="0" applyNumberFormat="1" applyFont="1" applyFill="1" applyBorder="1" applyAlignment="1" applyProtection="1">
      <alignment horizontal="right"/>
      <protection locked="0"/>
    </xf>
    <xf numFmtId="0" fontId="55" fillId="2" borderId="0" xfId="0" applyFont="1" applyFill="1" applyAlignment="1" applyProtection="1"/>
    <xf numFmtId="0" fontId="3" fillId="21" borderId="167" xfId="0" applyNumberFormat="1" applyFont="1" applyFill="1" applyBorder="1" applyAlignment="1" applyProtection="1">
      <alignment horizontal="center" vertical="top" wrapText="1"/>
    </xf>
    <xf numFmtId="49" fontId="117" fillId="21" borderId="5" xfId="0" applyNumberFormat="1" applyFont="1" applyFill="1" applyBorder="1" applyAlignment="1" applyProtection="1">
      <alignment horizontal="center"/>
    </xf>
    <xf numFmtId="49" fontId="3" fillId="21" borderId="12" xfId="0" applyNumberFormat="1" applyFont="1" applyFill="1" applyBorder="1" applyAlignment="1" applyProtection="1">
      <alignment horizontal="left" vertical="top" wrapText="1"/>
    </xf>
    <xf numFmtId="0" fontId="3" fillId="21" borderId="8" xfId="0" applyFont="1" applyFill="1" applyBorder="1" applyAlignment="1" applyProtection="1">
      <alignment vertical="top" wrapText="1"/>
    </xf>
    <xf numFmtId="49" fontId="3" fillId="21" borderId="218" xfId="0" applyNumberFormat="1" applyFont="1" applyFill="1" applyBorder="1" applyAlignment="1" applyProtection="1">
      <alignment horizontal="left"/>
    </xf>
    <xf numFmtId="0" fontId="51" fillId="21" borderId="64" xfId="0" applyFont="1" applyFill="1" applyBorder="1" applyProtection="1"/>
    <xf numFmtId="166" fontId="9" fillId="2" borderId="0" xfId="0" applyNumberFormat="1" applyFont="1" applyFill="1" applyBorder="1" applyAlignment="1" applyProtection="1">
      <alignment horizontal="center" vertical="center"/>
    </xf>
    <xf numFmtId="3" fontId="3" fillId="21" borderId="44" xfId="5" applyNumberFormat="1" applyFont="1" applyFill="1" applyBorder="1" applyAlignment="1" applyProtection="1"/>
    <xf numFmtId="3" fontId="3" fillId="21" borderId="44" xfId="5" applyNumberFormat="1" applyFont="1" applyFill="1" applyBorder="1" applyAlignment="1" applyProtection="1">
      <alignment vertical="top" wrapText="1"/>
    </xf>
    <xf numFmtId="3" fontId="2" fillId="27" borderId="35" xfId="0" applyNumberFormat="1" applyFont="1" applyFill="1" applyBorder="1" applyAlignment="1" applyProtection="1"/>
    <xf numFmtId="3" fontId="2" fillId="27" borderId="2" xfId="0" applyNumberFormat="1" applyFont="1" applyFill="1" applyBorder="1" applyAlignment="1" applyProtection="1"/>
    <xf numFmtId="3" fontId="2" fillId="27" borderId="5" xfId="0" applyNumberFormat="1" applyFont="1" applyFill="1" applyBorder="1" applyAlignment="1" applyProtection="1"/>
    <xf numFmtId="0" fontId="3" fillId="21" borderId="35" xfId="0" applyFont="1" applyFill="1" applyBorder="1" applyProtection="1"/>
    <xf numFmtId="49" fontId="7" fillId="0" borderId="0" xfId="0" applyNumberFormat="1" applyFont="1" applyFill="1" applyBorder="1" applyAlignment="1" applyProtection="1">
      <alignment horizontal="center"/>
    </xf>
    <xf numFmtId="49" fontId="3" fillId="21" borderId="124" xfId="0" applyNumberFormat="1" applyFont="1" applyFill="1" applyBorder="1" applyAlignment="1" applyProtection="1">
      <alignment horizontal="left"/>
    </xf>
    <xf numFmtId="0" fontId="16" fillId="21" borderId="124" xfId="0" applyFont="1" applyFill="1" applyBorder="1" applyProtection="1"/>
    <xf numFmtId="0" fontId="8" fillId="21" borderId="35" xfId="0" applyFont="1" applyFill="1" applyBorder="1" applyProtection="1"/>
    <xf numFmtId="49" fontId="3" fillId="21" borderId="12" xfId="0" applyNumberFormat="1" applyFont="1" applyFill="1" applyBorder="1" applyAlignment="1" applyProtection="1">
      <alignment horizontal="right" vertical="center" wrapText="1"/>
    </xf>
    <xf numFmtId="0" fontId="3" fillId="21" borderId="8" xfId="0" applyFont="1" applyFill="1" applyBorder="1" applyAlignment="1" applyProtection="1">
      <alignment horizontal="left" vertical="top" wrapText="1"/>
    </xf>
    <xf numFmtId="0" fontId="55" fillId="0" borderId="0" xfId="0" applyFont="1" applyFill="1" applyAlignment="1" applyProtection="1">
      <alignment vertical="top"/>
    </xf>
    <xf numFmtId="1" fontId="5" fillId="0" borderId="0" xfId="0" applyNumberFormat="1" applyFont="1" applyFill="1" applyBorder="1" applyAlignment="1" applyProtection="1">
      <alignment horizontal="left" wrapText="1"/>
    </xf>
    <xf numFmtId="1" fontId="3" fillId="0" borderId="0" xfId="0" applyNumberFormat="1" applyFont="1" applyFill="1" applyBorder="1" applyAlignment="1" applyProtection="1">
      <alignment horizontal="center" wrapText="1"/>
    </xf>
    <xf numFmtId="0" fontId="111" fillId="0" borderId="0" xfId="0" applyNumberFormat="1" applyFont="1" applyFill="1" applyAlignment="1" applyProtection="1"/>
    <xf numFmtId="3" fontId="111" fillId="0" borderId="0" xfId="0" applyNumberFormat="1" applyFont="1" applyFill="1" applyBorder="1" applyAlignment="1" applyProtection="1">
      <alignment horizontal="left" wrapText="1"/>
    </xf>
    <xf numFmtId="1" fontId="3" fillId="21" borderId="42" xfId="0" applyNumberFormat="1" applyFont="1" applyFill="1" applyBorder="1" applyAlignment="1" applyProtection="1">
      <alignment horizontal="left" vertical="top" wrapText="1"/>
    </xf>
    <xf numFmtId="49" fontId="3" fillId="21" borderId="5" xfId="0" applyNumberFormat="1" applyFont="1" applyFill="1" applyBorder="1" applyAlignment="1" applyProtection="1">
      <alignment horizontal="left"/>
    </xf>
    <xf numFmtId="169" fontId="3" fillId="21" borderId="62" xfId="5" applyNumberFormat="1" applyFont="1" applyFill="1" applyBorder="1" applyAlignment="1" applyProtection="1">
      <alignment vertical="top"/>
    </xf>
    <xf numFmtId="169" fontId="3" fillId="21" borderId="175" xfId="0" applyNumberFormat="1" applyFont="1" applyFill="1" applyBorder="1" applyAlignment="1" applyProtection="1">
      <alignment vertical="top"/>
    </xf>
    <xf numFmtId="0" fontId="2" fillId="0" borderId="0" xfId="0" applyFont="1" applyBorder="1" applyAlignment="1" applyProtection="1">
      <alignment vertical="top" wrapText="1"/>
      <protection locked="0"/>
    </xf>
    <xf numFmtId="3" fontId="13" fillId="21" borderId="69" xfId="0" applyNumberFormat="1" applyFont="1" applyFill="1" applyBorder="1" applyAlignment="1" applyProtection="1">
      <alignment horizontal="right"/>
    </xf>
    <xf numFmtId="49" fontId="3" fillId="21" borderId="7" xfId="0" applyNumberFormat="1" applyFont="1" applyFill="1" applyBorder="1" applyAlignment="1" applyProtection="1">
      <alignment horizontal="center"/>
    </xf>
    <xf numFmtId="0" fontId="3" fillId="21" borderId="8" xfId="0" applyFont="1" applyFill="1" applyBorder="1" applyAlignment="1" applyProtection="1">
      <alignment horizontal="left"/>
    </xf>
    <xf numFmtId="49" fontId="3" fillId="21" borderId="76" xfId="0" applyNumberFormat="1" applyFont="1" applyFill="1" applyBorder="1" applyAlignment="1" applyProtection="1">
      <alignment wrapText="1"/>
    </xf>
    <xf numFmtId="49" fontId="3" fillId="21" borderId="11" xfId="0" applyNumberFormat="1" applyFont="1" applyFill="1" applyBorder="1" applyAlignment="1" applyProtection="1">
      <alignment wrapText="1"/>
    </xf>
    <xf numFmtId="0" fontId="3" fillId="2" borderId="1" xfId="0" applyFont="1" applyFill="1" applyBorder="1" applyAlignment="1" applyProtection="1">
      <alignment horizontal="center"/>
    </xf>
    <xf numFmtId="49" fontId="8" fillId="21" borderId="195" xfId="0" applyNumberFormat="1" applyFont="1" applyFill="1" applyBorder="1" applyAlignment="1" applyProtection="1">
      <alignment horizontal="center"/>
    </xf>
    <xf numFmtId="3" fontId="2" fillId="2" borderId="194" xfId="0" applyNumberFormat="1" applyFont="1" applyFill="1" applyBorder="1" applyAlignment="1" applyProtection="1">
      <alignment horizontal="right"/>
      <protection locked="0"/>
    </xf>
    <xf numFmtId="0" fontId="111" fillId="2" borderId="0" xfId="0" applyFont="1" applyFill="1" applyAlignment="1" applyProtection="1">
      <alignment wrapText="1"/>
    </xf>
    <xf numFmtId="0" fontId="46" fillId="0" borderId="0" xfId="0" applyNumberFormat="1" applyFont="1" applyFill="1" applyBorder="1" applyAlignment="1" applyProtection="1">
      <alignment horizontal="right"/>
    </xf>
    <xf numFmtId="3" fontId="36" fillId="0" borderId="126" xfId="0" applyNumberFormat="1" applyFont="1" applyFill="1" applyBorder="1" applyProtection="1"/>
    <xf numFmtId="0" fontId="3" fillId="21" borderId="8" xfId="0" applyFont="1" applyFill="1" applyBorder="1" applyAlignment="1" applyProtection="1">
      <alignment horizontal="center" wrapText="1"/>
    </xf>
    <xf numFmtId="0" fontId="3" fillId="21" borderId="55" xfId="0" applyFont="1" applyFill="1" applyBorder="1" applyAlignment="1" applyProtection="1">
      <alignment horizontal="center" wrapText="1"/>
    </xf>
    <xf numFmtId="1" fontId="3" fillId="21" borderId="25" xfId="0" applyNumberFormat="1" applyFont="1" applyFill="1" applyBorder="1" applyAlignment="1" applyProtection="1">
      <alignment horizontal="center" wrapText="1"/>
    </xf>
    <xf numFmtId="1" fontId="3" fillId="0" borderId="0" xfId="0" applyNumberFormat="1" applyFont="1" applyFill="1" applyBorder="1" applyAlignment="1" applyProtection="1">
      <alignment horizontal="center" wrapText="1"/>
    </xf>
    <xf numFmtId="1" fontId="3" fillId="21" borderId="82" xfId="0" applyNumberFormat="1" applyFont="1" applyFill="1" applyBorder="1" applyAlignment="1" applyProtection="1">
      <alignment horizontal="center" wrapText="1"/>
    </xf>
    <xf numFmtId="3" fontId="13" fillId="0" borderId="228" xfId="0" applyNumberFormat="1" applyFont="1" applyFill="1" applyBorder="1" applyAlignment="1" applyProtection="1">
      <alignment horizontal="right"/>
    </xf>
    <xf numFmtId="0" fontId="3" fillId="0" borderId="225" xfId="0" applyFont="1" applyFill="1" applyBorder="1" applyAlignment="1" applyProtection="1">
      <alignment horizontal="center"/>
    </xf>
    <xf numFmtId="1" fontId="3" fillId="0" borderId="225" xfId="0" applyNumberFormat="1" applyFont="1" applyFill="1" applyBorder="1" applyAlignment="1" applyProtection="1">
      <alignment horizontal="center" wrapText="1"/>
    </xf>
    <xf numFmtId="1" fontId="3" fillId="0" borderId="225" xfId="0" applyNumberFormat="1" applyFont="1" applyFill="1" applyBorder="1" applyAlignment="1" applyProtection="1">
      <alignment horizontal="left"/>
    </xf>
    <xf numFmtId="0" fontId="3" fillId="0" borderId="228" xfId="0" applyFont="1" applyFill="1" applyBorder="1" applyAlignment="1" applyProtection="1">
      <alignment horizontal="center"/>
    </xf>
    <xf numFmtId="1" fontId="3" fillId="0" borderId="228" xfId="0" applyNumberFormat="1" applyFont="1" applyFill="1" applyBorder="1" applyAlignment="1" applyProtection="1">
      <alignment horizontal="center" wrapText="1"/>
    </xf>
    <xf numFmtId="1" fontId="3" fillId="0" borderId="228" xfId="0" applyNumberFormat="1" applyFont="1" applyFill="1" applyBorder="1" applyAlignment="1" applyProtection="1">
      <alignment horizontal="left"/>
    </xf>
    <xf numFmtId="0" fontId="3" fillId="21" borderId="21" xfId="0" applyNumberFormat="1" applyFont="1" applyFill="1" applyBorder="1" applyAlignment="1" applyProtection="1">
      <alignment horizontal="center"/>
    </xf>
    <xf numFmtId="0" fontId="3" fillId="21" borderId="2" xfId="0" applyNumberFormat="1" applyFont="1" applyFill="1" applyBorder="1" applyAlignment="1" applyProtection="1">
      <alignment horizontal="center"/>
    </xf>
    <xf numFmtId="0" fontId="5" fillId="21" borderId="15" xfId="0" applyNumberFormat="1" applyFont="1" applyFill="1" applyBorder="1" applyAlignment="1" applyProtection="1">
      <alignment horizontal="center"/>
    </xf>
    <xf numFmtId="0" fontId="3" fillId="21" borderId="5" xfId="0" applyNumberFormat="1" applyFont="1" applyFill="1" applyBorder="1" applyAlignment="1" applyProtection="1">
      <alignment horizontal="center"/>
    </xf>
    <xf numFmtId="0" fontId="8" fillId="21" borderId="2" xfId="0" applyNumberFormat="1" applyFont="1" applyFill="1" applyBorder="1" applyAlignment="1" applyProtection="1">
      <alignment horizontal="center"/>
    </xf>
    <xf numFmtId="0" fontId="16" fillId="21" borderId="2" xfId="0" applyNumberFormat="1" applyFont="1" applyFill="1" applyBorder="1" applyAlignment="1" applyProtection="1">
      <alignment horizontal="center"/>
    </xf>
    <xf numFmtId="0" fontId="3" fillId="21" borderId="129" xfId="0" applyNumberFormat="1" applyFont="1" applyFill="1" applyBorder="1" applyAlignment="1" applyProtection="1">
      <alignment horizontal="center"/>
    </xf>
    <xf numFmtId="0" fontId="16" fillId="21" borderId="13" xfId="0" applyNumberFormat="1" applyFont="1" applyFill="1" applyBorder="1" applyAlignment="1" applyProtection="1">
      <alignment horizontal="center"/>
    </xf>
    <xf numFmtId="0" fontId="3" fillId="21" borderId="127" xfId="0" applyNumberFormat="1" applyFont="1" applyFill="1" applyBorder="1" applyAlignment="1" applyProtection="1">
      <alignment horizontal="center"/>
    </xf>
    <xf numFmtId="0" fontId="8" fillId="21" borderId="98" xfId="0" applyNumberFormat="1" applyFont="1" applyFill="1" applyBorder="1" applyAlignment="1" applyProtection="1">
      <alignment horizontal="center"/>
    </xf>
    <xf numFmtId="0" fontId="8" fillId="21" borderId="118" xfId="0" applyNumberFormat="1" applyFont="1" applyFill="1" applyBorder="1" applyAlignment="1" applyProtection="1">
      <alignment horizontal="center"/>
    </xf>
    <xf numFmtId="0" fontId="3" fillId="21" borderId="24" xfId="0" applyNumberFormat="1" applyFont="1" applyFill="1" applyBorder="1" applyAlignment="1" applyProtection="1">
      <alignment horizontal="center"/>
    </xf>
    <xf numFmtId="0" fontId="3" fillId="21" borderId="146" xfId="0" applyNumberFormat="1" applyFont="1" applyFill="1" applyBorder="1" applyAlignment="1" applyProtection="1">
      <alignment horizontal="center"/>
    </xf>
    <xf numFmtId="0" fontId="3" fillId="21" borderId="22" xfId="0" applyNumberFormat="1" applyFont="1" applyFill="1" applyBorder="1" applyAlignment="1" applyProtection="1">
      <alignment horizontal="center"/>
    </xf>
    <xf numFmtId="0" fontId="8" fillId="21" borderId="36" xfId="0" applyNumberFormat="1" applyFont="1" applyFill="1" applyBorder="1" applyAlignment="1" applyProtection="1">
      <alignment horizontal="center"/>
    </xf>
    <xf numFmtId="0" fontId="8" fillId="21" borderId="127" xfId="0" applyNumberFormat="1" applyFont="1" applyFill="1" applyBorder="1" applyAlignment="1" applyProtection="1">
      <alignment horizontal="center"/>
    </xf>
    <xf numFmtId="0" fontId="118" fillId="21" borderId="127" xfId="0" applyNumberFormat="1" applyFont="1" applyFill="1" applyBorder="1" applyAlignment="1" applyProtection="1">
      <alignment horizontal="center"/>
    </xf>
    <xf numFmtId="0" fontId="8" fillId="21" borderId="37" xfId="0" applyNumberFormat="1" applyFont="1" applyFill="1" applyBorder="1" applyAlignment="1" applyProtection="1">
      <alignment horizontal="center"/>
    </xf>
    <xf numFmtId="0" fontId="11" fillId="21" borderId="58" xfId="0" applyNumberFormat="1" applyFont="1" applyFill="1" applyBorder="1" applyProtection="1"/>
    <xf numFmtId="0" fontId="3" fillId="21" borderId="131" xfId="0" applyNumberFormat="1" applyFont="1" applyFill="1" applyBorder="1" applyAlignment="1" applyProtection="1">
      <alignment horizontal="center"/>
    </xf>
    <xf numFmtId="0" fontId="8" fillId="21" borderId="130" xfId="0" applyNumberFormat="1" applyFont="1" applyFill="1" applyBorder="1" applyAlignment="1" applyProtection="1">
      <alignment horizontal="center"/>
    </xf>
    <xf numFmtId="0" fontId="105" fillId="21" borderId="21" xfId="0" applyNumberFormat="1" applyFont="1" applyFill="1" applyBorder="1" applyAlignment="1" applyProtection="1">
      <alignment horizontal="center"/>
    </xf>
    <xf numFmtId="49" fontId="3" fillId="21" borderId="24" xfId="5" applyNumberFormat="1" applyFont="1" applyFill="1" applyBorder="1" applyAlignment="1" applyProtection="1">
      <alignment horizontal="center"/>
    </xf>
    <xf numFmtId="3" fontId="111" fillId="2" borderId="0" xfId="0" applyNumberFormat="1" applyFont="1" applyFill="1" applyBorder="1" applyAlignment="1" applyProtection="1">
      <alignment horizontal="left"/>
      <protection locked="0"/>
    </xf>
    <xf numFmtId="167" fontId="2" fillId="21" borderId="52" xfId="0" applyNumberFormat="1" applyFont="1" applyFill="1" applyBorder="1" applyProtection="1"/>
    <xf numFmtId="167" fontId="2" fillId="21" borderId="59" xfId="0" applyNumberFormat="1" applyFont="1" applyFill="1" applyBorder="1" applyProtection="1"/>
    <xf numFmtId="3" fontId="13" fillId="2" borderId="225" xfId="0" applyNumberFormat="1" applyFont="1" applyFill="1" applyBorder="1" applyAlignment="1" applyProtection="1">
      <alignment horizontal="right"/>
    </xf>
    <xf numFmtId="3" fontId="13" fillId="21" borderId="26" xfId="0" applyNumberFormat="1" applyFont="1" applyFill="1" applyBorder="1" applyAlignment="1" applyProtection="1">
      <alignment horizontal="right"/>
      <protection locked="0"/>
    </xf>
    <xf numFmtId="49" fontId="8" fillId="21" borderId="168" xfId="0" applyNumberFormat="1" applyFont="1" applyFill="1" applyBorder="1" applyAlignment="1" applyProtection="1">
      <alignment horizontal="center"/>
    </xf>
    <xf numFmtId="49" fontId="3" fillId="21" borderId="136" xfId="0" applyNumberFormat="1" applyFont="1" applyFill="1" applyBorder="1" applyAlignment="1" applyProtection="1">
      <alignment horizontal="center" wrapText="1"/>
    </xf>
    <xf numFmtId="49" fontId="8" fillId="21" borderId="136" xfId="0" applyNumberFormat="1" applyFont="1" applyFill="1" applyBorder="1" applyAlignment="1" applyProtection="1">
      <alignment horizontal="left"/>
    </xf>
    <xf numFmtId="49" fontId="8" fillId="21" borderId="4" xfId="0" applyNumberFormat="1" applyFont="1" applyFill="1" applyBorder="1" applyAlignment="1" applyProtection="1">
      <alignment horizontal="center"/>
    </xf>
    <xf numFmtId="49" fontId="8" fillId="0" borderId="202" xfId="0" applyNumberFormat="1" applyFont="1" applyFill="1" applyBorder="1" applyAlignment="1" applyProtection="1">
      <alignment horizontal="left"/>
    </xf>
    <xf numFmtId="3" fontId="111" fillId="0" borderId="0" xfId="0" applyNumberFormat="1" applyFont="1" applyFill="1" applyBorder="1" applyProtection="1">
      <protection locked="0"/>
    </xf>
    <xf numFmtId="3" fontId="2" fillId="2" borderId="204" xfId="0" applyNumberFormat="1" applyFont="1" applyFill="1" applyBorder="1" applyAlignment="1" applyProtection="1">
      <alignment horizontal="right"/>
      <protection locked="0"/>
    </xf>
    <xf numFmtId="3" fontId="2" fillId="0" borderId="204" xfId="0" applyNumberFormat="1" applyFont="1" applyFill="1" applyBorder="1" applyProtection="1">
      <protection locked="0"/>
    </xf>
    <xf numFmtId="3" fontId="2" fillId="21" borderId="58" xfId="0" applyNumberFormat="1" applyFont="1" applyFill="1" applyBorder="1" applyAlignment="1" applyProtection="1">
      <alignment horizontal="right"/>
      <protection locked="0"/>
    </xf>
    <xf numFmtId="3" fontId="2" fillId="21" borderId="57" xfId="0" applyNumberFormat="1" applyFont="1" applyFill="1" applyBorder="1" applyAlignment="1" applyProtection="1">
      <alignment horizontal="right"/>
      <protection locked="0"/>
    </xf>
    <xf numFmtId="0" fontId="36" fillId="0" borderId="0" xfId="0" applyFont="1" applyFill="1" applyAlignment="1" applyProtection="1">
      <alignment vertical="top"/>
    </xf>
    <xf numFmtId="0" fontId="111" fillId="0" borderId="0" xfId="0" applyFont="1" applyFill="1" applyBorder="1" applyAlignment="1" applyProtection="1"/>
    <xf numFmtId="3" fontId="45" fillId="22" borderId="127" xfId="0" applyNumberFormat="1" applyFont="1" applyFill="1" applyBorder="1" applyAlignment="1" applyProtection="1"/>
    <xf numFmtId="3" fontId="45" fillId="22" borderId="60" xfId="0" applyNumberFormat="1" applyFont="1" applyFill="1" applyBorder="1" applyAlignment="1" applyProtection="1"/>
    <xf numFmtId="0" fontId="111" fillId="0" borderId="0" xfId="0" applyNumberFormat="1" applyFont="1" applyFill="1" applyBorder="1" applyAlignment="1" applyProtection="1">
      <alignment vertical="top" wrapText="1"/>
    </xf>
    <xf numFmtId="0" fontId="111" fillId="0" borderId="0" xfId="0" applyNumberFormat="1" applyFont="1" applyFill="1" applyBorder="1" applyAlignment="1" applyProtection="1">
      <alignment wrapText="1"/>
    </xf>
    <xf numFmtId="3" fontId="10" fillId="0" borderId="7" xfId="0" applyNumberFormat="1" applyFont="1" applyFill="1" applyBorder="1" applyAlignment="1" applyProtection="1">
      <alignment horizontal="right"/>
      <protection locked="0"/>
    </xf>
    <xf numFmtId="0" fontId="142" fillId="0" borderId="0" xfId="0" applyFont="1" applyFill="1" applyBorder="1" applyProtection="1"/>
    <xf numFmtId="3" fontId="111" fillId="0" borderId="0" xfId="0" applyNumberFormat="1" applyFont="1" applyFill="1" applyBorder="1" applyAlignment="1" applyProtection="1">
      <alignment horizontal="left" vertical="top" wrapText="1"/>
    </xf>
    <xf numFmtId="0" fontId="3" fillId="21" borderId="37" xfId="0" applyFont="1" applyFill="1" applyBorder="1" applyAlignment="1" applyProtection="1">
      <alignment horizontal="center"/>
    </xf>
    <xf numFmtId="0" fontId="8" fillId="21" borderId="229" xfId="0" applyFont="1" applyFill="1" applyBorder="1" applyAlignment="1" applyProtection="1">
      <alignment horizontal="center"/>
    </xf>
    <xf numFmtId="0" fontId="3" fillId="21" borderId="91" xfId="0" applyFont="1" applyFill="1" applyBorder="1" applyAlignment="1" applyProtection="1">
      <alignment horizontal="left" vertical="top" wrapText="1"/>
    </xf>
    <xf numFmtId="0" fontId="3" fillId="21" borderId="135" xfId="0" applyFont="1" applyFill="1" applyBorder="1" applyAlignment="1" applyProtection="1">
      <alignment horizontal="left" vertical="top" wrapText="1"/>
    </xf>
    <xf numFmtId="0" fontId="3" fillId="21" borderId="130" xfId="0" applyFont="1" applyFill="1" applyBorder="1" applyAlignment="1" applyProtection="1">
      <alignment horizontal="left" vertical="top" wrapText="1"/>
    </xf>
    <xf numFmtId="0" fontId="3" fillId="21" borderId="167" xfId="5" applyFont="1" applyFill="1" applyBorder="1" applyAlignment="1" applyProtection="1">
      <alignment vertical="top" wrapText="1"/>
    </xf>
    <xf numFmtId="3" fontId="3" fillId="21" borderId="188" xfId="0" applyNumberFormat="1" applyFont="1" applyFill="1" applyBorder="1" applyAlignment="1" applyProtection="1">
      <alignment vertical="top" wrapText="1"/>
    </xf>
    <xf numFmtId="0" fontId="0" fillId="0" borderId="0" xfId="0" applyFill="1" applyBorder="1" applyAlignment="1"/>
    <xf numFmtId="49" fontId="3" fillId="29" borderId="0" xfId="0" applyNumberFormat="1" applyFont="1" applyFill="1" applyBorder="1" applyAlignment="1" applyProtection="1">
      <alignment horizontal="center"/>
    </xf>
    <xf numFmtId="0" fontId="5" fillId="29" borderId="0" xfId="0" applyFont="1" applyFill="1" applyBorder="1" applyAlignment="1" applyProtection="1">
      <alignment horizontal="left"/>
    </xf>
    <xf numFmtId="49" fontId="3" fillId="21" borderId="115" xfId="0" applyNumberFormat="1" applyFont="1" applyFill="1" applyBorder="1" applyAlignment="1" applyProtection="1">
      <alignment horizontal="center"/>
    </xf>
    <xf numFmtId="3" fontId="2" fillId="3" borderId="154" xfId="0" applyNumberFormat="1" applyFont="1" applyFill="1" applyBorder="1" applyProtection="1"/>
    <xf numFmtId="49" fontId="3" fillId="21" borderId="15" xfId="0" applyNumberFormat="1" applyFont="1" applyFill="1" applyBorder="1" applyAlignment="1" applyProtection="1">
      <alignment horizontal="center"/>
    </xf>
    <xf numFmtId="167" fontId="3" fillId="21" borderId="15" xfId="0" applyNumberFormat="1" applyFont="1" applyFill="1" applyBorder="1" applyAlignment="1" applyProtection="1">
      <alignment horizontal="left"/>
    </xf>
    <xf numFmtId="49" fontId="3" fillId="21" borderId="68" xfId="0" applyNumberFormat="1" applyFont="1" applyFill="1" applyBorder="1" applyAlignment="1" applyProtection="1">
      <alignment horizontal="center"/>
    </xf>
    <xf numFmtId="3" fontId="2" fillId="2" borderId="187" xfId="0" applyNumberFormat="1" applyFont="1" applyFill="1" applyBorder="1" applyAlignment="1" applyProtection="1">
      <alignment horizontal="right"/>
      <protection locked="0"/>
    </xf>
    <xf numFmtId="3" fontId="2" fillId="2" borderId="95" xfId="0" applyNumberFormat="1" applyFont="1" applyFill="1" applyBorder="1" applyAlignment="1" applyProtection="1">
      <alignment horizontal="right"/>
      <protection locked="0"/>
    </xf>
    <xf numFmtId="0" fontId="36" fillId="0" borderId="157" xfId="0" applyFont="1" applyFill="1" applyBorder="1" applyProtection="1"/>
    <xf numFmtId="49" fontId="5" fillId="21" borderId="68" xfId="0" applyNumberFormat="1" applyFont="1" applyFill="1" applyBorder="1" applyAlignment="1" applyProtection="1">
      <alignment horizontal="center"/>
    </xf>
    <xf numFmtId="3" fontId="2" fillId="2" borderId="25" xfId="0" applyNumberFormat="1" applyFont="1" applyFill="1" applyBorder="1" applyAlignment="1" applyProtection="1">
      <alignment horizontal="right"/>
      <protection locked="0"/>
    </xf>
    <xf numFmtId="3" fontId="2" fillId="2" borderId="69" xfId="0" applyNumberFormat="1" applyFont="1" applyFill="1" applyBorder="1" applyAlignment="1" applyProtection="1">
      <alignment horizontal="right"/>
      <protection locked="0"/>
    </xf>
    <xf numFmtId="0" fontId="9" fillId="2" borderId="225" xfId="0" applyFont="1" applyFill="1" applyBorder="1" applyProtection="1"/>
    <xf numFmtId="0" fontId="0" fillId="0" borderId="225" xfId="0" applyFill="1" applyBorder="1" applyProtection="1"/>
    <xf numFmtId="0" fontId="9" fillId="2" borderId="202" xfId="0" applyFont="1" applyFill="1" applyBorder="1" applyProtection="1"/>
    <xf numFmtId="3" fontId="13" fillId="2" borderId="165" xfId="0" applyNumberFormat="1" applyFont="1" applyFill="1" applyBorder="1" applyAlignment="1" applyProtection="1">
      <alignment horizontal="right"/>
      <protection locked="0"/>
    </xf>
    <xf numFmtId="3" fontId="2" fillId="2" borderId="71" xfId="0" applyNumberFormat="1" applyFont="1" applyFill="1" applyBorder="1" applyAlignment="1" applyProtection="1">
      <alignment horizontal="right"/>
      <protection locked="0"/>
    </xf>
    <xf numFmtId="3" fontId="45" fillId="0" borderId="58" xfId="0" applyNumberFormat="1" applyFont="1" applyFill="1" applyBorder="1" applyProtection="1"/>
    <xf numFmtId="3" fontId="45" fillId="21" borderId="69" xfId="0" applyNumberFormat="1" applyFont="1" applyFill="1" applyBorder="1" applyProtection="1"/>
    <xf numFmtId="3" fontId="45" fillId="22" borderId="87" xfId="0" applyNumberFormat="1" applyFont="1" applyFill="1" applyBorder="1" applyProtection="1"/>
    <xf numFmtId="3" fontId="45" fillId="21" borderId="18" xfId="0" applyNumberFormat="1" applyFont="1" applyFill="1" applyBorder="1" applyProtection="1"/>
    <xf numFmtId="3" fontId="2" fillId="29" borderId="61" xfId="0" applyNumberFormat="1" applyFont="1" applyFill="1" applyBorder="1" applyAlignment="1" applyProtection="1">
      <alignment horizontal="right"/>
      <protection locked="0"/>
    </xf>
    <xf numFmtId="49" fontId="3" fillId="21" borderId="133" xfId="0" applyNumberFormat="1" applyFont="1" applyFill="1" applyBorder="1" applyAlignment="1" applyProtection="1">
      <alignment horizontal="center" wrapText="1"/>
    </xf>
    <xf numFmtId="49" fontId="3" fillId="21" borderId="204" xfId="0" applyNumberFormat="1" applyFont="1" applyFill="1" applyBorder="1" applyAlignment="1" applyProtection="1">
      <alignment horizontal="left"/>
    </xf>
    <xf numFmtId="3" fontId="2" fillId="2" borderId="132" xfId="0" applyNumberFormat="1" applyFont="1" applyFill="1" applyBorder="1" applyAlignment="1" applyProtection="1">
      <alignment horizontal="right"/>
      <protection locked="0"/>
    </xf>
    <xf numFmtId="49" fontId="3" fillId="21" borderId="230" xfId="0" applyNumberFormat="1" applyFont="1" applyFill="1" applyBorder="1" applyAlignment="1" applyProtection="1">
      <alignment horizontal="center"/>
    </xf>
    <xf numFmtId="3" fontId="2" fillId="29" borderId="85" xfId="0" applyNumberFormat="1" applyFont="1" applyFill="1" applyBorder="1" applyProtection="1">
      <protection locked="0"/>
    </xf>
    <xf numFmtId="3" fontId="36" fillId="21" borderId="56" xfId="0" applyNumberFormat="1" applyFont="1" applyFill="1" applyBorder="1" applyAlignment="1" applyProtection="1"/>
    <xf numFmtId="3" fontId="111" fillId="21" borderId="56" xfId="0" applyNumberFormat="1" applyFont="1" applyFill="1" applyBorder="1" applyAlignment="1" applyProtection="1">
      <alignment vertical="center"/>
    </xf>
    <xf numFmtId="0" fontId="3" fillId="21" borderId="8" xfId="0" applyFont="1" applyFill="1" applyBorder="1" applyAlignment="1" applyProtection="1">
      <alignment horizontal="left" wrapText="1"/>
    </xf>
    <xf numFmtId="1" fontId="3" fillId="21" borderId="70" xfId="0" applyNumberFormat="1" applyFont="1" applyFill="1" applyBorder="1" applyAlignment="1" applyProtection="1">
      <alignment horizontal="center"/>
    </xf>
    <xf numFmtId="0" fontId="3" fillId="21" borderId="68" xfId="0" applyFont="1" applyFill="1" applyBorder="1" applyAlignment="1" applyProtection="1">
      <alignment horizontal="left"/>
    </xf>
    <xf numFmtId="1" fontId="3" fillId="21" borderId="133" xfId="0" applyNumberFormat="1" applyFont="1" applyFill="1" applyBorder="1" applyAlignment="1" applyProtection="1">
      <alignment horizontal="center"/>
    </xf>
    <xf numFmtId="0" fontId="3" fillId="21" borderId="84" xfId="0" applyFont="1" applyFill="1" applyBorder="1" applyProtection="1"/>
    <xf numFmtId="3" fontId="2" fillId="21" borderId="20" xfId="0" applyNumberFormat="1" applyFont="1" applyFill="1" applyBorder="1" applyAlignment="1" applyProtection="1">
      <alignment horizontal="right"/>
    </xf>
    <xf numFmtId="0" fontId="3" fillId="21" borderId="24" xfId="0" applyFont="1" applyFill="1" applyBorder="1" applyAlignment="1" applyProtection="1">
      <alignment vertical="top"/>
    </xf>
    <xf numFmtId="3" fontId="3" fillId="21" borderId="25" xfId="0" applyNumberFormat="1" applyFont="1" applyFill="1" applyBorder="1" applyAlignment="1" applyProtection="1">
      <alignment vertical="top"/>
    </xf>
    <xf numFmtId="0" fontId="144" fillId="2" borderId="0" xfId="0" applyFont="1" applyFill="1" applyProtection="1"/>
    <xf numFmtId="0" fontId="5" fillId="21" borderId="9" xfId="0" applyFont="1" applyFill="1" applyBorder="1" applyAlignment="1" applyProtection="1">
      <alignment vertical="top" wrapText="1"/>
    </xf>
    <xf numFmtId="1" fontId="2" fillId="21" borderId="15" xfId="0" applyNumberFormat="1" applyFont="1" applyFill="1" applyBorder="1" applyAlignment="1" applyProtection="1">
      <alignment horizontal="left" wrapText="1"/>
    </xf>
    <xf numFmtId="0" fontId="3" fillId="21" borderId="9" xfId="0" applyFont="1" applyFill="1" applyBorder="1" applyAlignment="1" applyProtection="1">
      <alignment horizontal="center" wrapText="1"/>
    </xf>
    <xf numFmtId="3" fontId="2" fillId="0" borderId="12" xfId="0" applyNumberFormat="1" applyFont="1" applyFill="1" applyBorder="1" applyAlignment="1" applyProtection="1">
      <alignment horizontal="right"/>
      <protection locked="0"/>
    </xf>
    <xf numFmtId="3" fontId="2" fillId="21" borderId="19" xfId="0" applyNumberFormat="1" applyFont="1" applyFill="1" applyBorder="1" applyProtection="1"/>
    <xf numFmtId="3" fontId="13" fillId="0" borderId="231" xfId="0" applyNumberFormat="1" applyFont="1" applyFill="1" applyBorder="1" applyAlignment="1" applyProtection="1">
      <alignment horizontal="right"/>
      <protection locked="0"/>
    </xf>
    <xf numFmtId="49" fontId="3" fillId="21" borderId="98" xfId="0" applyNumberFormat="1" applyFont="1" applyFill="1" applyBorder="1" applyAlignment="1" applyProtection="1">
      <alignment horizontal="left" wrapText="1"/>
    </xf>
    <xf numFmtId="3" fontId="5" fillId="21" borderId="95" xfId="0" applyNumberFormat="1" applyFont="1" applyFill="1" applyBorder="1" applyAlignment="1" applyProtection="1">
      <alignment wrapText="1"/>
    </xf>
    <xf numFmtId="49" fontId="3" fillId="21" borderId="232" xfId="0" applyNumberFormat="1" applyFont="1" applyFill="1" applyBorder="1" applyAlignment="1" applyProtection="1">
      <alignment horizontal="center"/>
    </xf>
    <xf numFmtId="2" fontId="3" fillId="21" borderId="199" xfId="0" applyNumberFormat="1" applyFont="1" applyFill="1" applyBorder="1" applyAlignment="1" applyProtection="1">
      <alignment horizontal="left"/>
    </xf>
    <xf numFmtId="2" fontId="3" fillId="21" borderId="222" xfId="0" applyNumberFormat="1" applyFont="1" applyFill="1" applyBorder="1" applyAlignment="1" applyProtection="1">
      <alignment horizontal="left"/>
    </xf>
    <xf numFmtId="2" fontId="3" fillId="21" borderId="233" xfId="0" applyNumberFormat="1" applyFont="1" applyFill="1" applyBorder="1" applyAlignment="1" applyProtection="1">
      <alignment horizontal="left"/>
    </xf>
    <xf numFmtId="3" fontId="2" fillId="2" borderId="234" xfId="0" applyNumberFormat="1" applyFont="1" applyFill="1" applyBorder="1" applyAlignment="1" applyProtection="1">
      <alignment horizontal="right"/>
      <protection locked="0"/>
    </xf>
    <xf numFmtId="3" fontId="2" fillId="29" borderId="0" xfId="0" applyNumberFormat="1" applyFont="1" applyFill="1" applyBorder="1" applyAlignment="1" applyProtection="1">
      <alignment horizontal="right"/>
    </xf>
    <xf numFmtId="3" fontId="2" fillId="2" borderId="225" xfId="0" applyNumberFormat="1" applyFont="1" applyFill="1" applyBorder="1" applyAlignment="1" applyProtection="1">
      <alignment horizontal="right"/>
      <protection locked="0"/>
    </xf>
    <xf numFmtId="0" fontId="3" fillId="21" borderId="190" xfId="0" applyNumberFormat="1" applyFont="1" applyFill="1" applyBorder="1" applyAlignment="1" applyProtection="1">
      <alignment horizontal="center" vertical="top" wrapText="1"/>
    </xf>
    <xf numFmtId="0" fontId="145" fillId="0" borderId="0" xfId="0" applyFont="1" applyFill="1" applyBorder="1" applyProtection="1"/>
    <xf numFmtId="0" fontId="5" fillId="21" borderId="66" xfId="0" applyFont="1" applyFill="1" applyBorder="1" applyAlignment="1" applyProtection="1">
      <alignment horizontal="left"/>
    </xf>
    <xf numFmtId="165" fontId="37" fillId="21" borderId="0" xfId="16" applyFont="1" applyFill="1" applyBorder="1" applyAlignment="1" applyProtection="1"/>
    <xf numFmtId="3" fontId="111" fillId="5" borderId="0" xfId="0" applyNumberFormat="1" applyFont="1" applyFill="1" applyBorder="1" applyProtection="1"/>
    <xf numFmtId="3" fontId="2" fillId="8" borderId="2" xfId="5" applyNumberFormat="1" applyFont="1" applyFill="1" applyBorder="1" applyAlignment="1">
      <alignment horizontal="right"/>
    </xf>
    <xf numFmtId="3" fontId="2" fillId="21" borderId="5" xfId="5" applyNumberFormat="1" applyFont="1" applyFill="1" applyBorder="1" applyAlignment="1">
      <alignment horizontal="right"/>
    </xf>
    <xf numFmtId="0" fontId="36" fillId="0" borderId="0" xfId="0" applyFont="1" applyFill="1" applyAlignment="1" applyProtection="1">
      <alignment wrapText="1"/>
    </xf>
    <xf numFmtId="0" fontId="3" fillId="21" borderId="25" xfId="0" applyFont="1" applyFill="1" applyBorder="1" applyAlignment="1" applyProtection="1">
      <alignment horizontal="left"/>
    </xf>
    <xf numFmtId="0" fontId="5" fillId="21" borderId="13" xfId="0" applyNumberFormat="1" applyFont="1" applyFill="1" applyBorder="1" applyAlignment="1" applyProtection="1">
      <alignment horizontal="center"/>
    </xf>
    <xf numFmtId="1" fontId="4" fillId="21" borderId="118" xfId="0" applyNumberFormat="1" applyFont="1" applyFill="1" applyBorder="1" applyAlignment="1" applyProtection="1">
      <alignment horizontal="center"/>
    </xf>
    <xf numFmtId="49" fontId="3" fillId="21" borderId="196" xfId="0" applyNumberFormat="1" applyFont="1" applyFill="1" applyBorder="1" applyAlignment="1" applyProtection="1">
      <alignment horizontal="left"/>
    </xf>
    <xf numFmtId="49" fontId="3" fillId="21" borderId="190" xfId="0" applyNumberFormat="1" applyFont="1" applyFill="1" applyBorder="1" applyAlignment="1" applyProtection="1">
      <alignment horizontal="left"/>
    </xf>
    <xf numFmtId="49" fontId="3" fillId="21" borderId="209" xfId="0" applyNumberFormat="1" applyFont="1" applyFill="1" applyBorder="1" applyAlignment="1" applyProtection="1">
      <alignment horizontal="center"/>
    </xf>
    <xf numFmtId="0" fontId="5" fillId="21" borderId="200" xfId="0" applyFont="1" applyFill="1" applyBorder="1" applyAlignment="1" applyProtection="1">
      <alignment horizontal="left"/>
    </xf>
    <xf numFmtId="0" fontId="5" fillId="21" borderId="155" xfId="0" applyFont="1" applyFill="1" applyBorder="1" applyAlignment="1" applyProtection="1">
      <alignment horizontal="center"/>
    </xf>
    <xf numFmtId="0" fontId="5" fillId="21" borderId="13" xfId="0" applyFont="1" applyFill="1" applyBorder="1" applyAlignment="1" applyProtection="1">
      <alignment horizontal="center"/>
    </xf>
    <xf numFmtId="0" fontId="5" fillId="21" borderId="9" xfId="0" applyFont="1" applyFill="1" applyBorder="1" applyAlignment="1" applyProtection="1">
      <alignment horizontal="left" wrapText="1"/>
    </xf>
    <xf numFmtId="0" fontId="4" fillId="21" borderId="118" xfId="0" applyFont="1" applyFill="1" applyBorder="1" applyAlignment="1" applyProtection="1">
      <alignment horizontal="center"/>
    </xf>
    <xf numFmtId="0" fontId="5" fillId="21" borderId="195" xfId="0" applyFont="1" applyFill="1" applyBorder="1" applyProtection="1"/>
    <xf numFmtId="1" fontId="3" fillId="21" borderId="35" xfId="0" applyNumberFormat="1" applyFont="1" applyFill="1" applyBorder="1" applyAlignment="1" applyProtection="1">
      <alignment horizontal="center"/>
    </xf>
    <xf numFmtId="0" fontId="3" fillId="21" borderId="235" xfId="0" applyFont="1" applyFill="1" applyBorder="1" applyAlignment="1" applyProtection="1">
      <alignment horizontal="left" wrapText="1"/>
    </xf>
    <xf numFmtId="0" fontId="5" fillId="21" borderId="142" xfId="0" applyFont="1" applyFill="1" applyBorder="1" applyAlignment="1" applyProtection="1">
      <alignment horizontal="left"/>
    </xf>
    <xf numFmtId="0" fontId="3" fillId="21" borderId="42" xfId="0" applyFont="1" applyFill="1" applyBorder="1" applyAlignment="1" applyProtection="1">
      <alignment horizontal="left"/>
    </xf>
    <xf numFmtId="0" fontId="5" fillId="21" borderId="136" xfId="0" applyFont="1" applyFill="1" applyBorder="1" applyProtection="1"/>
    <xf numFmtId="3" fontId="3" fillId="21" borderId="72" xfId="0" applyNumberFormat="1" applyFont="1" applyFill="1" applyBorder="1" applyProtection="1"/>
    <xf numFmtId="3" fontId="8" fillId="21" borderId="154" xfId="0" applyNumberFormat="1" applyFont="1" applyFill="1" applyBorder="1" applyProtection="1"/>
    <xf numFmtId="3" fontId="3" fillId="21" borderId="25" xfId="0" applyNumberFormat="1" applyFont="1" applyFill="1" applyBorder="1" applyAlignment="1" applyProtection="1">
      <alignment vertical="top" wrapText="1"/>
    </xf>
    <xf numFmtId="3" fontId="5" fillId="21" borderId="72" xfId="0" applyNumberFormat="1" applyFont="1" applyFill="1" applyBorder="1" applyAlignment="1" applyProtection="1">
      <alignment vertical="top" wrapText="1"/>
    </xf>
    <xf numFmtId="0" fontId="11" fillId="21" borderId="129" xfId="0" applyFont="1" applyFill="1" applyBorder="1" applyProtection="1"/>
    <xf numFmtId="3" fontId="5" fillId="21" borderId="179" xfId="0" applyNumberFormat="1" applyFont="1" applyFill="1" applyBorder="1" applyProtection="1"/>
    <xf numFmtId="0" fontId="4" fillId="21" borderId="72" xfId="0" applyFont="1" applyFill="1" applyBorder="1" applyAlignment="1" applyProtection="1">
      <alignment horizontal="center" vertical="center"/>
    </xf>
    <xf numFmtId="0" fontId="4" fillId="21" borderId="94" xfId="0" applyFont="1" applyFill="1" applyBorder="1" applyAlignment="1" applyProtection="1">
      <alignment horizontal="center" vertical="center" wrapText="1"/>
    </xf>
    <xf numFmtId="0" fontId="5" fillId="21" borderId="156" xfId="0" applyFont="1" applyFill="1" applyBorder="1" applyAlignment="1" applyProtection="1">
      <alignment horizontal="center" vertical="top" wrapText="1"/>
    </xf>
    <xf numFmtId="0" fontId="3" fillId="21" borderId="47" xfId="0" applyFont="1" applyFill="1" applyBorder="1" applyAlignment="1" applyProtection="1">
      <alignment horizontal="left" vertical="top" wrapText="1"/>
    </xf>
    <xf numFmtId="0" fontId="111" fillId="21" borderId="0" xfId="0" applyFont="1" applyFill="1" applyBorder="1" applyProtection="1"/>
    <xf numFmtId="0" fontId="111" fillId="21" borderId="27" xfId="0" applyFont="1" applyFill="1" applyBorder="1" applyProtection="1"/>
    <xf numFmtId="0" fontId="111" fillId="21" borderId="58" xfId="0" applyFont="1" applyFill="1" applyBorder="1" applyProtection="1"/>
    <xf numFmtId="0" fontId="111" fillId="21" borderId="27" xfId="0" applyFont="1" applyFill="1" applyBorder="1" applyAlignment="1" applyProtection="1"/>
    <xf numFmtId="0" fontId="111" fillId="21" borderId="0" xfId="0" applyFont="1" applyFill="1" applyAlignment="1">
      <alignment wrapText="1"/>
    </xf>
    <xf numFmtId="3" fontId="36" fillId="0" borderId="27" xfId="0" applyNumberFormat="1" applyFont="1" applyFill="1" applyBorder="1" applyAlignment="1" applyProtection="1">
      <alignment wrapText="1"/>
    </xf>
    <xf numFmtId="0" fontId="0" fillId="21" borderId="67" xfId="0" applyFill="1" applyBorder="1"/>
    <xf numFmtId="0" fontId="75" fillId="21" borderId="27" xfId="0" applyFont="1" applyFill="1" applyBorder="1" applyAlignment="1">
      <alignment horizontal="left" wrapText="1"/>
    </xf>
    <xf numFmtId="0" fontId="76" fillId="21" borderId="0" xfId="0" applyFont="1" applyFill="1" applyBorder="1" applyAlignment="1">
      <alignment horizontal="right" wrapText="1"/>
    </xf>
    <xf numFmtId="0" fontId="74" fillId="21" borderId="0" xfId="0" applyFont="1" applyFill="1" applyBorder="1" applyAlignment="1">
      <alignment wrapText="1"/>
    </xf>
    <xf numFmtId="0" fontId="0" fillId="21" borderId="0" xfId="0" applyFill="1" applyBorder="1"/>
    <xf numFmtId="0" fontId="72" fillId="21" borderId="27" xfId="0" applyFont="1" applyFill="1" applyBorder="1" applyAlignment="1">
      <alignment horizontal="right" wrapText="1"/>
    </xf>
    <xf numFmtId="49" fontId="76" fillId="21" borderId="0" xfId="0" applyNumberFormat="1" applyFont="1" applyFill="1" applyBorder="1" applyAlignment="1">
      <alignment horizontal="right" wrapText="1"/>
    </xf>
    <xf numFmtId="3" fontId="147" fillId="21" borderId="0" xfId="0" applyNumberFormat="1" applyFont="1" applyFill="1" applyBorder="1" applyAlignment="1" applyProtection="1">
      <alignment horizontal="right"/>
    </xf>
    <xf numFmtId="3" fontId="17" fillId="21" borderId="0" xfId="0" applyNumberFormat="1" applyFont="1" applyFill="1" applyBorder="1" applyAlignment="1" applyProtection="1">
      <alignment horizontal="right"/>
    </xf>
    <xf numFmtId="0" fontId="0" fillId="21" borderId="0" xfId="0" applyFill="1"/>
    <xf numFmtId="0" fontId="148" fillId="21" borderId="0" xfId="0" applyFont="1" applyFill="1"/>
    <xf numFmtId="0" fontId="0" fillId="21" borderId="27" xfId="0" applyFill="1" applyBorder="1"/>
    <xf numFmtId="0" fontId="0" fillId="21" borderId="111" xfId="0" applyFill="1" applyBorder="1"/>
    <xf numFmtId="0" fontId="0" fillId="21" borderId="1" xfId="0" applyFill="1" applyBorder="1"/>
    <xf numFmtId="0" fontId="0" fillId="35" borderId="0" xfId="0" applyFill="1"/>
    <xf numFmtId="49" fontId="3" fillId="36" borderId="27" xfId="0" applyNumberFormat="1" applyFont="1" applyFill="1" applyBorder="1" applyAlignment="1" applyProtection="1">
      <alignment horizontal="center"/>
    </xf>
    <xf numFmtId="49" fontId="3" fillId="36" borderId="21" xfId="0" applyNumberFormat="1" applyFont="1" applyFill="1" applyBorder="1" applyAlignment="1" applyProtection="1">
      <alignment horizontal="center"/>
    </xf>
    <xf numFmtId="49" fontId="3" fillId="36" borderId="9" xfId="0" applyNumberFormat="1" applyFont="1" applyFill="1" applyBorder="1" applyAlignment="1" applyProtection="1">
      <alignment horizontal="center"/>
    </xf>
    <xf numFmtId="49" fontId="3" fillId="36" borderId="2" xfId="0" applyNumberFormat="1" applyFont="1" applyFill="1" applyBorder="1" applyAlignment="1" applyProtection="1">
      <alignment horizontal="center"/>
    </xf>
    <xf numFmtId="0" fontId="3" fillId="36" borderId="5" xfId="0" applyFont="1" applyFill="1" applyBorder="1" applyAlignment="1" applyProtection="1">
      <alignment horizontal="center"/>
    </xf>
    <xf numFmtId="49" fontId="3" fillId="36" borderId="2" xfId="0" applyNumberFormat="1" applyFont="1" applyFill="1" applyBorder="1" applyAlignment="1" applyProtection="1">
      <alignment horizontal="left"/>
    </xf>
    <xf numFmtId="0" fontId="3" fillId="36" borderId="5" xfId="0" applyFont="1" applyFill="1" applyBorder="1" applyProtection="1"/>
    <xf numFmtId="0" fontId="3" fillId="36" borderId="2" xfId="0" applyFont="1" applyFill="1" applyBorder="1" applyProtection="1"/>
    <xf numFmtId="0" fontId="8" fillId="36" borderId="2" xfId="0" applyFont="1" applyFill="1" applyBorder="1" applyProtection="1"/>
    <xf numFmtId="0" fontId="3" fillId="36" borderId="133" xfId="0" applyFont="1" applyFill="1" applyBorder="1" applyProtection="1"/>
    <xf numFmtId="49" fontId="3" fillId="36" borderId="155" xfId="0" applyNumberFormat="1" applyFont="1" applyFill="1" applyBorder="1" applyAlignment="1" applyProtection="1">
      <alignment horizontal="center" wrapText="1"/>
    </xf>
    <xf numFmtId="49" fontId="3" fillId="36" borderId="209" xfId="0" applyNumberFormat="1" applyFont="1" applyFill="1" applyBorder="1" applyAlignment="1" applyProtection="1">
      <alignment horizontal="left"/>
    </xf>
    <xf numFmtId="49" fontId="3" fillId="36" borderId="64" xfId="0" applyNumberFormat="1" applyFont="1" applyFill="1" applyBorder="1" applyAlignment="1" applyProtection="1">
      <alignment horizontal="left"/>
    </xf>
    <xf numFmtId="49" fontId="3" fillId="36" borderId="231" xfId="0" applyNumberFormat="1" applyFont="1" applyFill="1" applyBorder="1" applyAlignment="1" applyProtection="1">
      <alignment horizontal="left"/>
    </xf>
    <xf numFmtId="174" fontId="2" fillId="0" borderId="71" xfId="0" applyNumberFormat="1" applyFont="1" applyFill="1" applyBorder="1" applyProtection="1">
      <protection locked="0"/>
    </xf>
    <xf numFmtId="3" fontId="2" fillId="35" borderId="53" xfId="0" applyNumberFormat="1" applyFont="1" applyFill="1" applyBorder="1" applyAlignment="1" applyProtection="1">
      <alignment horizontal="right"/>
      <protection locked="0"/>
    </xf>
    <xf numFmtId="3" fontId="10" fillId="37" borderId="10" xfId="0" applyNumberFormat="1" applyFont="1" applyFill="1" applyBorder="1" applyAlignment="1" applyProtection="1">
      <alignment horizontal="right"/>
      <protection locked="0"/>
    </xf>
    <xf numFmtId="0" fontId="5" fillId="21" borderId="95" xfId="0" applyFont="1" applyFill="1" applyBorder="1" applyAlignment="1" applyProtection="1">
      <alignment horizontal="center"/>
    </xf>
    <xf numFmtId="0" fontId="5" fillId="21" borderId="56" xfId="0" applyFont="1" applyFill="1" applyBorder="1" applyAlignment="1" applyProtection="1">
      <alignment horizontal="center"/>
    </xf>
    <xf numFmtId="0" fontId="5" fillId="21" borderId="147" xfId="0" applyFont="1" applyFill="1" applyBorder="1" applyAlignment="1" applyProtection="1">
      <alignment horizontal="right"/>
    </xf>
    <xf numFmtId="3" fontId="2" fillId="21" borderId="236" xfId="0" applyNumberFormat="1" applyFont="1" applyFill="1" applyBorder="1" applyAlignment="1" applyProtection="1">
      <alignment horizontal="right"/>
    </xf>
    <xf numFmtId="3" fontId="2" fillId="21" borderId="95" xfId="0" applyNumberFormat="1" applyFont="1" applyFill="1" applyBorder="1" applyAlignment="1" applyProtection="1">
      <alignment horizontal="right"/>
    </xf>
    <xf numFmtId="3" fontId="2" fillId="21" borderId="56" xfId="0" applyNumberFormat="1" applyFont="1" applyFill="1" applyBorder="1" applyAlignment="1" applyProtection="1">
      <alignment horizontal="right"/>
    </xf>
    <xf numFmtId="3" fontId="2" fillId="21" borderId="54" xfId="0" applyNumberFormat="1" applyFont="1" applyFill="1" applyBorder="1" applyAlignment="1" applyProtection="1">
      <alignment horizontal="right"/>
    </xf>
    <xf numFmtId="3" fontId="2" fillId="21" borderId="107" xfId="0" applyNumberFormat="1" applyFont="1" applyFill="1" applyBorder="1" applyAlignment="1" applyProtection="1">
      <alignment horizontal="right"/>
    </xf>
    <xf numFmtId="3" fontId="2" fillId="21" borderId="12" xfId="0" applyNumberFormat="1" applyFont="1" applyFill="1" applyBorder="1" applyAlignment="1" applyProtection="1">
      <alignment horizontal="right"/>
    </xf>
    <xf numFmtId="0" fontId="5" fillId="21" borderId="237" xfId="0" applyFont="1" applyFill="1" applyBorder="1" applyAlignment="1" applyProtection="1">
      <alignment horizontal="center"/>
    </xf>
    <xf numFmtId="0" fontId="5" fillId="21" borderId="238" xfId="0" applyFont="1" applyFill="1" applyBorder="1" applyAlignment="1" applyProtection="1">
      <alignment horizontal="center"/>
    </xf>
    <xf numFmtId="0" fontId="5" fillId="21" borderId="239" xfId="0" applyFont="1" applyFill="1" applyBorder="1" applyAlignment="1" applyProtection="1">
      <alignment horizontal="center"/>
    </xf>
    <xf numFmtId="9" fontId="3" fillId="21" borderId="240" xfId="0" applyNumberFormat="1" applyFont="1" applyFill="1" applyBorder="1" applyAlignment="1" applyProtection="1">
      <alignment horizontal="right"/>
    </xf>
    <xf numFmtId="9" fontId="3" fillId="21" borderId="237" xfId="0" applyNumberFormat="1" applyFont="1" applyFill="1" applyBorder="1" applyAlignment="1" applyProtection="1">
      <alignment horizontal="right"/>
    </xf>
    <xf numFmtId="9" fontId="3" fillId="21" borderId="238" xfId="0" applyNumberFormat="1" applyFont="1" applyFill="1" applyBorder="1" applyAlignment="1" applyProtection="1">
      <alignment horizontal="right"/>
    </xf>
    <xf numFmtId="9" fontId="3" fillId="21" borderId="241" xfId="0" applyNumberFormat="1" applyFont="1" applyFill="1" applyBorder="1" applyAlignment="1" applyProtection="1">
      <alignment horizontal="right"/>
    </xf>
    <xf numFmtId="9" fontId="3" fillId="21" borderId="242" xfId="0" applyNumberFormat="1" applyFont="1" applyFill="1" applyBorder="1" applyAlignment="1" applyProtection="1">
      <alignment horizontal="right"/>
    </xf>
    <xf numFmtId="9" fontId="3" fillId="21" borderId="243" xfId="0" applyNumberFormat="1" applyFont="1" applyFill="1" applyBorder="1" applyAlignment="1" applyProtection="1">
      <alignment horizontal="right"/>
    </xf>
    <xf numFmtId="9" fontId="3" fillId="21" borderId="244" xfId="0" applyNumberFormat="1" applyFont="1" applyFill="1" applyBorder="1" applyAlignment="1" applyProtection="1">
      <alignment horizontal="right"/>
    </xf>
    <xf numFmtId="9" fontId="3" fillId="21" borderId="245" xfId="0" applyNumberFormat="1" applyFont="1" applyFill="1" applyBorder="1" applyAlignment="1" applyProtection="1">
      <alignment horizontal="right"/>
    </xf>
    <xf numFmtId="9" fontId="3" fillId="0" borderId="0" xfId="0" applyNumberFormat="1" applyFont="1" applyFill="1" applyBorder="1" applyAlignment="1" applyProtection="1">
      <alignment horizontal="right"/>
    </xf>
    <xf numFmtId="0" fontId="0" fillId="0" borderId="246" xfId="0" applyFill="1" applyBorder="1" applyProtection="1"/>
    <xf numFmtId="0" fontId="5" fillId="21" borderId="247" xfId="0" applyFont="1" applyFill="1" applyBorder="1" applyAlignment="1" applyProtection="1">
      <alignment horizontal="center" vertical="top" wrapText="1"/>
    </xf>
    <xf numFmtId="0" fontId="5" fillId="21" borderId="248" xfId="0" applyFont="1" applyFill="1" applyBorder="1" applyAlignment="1" applyProtection="1">
      <alignment horizontal="center"/>
    </xf>
    <xf numFmtId="0" fontId="8" fillId="36" borderId="22" xfId="0" applyFont="1" applyFill="1" applyBorder="1" applyAlignment="1" applyProtection="1">
      <alignment horizontal="center"/>
    </xf>
    <xf numFmtId="3" fontId="3" fillId="38" borderId="0" xfId="0" applyNumberFormat="1" applyFont="1" applyFill="1" applyBorder="1" applyProtection="1"/>
    <xf numFmtId="1" fontId="3" fillId="36" borderId="2" xfId="0" applyNumberFormat="1" applyFont="1" applyFill="1" applyBorder="1" applyAlignment="1" applyProtection="1">
      <alignment horizontal="center" vertical="center" wrapText="1"/>
    </xf>
    <xf numFmtId="0" fontId="8" fillId="36" borderId="5" xfId="0" applyFont="1" applyFill="1" applyBorder="1" applyAlignment="1" applyProtection="1">
      <alignment horizontal="center"/>
    </xf>
    <xf numFmtId="0" fontId="8" fillId="36" borderId="9" xfId="0" applyFont="1" applyFill="1" applyBorder="1" applyAlignment="1" applyProtection="1">
      <alignment horizontal="center" wrapText="1"/>
    </xf>
    <xf numFmtId="1" fontId="8" fillId="36" borderId="2" xfId="0" applyNumberFormat="1" applyFont="1" applyFill="1" applyBorder="1" applyAlignment="1" applyProtection="1">
      <alignment horizontal="center"/>
    </xf>
    <xf numFmtId="0" fontId="3" fillId="36" borderId="82" xfId="0" applyFont="1" applyFill="1" applyBorder="1" applyAlignment="1" applyProtection="1">
      <alignment horizontal="left"/>
    </xf>
    <xf numFmtId="0" fontId="3" fillId="36" borderId="82" xfId="0" applyFont="1" applyFill="1" applyBorder="1" applyAlignment="1" applyProtection="1">
      <alignment horizontal="left" wrapText="1"/>
    </xf>
    <xf numFmtId="0" fontId="5" fillId="36" borderId="154" xfId="0" applyFont="1" applyFill="1" applyBorder="1" applyAlignment="1" applyProtection="1">
      <alignment horizontal="left"/>
    </xf>
    <xf numFmtId="49" fontId="3" fillId="36" borderId="160" xfId="0" applyNumberFormat="1" applyFont="1" applyFill="1" applyBorder="1" applyAlignment="1" applyProtection="1">
      <alignment horizontal="center"/>
    </xf>
    <xf numFmtId="0" fontId="0" fillId="38" borderId="202" xfId="0" applyFill="1" applyBorder="1" applyProtection="1"/>
    <xf numFmtId="1" fontId="3" fillId="38" borderId="0" xfId="0" applyNumberFormat="1" applyFont="1" applyFill="1" applyBorder="1" applyAlignment="1" applyProtection="1">
      <alignment horizontal="center"/>
    </xf>
    <xf numFmtId="1" fontId="3" fillId="36" borderId="68" xfId="0" applyNumberFormat="1" applyFont="1" applyFill="1" applyBorder="1" applyAlignment="1" applyProtection="1">
      <alignment horizontal="center"/>
    </xf>
    <xf numFmtId="0" fontId="0" fillId="38" borderId="0" xfId="0" applyFill="1" applyProtection="1"/>
    <xf numFmtId="1" fontId="8" fillId="36" borderId="70" xfId="0" applyNumberFormat="1" applyFont="1" applyFill="1" applyBorder="1" applyAlignment="1" applyProtection="1">
      <alignment horizontal="center"/>
    </xf>
    <xf numFmtId="1" fontId="3" fillId="38" borderId="0" xfId="0" applyNumberFormat="1" applyFont="1" applyFill="1" applyBorder="1" applyAlignment="1" applyProtection="1">
      <alignment horizontal="left"/>
    </xf>
    <xf numFmtId="0" fontId="3" fillId="36" borderId="128" xfId="0" applyFont="1" applyFill="1" applyBorder="1" applyAlignment="1" applyProtection="1">
      <alignment horizontal="left"/>
    </xf>
    <xf numFmtId="0" fontId="9" fillId="38" borderId="202" xfId="0" applyFont="1" applyFill="1" applyBorder="1" applyProtection="1"/>
    <xf numFmtId="49" fontId="3" fillId="36" borderId="9" xfId="0" applyNumberFormat="1" applyFont="1" applyFill="1" applyBorder="1" applyAlignment="1" applyProtection="1">
      <alignment horizontal="left"/>
    </xf>
    <xf numFmtId="1" fontId="3" fillId="36" borderId="70" xfId="0" applyNumberFormat="1" applyFont="1" applyFill="1" applyBorder="1" applyAlignment="1" applyProtection="1">
      <alignment horizontal="left"/>
    </xf>
    <xf numFmtId="1" fontId="8" fillId="36" borderId="5" xfId="0" applyNumberFormat="1" applyFont="1" applyFill="1" applyBorder="1" applyAlignment="1" applyProtection="1">
      <alignment horizontal="center"/>
    </xf>
    <xf numFmtId="49" fontId="18" fillId="36" borderId="8" xfId="0" applyNumberFormat="1" applyFont="1" applyFill="1" applyBorder="1" applyAlignment="1" applyProtection="1">
      <alignment horizontal="left"/>
    </xf>
    <xf numFmtId="0" fontId="3" fillId="36" borderId="2" xfId="0" applyFont="1" applyFill="1" applyBorder="1" applyAlignment="1" applyProtection="1">
      <alignment wrapText="1"/>
    </xf>
    <xf numFmtId="0" fontId="101" fillId="36" borderId="5" xfId="0" applyFont="1" applyFill="1" applyBorder="1" applyProtection="1"/>
    <xf numFmtId="0" fontId="101" fillId="36" borderId="25" xfId="0" applyFont="1" applyFill="1" applyBorder="1" applyProtection="1"/>
    <xf numFmtId="0" fontId="5" fillId="36" borderId="9" xfId="5" applyFont="1" applyFill="1" applyBorder="1" applyAlignment="1" applyProtection="1">
      <alignment vertical="top" wrapText="1"/>
    </xf>
    <xf numFmtId="0" fontId="3" fillId="36" borderId="2" xfId="5" applyFont="1" applyFill="1" applyBorder="1" applyProtection="1"/>
    <xf numFmtId="0" fontId="3" fillId="21" borderId="237" xfId="0" applyFont="1" applyFill="1" applyBorder="1" applyAlignment="1" applyProtection="1">
      <alignment horizontal="left" vertical="top" wrapText="1"/>
    </xf>
    <xf numFmtId="0" fontId="35" fillId="21" borderId="238" xfId="0" applyFont="1" applyFill="1" applyBorder="1" applyAlignment="1" applyProtection="1">
      <alignment horizontal="left" vertical="top" wrapText="1"/>
    </xf>
    <xf numFmtId="0" fontId="35" fillId="21" borderId="244" xfId="0" applyFont="1" applyFill="1" applyBorder="1" applyAlignment="1" applyProtection="1">
      <alignment horizontal="left" vertical="top" wrapText="1"/>
    </xf>
    <xf numFmtId="0" fontId="4" fillId="21" borderId="238" xfId="0" applyFont="1" applyFill="1" applyBorder="1" applyProtection="1"/>
    <xf numFmtId="0" fontId="35" fillId="21" borderId="246" xfId="0" applyFont="1" applyFill="1" applyBorder="1" applyProtection="1"/>
    <xf numFmtId="3" fontId="91" fillId="21" borderId="245" xfId="0" applyNumberFormat="1" applyFont="1" applyFill="1" applyBorder="1" applyProtection="1"/>
    <xf numFmtId="0" fontId="2" fillId="21" borderId="245" xfId="0" applyFont="1" applyFill="1" applyBorder="1" applyAlignment="1" applyProtection="1">
      <alignment vertical="top"/>
    </xf>
    <xf numFmtId="9" fontId="45" fillId="21" borderId="244" xfId="0" applyNumberFormat="1" applyFont="1" applyFill="1" applyBorder="1" applyProtection="1"/>
    <xf numFmtId="3" fontId="91" fillId="21" borderId="250" xfId="0" applyNumberFormat="1" applyFont="1" applyFill="1" applyBorder="1" applyProtection="1"/>
    <xf numFmtId="0" fontId="2" fillId="21" borderId="251" xfId="0" applyFont="1" applyFill="1" applyBorder="1" applyAlignment="1" applyProtection="1">
      <alignment vertical="top"/>
    </xf>
    <xf numFmtId="3" fontId="91" fillId="21" borderId="246" xfId="0" applyNumberFormat="1" applyFont="1" applyFill="1" applyBorder="1" applyProtection="1"/>
    <xf numFmtId="3" fontId="18" fillId="21" borderId="246" xfId="0" applyNumberFormat="1" applyFont="1" applyFill="1" applyBorder="1" applyProtection="1"/>
    <xf numFmtId="9" fontId="45" fillId="21" borderId="245" xfId="0" applyNumberFormat="1" applyFont="1" applyFill="1" applyBorder="1" applyProtection="1"/>
    <xf numFmtId="9" fontId="45" fillId="21" borderId="241" xfId="0" applyNumberFormat="1" applyFont="1" applyFill="1" applyBorder="1" applyProtection="1"/>
    <xf numFmtId="3" fontId="10" fillId="21" borderId="245" xfId="0" applyNumberFormat="1" applyFont="1" applyFill="1" applyBorder="1" applyAlignment="1" applyProtection="1">
      <alignment vertical="top"/>
      <protection locked="0"/>
    </xf>
    <xf numFmtId="3" fontId="91" fillId="21" borderId="252" xfId="0" applyNumberFormat="1" applyFont="1" applyFill="1" applyBorder="1" applyProtection="1"/>
    <xf numFmtId="3" fontId="3" fillId="21" borderId="253" xfId="0" applyNumberFormat="1" applyFont="1" applyFill="1" applyBorder="1" applyProtection="1"/>
    <xf numFmtId="9" fontId="45" fillId="21" borderId="243" xfId="0" applyNumberFormat="1" applyFont="1" applyFill="1" applyBorder="1" applyProtection="1"/>
    <xf numFmtId="3" fontId="91" fillId="21" borderId="254" xfId="0" applyNumberFormat="1" applyFont="1" applyFill="1" applyBorder="1" applyProtection="1"/>
    <xf numFmtId="0" fontId="9" fillId="21" borderId="245" xfId="0" applyFont="1" applyFill="1" applyBorder="1" applyAlignment="1" applyProtection="1">
      <alignment vertical="top"/>
    </xf>
    <xf numFmtId="9" fontId="45" fillId="21" borderId="241" xfId="0" quotePrefix="1" applyNumberFormat="1" applyFont="1" applyFill="1" applyBorder="1" applyProtection="1"/>
    <xf numFmtId="3" fontId="91" fillId="21" borderId="255" xfId="0" applyNumberFormat="1" applyFont="1" applyFill="1" applyBorder="1" applyProtection="1"/>
    <xf numFmtId="0" fontId="2" fillId="21" borderId="245" xfId="0" applyFont="1" applyFill="1" applyBorder="1" applyAlignment="1" applyProtection="1">
      <alignment vertical="top"/>
      <protection locked="0"/>
    </xf>
    <xf numFmtId="0" fontId="2" fillId="21" borderId="243" xfId="0" applyFont="1" applyFill="1" applyBorder="1" applyAlignment="1" applyProtection="1">
      <alignment vertical="top"/>
      <protection locked="0"/>
    </xf>
    <xf numFmtId="9" fontId="121" fillId="21" borderId="245" xfId="0" applyNumberFormat="1" applyFont="1" applyFill="1" applyBorder="1" applyAlignment="1" applyProtection="1"/>
    <xf numFmtId="9" fontId="45" fillId="21" borderId="242" xfId="0" applyNumberFormat="1" applyFont="1" applyFill="1" applyBorder="1" applyProtection="1"/>
    <xf numFmtId="3" fontId="104" fillId="21" borderId="256" xfId="0" applyNumberFormat="1" applyFont="1" applyFill="1" applyBorder="1" applyProtection="1"/>
    <xf numFmtId="3" fontId="91" fillId="21" borderId="256" xfId="0" applyNumberFormat="1" applyFont="1" applyFill="1" applyBorder="1" applyProtection="1"/>
    <xf numFmtId="0" fontId="1" fillId="21" borderId="257" xfId="0" applyFont="1" applyFill="1" applyBorder="1" applyProtection="1"/>
    <xf numFmtId="3" fontId="2" fillId="22" borderId="242" xfId="0" applyNumberFormat="1" applyFont="1" applyFill="1" applyBorder="1" applyAlignment="1" applyProtection="1">
      <alignment horizontal="right"/>
    </xf>
    <xf numFmtId="3" fontId="91" fillId="21" borderId="258" xfId="0" applyNumberFormat="1" applyFont="1" applyFill="1" applyBorder="1" applyProtection="1"/>
    <xf numFmtId="0" fontId="7" fillId="21" borderId="27" xfId="0" applyFont="1" applyFill="1" applyBorder="1" applyAlignment="1">
      <alignment vertical="top" wrapText="1"/>
    </xf>
    <xf numFmtId="0" fontId="0" fillId="21" borderId="27" xfId="0" applyFill="1" applyBorder="1" applyAlignment="1">
      <alignment vertical="top" wrapText="1"/>
    </xf>
    <xf numFmtId="3" fontId="8" fillId="21" borderId="27" xfId="0" applyNumberFormat="1" applyFont="1" applyFill="1" applyBorder="1" applyAlignment="1" applyProtection="1">
      <alignment vertical="top" wrapText="1"/>
    </xf>
    <xf numFmtId="3" fontId="8" fillId="21" borderId="27" xfId="0" applyNumberFormat="1" applyFont="1" applyFill="1" applyBorder="1" applyAlignment="1" applyProtection="1">
      <alignment horizontal="left" wrapText="1"/>
    </xf>
    <xf numFmtId="3" fontId="35" fillId="21" borderId="227" xfId="0" applyNumberFormat="1" applyFont="1" applyFill="1" applyBorder="1" applyAlignment="1" applyProtection="1">
      <alignment wrapText="1"/>
    </xf>
    <xf numFmtId="3" fontId="45" fillId="21" borderId="0" xfId="0" applyNumberFormat="1" applyFont="1" applyFill="1" applyBorder="1" applyProtection="1"/>
    <xf numFmtId="3" fontId="45" fillId="21" borderId="27" xfId="0" applyNumberFormat="1" applyFont="1" applyFill="1" applyBorder="1" applyProtection="1"/>
    <xf numFmtId="3" fontId="36" fillId="21" borderId="178" xfId="5" quotePrefix="1" applyNumberFormat="1" applyFont="1" applyFill="1" applyBorder="1" applyAlignment="1" applyProtection="1">
      <alignment horizontal="left"/>
    </xf>
    <xf numFmtId="3" fontId="45" fillId="21" borderId="27" xfId="9" applyNumberFormat="1" applyFont="1" applyFill="1" applyBorder="1" applyAlignment="1" applyProtection="1">
      <alignment horizontal="center"/>
    </xf>
    <xf numFmtId="3" fontId="45" fillId="21" borderId="178" xfId="12" applyNumberFormat="1" applyFont="1" applyFill="1" applyBorder="1" applyAlignment="1" applyProtection="1">
      <alignment horizontal="center"/>
    </xf>
    <xf numFmtId="3" fontId="45" fillId="21" borderId="178" xfId="9" applyNumberFormat="1" applyFont="1" applyFill="1" applyBorder="1" applyAlignment="1" applyProtection="1">
      <alignment horizontal="center"/>
    </xf>
    <xf numFmtId="3" fontId="77" fillId="21" borderId="27" xfId="9" applyNumberFormat="1" applyFont="1" applyFill="1" applyBorder="1" applyAlignment="1" applyProtection="1">
      <alignment horizontal="center"/>
    </xf>
    <xf numFmtId="3" fontId="45" fillId="21" borderId="185" xfId="12" applyNumberFormat="1" applyFont="1" applyFill="1" applyBorder="1" applyAlignment="1" applyProtection="1">
      <alignment horizontal="center"/>
    </xf>
    <xf numFmtId="3" fontId="102" fillId="21" borderId="185" xfId="12" applyNumberFormat="1" applyFont="1" applyFill="1" applyBorder="1" applyAlignment="1" applyProtection="1">
      <alignment horizontal="center"/>
    </xf>
    <xf numFmtId="3" fontId="102" fillId="21" borderId="178" xfId="9" applyNumberFormat="1" applyFont="1" applyFill="1" applyBorder="1" applyAlignment="1" applyProtection="1">
      <alignment horizontal="center"/>
    </xf>
    <xf numFmtId="3" fontId="102" fillId="21" borderId="27" xfId="9" applyNumberFormat="1" applyFont="1" applyFill="1" applyBorder="1" applyAlignment="1" applyProtection="1">
      <alignment horizontal="center"/>
    </xf>
    <xf numFmtId="3" fontId="45" fillId="21" borderId="259" xfId="9" applyNumberFormat="1" applyFont="1" applyFill="1" applyBorder="1" applyAlignment="1" applyProtection="1">
      <alignment horizontal="center"/>
    </xf>
    <xf numFmtId="3" fontId="103" fillId="21" borderId="27" xfId="9" applyNumberFormat="1" applyFont="1" applyFill="1" applyBorder="1" applyAlignment="1" applyProtection="1">
      <alignment horizontal="center"/>
    </xf>
    <xf numFmtId="3" fontId="45" fillId="21" borderId="178" xfId="0" applyNumberFormat="1" applyFont="1" applyFill="1" applyBorder="1" applyProtection="1"/>
    <xf numFmtId="3" fontId="5" fillId="21" borderId="102" xfId="0" applyNumberFormat="1" applyFont="1" applyFill="1" applyBorder="1" applyAlignment="1" applyProtection="1">
      <alignment horizontal="left" vertical="center" wrapText="1"/>
    </xf>
    <xf numFmtId="3" fontId="2" fillId="21" borderId="92" xfId="0" applyNumberFormat="1" applyFont="1" applyFill="1" applyBorder="1" applyAlignment="1" applyProtection="1">
      <alignment horizontal="right"/>
    </xf>
    <xf numFmtId="3" fontId="2" fillId="21" borderId="177" xfId="0" applyNumberFormat="1" applyFont="1" applyFill="1" applyBorder="1" applyAlignment="1" applyProtection="1">
      <alignment horizontal="right"/>
    </xf>
    <xf numFmtId="3" fontId="2" fillId="21" borderId="164" xfId="0" applyNumberFormat="1" applyFont="1" applyFill="1" applyBorder="1" applyAlignment="1" applyProtection="1">
      <alignment horizontal="right"/>
    </xf>
    <xf numFmtId="3" fontId="2" fillId="21" borderId="96" xfId="0" applyNumberFormat="1" applyFont="1" applyFill="1" applyBorder="1" applyAlignment="1" applyProtection="1">
      <alignment horizontal="right"/>
    </xf>
    <xf numFmtId="3" fontId="2" fillId="21" borderId="65" xfId="0" applyNumberFormat="1" applyFont="1" applyFill="1" applyBorder="1" applyAlignment="1" applyProtection="1">
      <alignment horizontal="right"/>
    </xf>
    <xf numFmtId="3" fontId="2" fillId="21" borderId="165" xfId="0" applyNumberFormat="1" applyFont="1" applyFill="1" applyBorder="1" applyAlignment="1" applyProtection="1">
      <alignment horizontal="right"/>
    </xf>
    <xf numFmtId="3" fontId="2" fillId="21" borderId="223" xfId="0" applyNumberFormat="1" applyFont="1" applyFill="1" applyBorder="1" applyAlignment="1" applyProtection="1">
      <alignment horizontal="right"/>
    </xf>
    <xf numFmtId="3" fontId="2" fillId="21" borderId="177" xfId="0" applyNumberFormat="1" applyFont="1" applyFill="1" applyBorder="1" applyProtection="1"/>
    <xf numFmtId="0" fontId="0" fillId="21" borderId="97" xfId="0" applyFill="1" applyBorder="1" applyProtection="1"/>
    <xf numFmtId="3" fontId="5" fillId="21" borderId="260" xfId="0" applyNumberFormat="1" applyFont="1" applyFill="1" applyBorder="1" applyAlignment="1" applyProtection="1">
      <alignment horizontal="left" vertical="center" wrapText="1"/>
    </xf>
    <xf numFmtId="0" fontId="0" fillId="21" borderId="262" xfId="0" applyFill="1" applyBorder="1" applyProtection="1"/>
    <xf numFmtId="3" fontId="2" fillId="21" borderId="263" xfId="0" applyNumberFormat="1" applyFont="1" applyFill="1" applyBorder="1" applyAlignment="1" applyProtection="1">
      <alignment horizontal="right"/>
    </xf>
    <xf numFmtId="3" fontId="2" fillId="21" borderId="264" xfId="0" applyNumberFormat="1" applyFont="1" applyFill="1" applyBorder="1" applyAlignment="1" applyProtection="1">
      <alignment horizontal="right"/>
    </xf>
    <xf numFmtId="3" fontId="2" fillId="21" borderId="265" xfId="0" applyNumberFormat="1" applyFont="1" applyFill="1" applyBorder="1" applyAlignment="1" applyProtection="1">
      <alignment horizontal="right"/>
    </xf>
    <xf numFmtId="3" fontId="2" fillId="21" borderId="266" xfId="0" applyNumberFormat="1" applyFont="1" applyFill="1" applyBorder="1" applyAlignment="1" applyProtection="1">
      <alignment horizontal="right"/>
    </xf>
    <xf numFmtId="3" fontId="2" fillId="21" borderId="262" xfId="0" applyNumberFormat="1" applyFont="1" applyFill="1" applyBorder="1" applyAlignment="1" applyProtection="1">
      <alignment horizontal="right"/>
    </xf>
    <xf numFmtId="0" fontId="9" fillId="21" borderId="266" xfId="0" applyFont="1" applyFill="1" applyBorder="1" applyProtection="1"/>
    <xf numFmtId="3" fontId="2" fillId="21" borderId="267" xfId="0" applyNumberFormat="1" applyFont="1" applyFill="1" applyBorder="1" applyAlignment="1" applyProtection="1">
      <alignment horizontal="right"/>
    </xf>
    <xf numFmtId="3" fontId="2" fillId="21" borderId="268" xfId="0" applyNumberFormat="1" applyFont="1" applyFill="1" applyBorder="1" applyAlignment="1" applyProtection="1">
      <alignment horizontal="right"/>
    </xf>
    <xf numFmtId="3" fontId="2" fillId="21" borderId="269" xfId="0" applyNumberFormat="1" applyFont="1" applyFill="1" applyBorder="1" applyAlignment="1" applyProtection="1">
      <alignment horizontal="right"/>
    </xf>
    <xf numFmtId="3" fontId="2" fillId="21" borderId="264" xfId="0" applyNumberFormat="1" applyFont="1" applyFill="1" applyBorder="1" applyProtection="1"/>
    <xf numFmtId="0" fontId="0" fillId="21" borderId="270" xfId="0" applyFill="1" applyBorder="1" applyProtection="1"/>
    <xf numFmtId="0" fontId="3" fillId="36" borderId="6" xfId="0" applyFont="1" applyFill="1" applyBorder="1" applyProtection="1"/>
    <xf numFmtId="0" fontId="3" fillId="36" borderId="3" xfId="0" applyFont="1" applyFill="1" applyBorder="1" applyProtection="1"/>
    <xf numFmtId="3" fontId="13" fillId="38" borderId="5" xfId="0" applyNumberFormat="1" applyFont="1" applyFill="1" applyBorder="1" applyAlignment="1" applyProtection="1">
      <alignment horizontal="right"/>
      <protection locked="0"/>
    </xf>
    <xf numFmtId="3" fontId="3" fillId="36" borderId="128" xfId="0" applyNumberFormat="1" applyFont="1" applyFill="1" applyBorder="1" applyAlignment="1" applyProtection="1">
      <alignment horizontal="left" vertical="top" wrapText="1"/>
    </xf>
    <xf numFmtId="0" fontId="3" fillId="36" borderId="154" xfId="0" applyFont="1" applyFill="1" applyBorder="1" applyAlignment="1" applyProtection="1">
      <alignment horizontal="left" vertical="top" wrapText="1"/>
    </xf>
    <xf numFmtId="3" fontId="3" fillId="36" borderId="60" xfId="0" applyNumberFormat="1" applyFont="1" applyFill="1" applyBorder="1" applyAlignment="1" applyProtection="1">
      <alignment horizontal="left" vertical="top" wrapText="1"/>
    </xf>
    <xf numFmtId="3" fontId="3" fillId="36" borderId="26" xfId="0" applyNumberFormat="1" applyFont="1" applyFill="1" applyBorder="1" applyAlignment="1" applyProtection="1">
      <alignment horizontal="left" vertical="top" wrapText="1"/>
    </xf>
    <xf numFmtId="3" fontId="3" fillId="36" borderId="29" xfId="0" applyNumberFormat="1" applyFont="1" applyFill="1" applyBorder="1" applyAlignment="1" applyProtection="1">
      <alignment horizontal="center"/>
    </xf>
    <xf numFmtId="3" fontId="3" fillId="36" borderId="24" xfId="0" applyNumberFormat="1" applyFont="1" applyFill="1" applyBorder="1" applyAlignment="1" applyProtection="1">
      <alignment vertical="top" wrapText="1"/>
    </xf>
    <xf numFmtId="3" fontId="3" fillId="36" borderId="55" xfId="0" applyNumberFormat="1" applyFont="1" applyFill="1" applyBorder="1" applyAlignment="1" applyProtection="1"/>
    <xf numFmtId="3" fontId="3" fillId="36" borderId="12" xfId="0" applyNumberFormat="1" applyFont="1" applyFill="1" applyBorder="1" applyAlignment="1" applyProtection="1"/>
    <xf numFmtId="3" fontId="13" fillId="38" borderId="3" xfId="0" applyNumberFormat="1" applyFont="1" applyFill="1" applyBorder="1" applyAlignment="1" applyProtection="1">
      <alignment horizontal="right"/>
      <protection locked="0"/>
    </xf>
    <xf numFmtId="3" fontId="3" fillId="36" borderId="92" xfId="0" applyNumberFormat="1" applyFont="1" applyFill="1" applyBorder="1" applyAlignment="1" applyProtection="1"/>
    <xf numFmtId="3" fontId="13" fillId="38" borderId="3" xfId="0" applyNumberFormat="1" applyFont="1" applyFill="1" applyBorder="1" applyAlignment="1" applyProtection="1">
      <alignment horizontal="right"/>
    </xf>
    <xf numFmtId="3" fontId="13" fillId="38" borderId="29" xfId="0" applyNumberFormat="1" applyFont="1" applyFill="1" applyBorder="1" applyAlignment="1" applyProtection="1">
      <alignment horizontal="right"/>
      <protection locked="0"/>
    </xf>
    <xf numFmtId="0" fontId="3" fillId="36" borderId="69" xfId="0" applyFont="1" applyFill="1" applyBorder="1" applyAlignment="1" applyProtection="1">
      <alignment horizontal="left" vertical="top" wrapText="1"/>
    </xf>
    <xf numFmtId="3" fontId="2" fillId="39" borderId="7" xfId="0" applyNumberFormat="1" applyFont="1" applyFill="1" applyBorder="1" applyAlignment="1" applyProtection="1">
      <alignment horizontal="right"/>
    </xf>
    <xf numFmtId="3" fontId="2" fillId="39" borderId="22" xfId="0" applyNumberFormat="1" applyFont="1" applyFill="1" applyBorder="1" applyAlignment="1" applyProtection="1">
      <alignment horizontal="right"/>
    </xf>
    <xf numFmtId="0" fontId="3" fillId="21" borderId="225" xfId="0" applyFont="1" applyFill="1" applyBorder="1" applyProtection="1"/>
    <xf numFmtId="0" fontId="0" fillId="21" borderId="0" xfId="0" applyFill="1" applyBorder="1" applyAlignment="1"/>
    <xf numFmtId="0" fontId="131" fillId="21" borderId="0" xfId="0" applyFont="1" applyFill="1" applyBorder="1" applyAlignment="1">
      <alignment vertical="top" wrapText="1"/>
    </xf>
    <xf numFmtId="0" fontId="131" fillId="21" borderId="0" xfId="0" applyFont="1" applyFill="1" applyBorder="1" applyAlignment="1">
      <alignment wrapText="1"/>
    </xf>
    <xf numFmtId="0" fontId="130" fillId="21" borderId="0" xfId="0" applyFont="1" applyFill="1" applyBorder="1" applyAlignment="1">
      <alignment wrapText="1"/>
    </xf>
    <xf numFmtId="0" fontId="0" fillId="21" borderId="0" xfId="0" applyFill="1" applyBorder="1" applyAlignment="1">
      <alignment wrapText="1"/>
    </xf>
    <xf numFmtId="0" fontId="0" fillId="21" borderId="0" xfId="0" applyFill="1" applyBorder="1" applyAlignment="1">
      <alignment horizontal="left" vertical="top" wrapText="1"/>
    </xf>
    <xf numFmtId="0" fontId="129" fillId="21" borderId="0" xfId="0" applyFont="1" applyFill="1" applyBorder="1" applyAlignment="1">
      <alignment wrapText="1"/>
    </xf>
    <xf numFmtId="0" fontId="7" fillId="21" borderId="0" xfId="0" applyFont="1" applyFill="1" applyBorder="1" applyAlignment="1">
      <alignment wrapText="1"/>
    </xf>
    <xf numFmtId="0" fontId="3" fillId="21" borderId="272" xfId="0" applyFont="1" applyFill="1" applyBorder="1" applyAlignment="1" applyProtection="1">
      <alignment horizontal="center"/>
    </xf>
    <xf numFmtId="3" fontId="45" fillId="22" borderId="274" xfId="0" applyNumberFormat="1" applyFont="1" applyFill="1" applyBorder="1" applyProtection="1"/>
    <xf numFmtId="3" fontId="45" fillId="22" borderId="275" xfId="0" applyNumberFormat="1" applyFont="1" applyFill="1" applyBorder="1" applyProtection="1"/>
    <xf numFmtId="3" fontId="45" fillId="22" borderId="272" xfId="0" applyNumberFormat="1" applyFont="1" applyFill="1" applyBorder="1" applyProtection="1"/>
    <xf numFmtId="3" fontId="45" fillId="22" borderId="276" xfId="0" applyNumberFormat="1" applyFont="1" applyFill="1" applyBorder="1" applyProtection="1"/>
    <xf numFmtId="3" fontId="45" fillId="22" borderId="277" xfId="0" applyNumberFormat="1" applyFont="1" applyFill="1" applyBorder="1" applyProtection="1"/>
    <xf numFmtId="3" fontId="45" fillId="22" borderId="278" xfId="0" applyNumberFormat="1" applyFont="1" applyFill="1" applyBorder="1" applyProtection="1"/>
    <xf numFmtId="3" fontId="45" fillId="22" borderId="279" xfId="0" applyNumberFormat="1" applyFont="1" applyFill="1" applyBorder="1" applyProtection="1"/>
    <xf numFmtId="3" fontId="45" fillId="22" borderId="280" xfId="0" applyNumberFormat="1" applyFont="1" applyFill="1" applyBorder="1" applyProtection="1"/>
    <xf numFmtId="3" fontId="45" fillId="22" borderId="271" xfId="0" applyNumberFormat="1" applyFont="1" applyFill="1" applyBorder="1" applyProtection="1"/>
    <xf numFmtId="3" fontId="45" fillId="21" borderId="279" xfId="0" applyNumberFormat="1" applyFont="1" applyFill="1" applyBorder="1" applyProtection="1"/>
    <xf numFmtId="3" fontId="45" fillId="21" borderId="280" xfId="0" applyNumberFormat="1" applyFont="1" applyFill="1" applyBorder="1" applyProtection="1"/>
    <xf numFmtId="1" fontId="45" fillId="21" borderId="281" xfId="0" applyNumberFormat="1" applyFont="1" applyFill="1" applyBorder="1" applyProtection="1"/>
    <xf numFmtId="3" fontId="3" fillId="21" borderId="283" xfId="0" applyNumberFormat="1" applyFont="1" applyFill="1" applyBorder="1" applyProtection="1"/>
    <xf numFmtId="3" fontId="3" fillId="21" borderId="282" xfId="0" applyNumberFormat="1" applyFont="1" applyFill="1" applyBorder="1" applyProtection="1"/>
    <xf numFmtId="3" fontId="3" fillId="21" borderId="284" xfId="0" applyNumberFormat="1" applyFont="1" applyFill="1" applyBorder="1" applyProtection="1"/>
    <xf numFmtId="3" fontId="36" fillId="21" borderId="283" xfId="0" applyNumberFormat="1" applyFont="1" applyFill="1" applyBorder="1" applyProtection="1"/>
    <xf numFmtId="1" fontId="3" fillId="21" borderId="285" xfId="0" applyNumberFormat="1" applyFont="1" applyFill="1" applyBorder="1" applyProtection="1"/>
    <xf numFmtId="0" fontId="5" fillId="36" borderId="187" xfId="0" applyFont="1" applyFill="1" applyBorder="1" applyProtection="1"/>
    <xf numFmtId="3" fontId="111" fillId="0" borderId="0" xfId="5" applyNumberFormat="1" applyFont="1" applyFill="1" applyBorder="1" applyAlignment="1" applyProtection="1">
      <alignment horizontal="right"/>
    </xf>
    <xf numFmtId="0" fontId="3" fillId="21" borderId="248" xfId="5" applyFont="1" applyFill="1" applyBorder="1" applyAlignment="1" applyProtection="1">
      <alignment horizontal="center" vertical="top"/>
    </xf>
    <xf numFmtId="0" fontId="3" fillId="21" borderId="248" xfId="5" applyFont="1" applyFill="1" applyBorder="1" applyProtection="1"/>
    <xf numFmtId="1" fontId="3" fillId="21" borderId="248" xfId="5" applyNumberFormat="1" applyFont="1" applyFill="1" applyBorder="1" applyAlignment="1" applyProtection="1">
      <alignment horizontal="left"/>
    </xf>
    <xf numFmtId="169" fontId="41" fillId="21" borderId="286" xfId="5" applyNumberFormat="1" applyFont="1" applyFill="1" applyBorder="1" applyProtection="1"/>
    <xf numFmtId="3" fontId="45" fillId="21" borderId="287" xfId="5" applyNumberFormat="1" applyFont="1" applyFill="1" applyBorder="1" applyProtection="1"/>
    <xf numFmtId="9" fontId="45" fillId="21" borderId="245" xfId="5" quotePrefix="1" applyNumberFormat="1" applyFont="1" applyFill="1" applyBorder="1" applyAlignment="1" applyProtection="1">
      <alignment horizontal="right"/>
    </xf>
    <xf numFmtId="3" fontId="42" fillId="21" borderId="257" xfId="5" applyNumberFormat="1" applyFont="1" applyFill="1" applyBorder="1" applyAlignment="1" applyProtection="1">
      <alignment horizontal="right"/>
    </xf>
    <xf numFmtId="3" fontId="42" fillId="21" borderId="246" xfId="5" applyNumberFormat="1" applyFont="1" applyFill="1" applyBorder="1" applyAlignment="1" applyProtection="1">
      <alignment horizontal="right"/>
    </xf>
    <xf numFmtId="3" fontId="42" fillId="21" borderId="258" xfId="5" applyNumberFormat="1" applyFont="1" applyFill="1" applyBorder="1" applyAlignment="1" applyProtection="1">
      <alignment horizontal="right"/>
    </xf>
    <xf numFmtId="9" fontId="45" fillId="21" borderId="254" xfId="5" applyNumberFormat="1" applyFont="1" applyFill="1" applyBorder="1" applyProtection="1"/>
    <xf numFmtId="0" fontId="3" fillId="21" borderId="288" xfId="5" applyFont="1" applyFill="1" applyBorder="1" applyProtection="1"/>
    <xf numFmtId="3" fontId="3" fillId="21" borderId="289" xfId="5" applyNumberFormat="1" applyFont="1" applyFill="1" applyBorder="1" applyProtection="1"/>
    <xf numFmtId="0" fontId="3" fillId="21" borderId="289" xfId="5" applyFont="1" applyFill="1" applyBorder="1" applyProtection="1"/>
    <xf numFmtId="0" fontId="7" fillId="21" borderId="289" xfId="5" applyFont="1" applyFill="1" applyBorder="1" applyAlignment="1" applyProtection="1">
      <alignment horizontal="left"/>
    </xf>
    <xf numFmtId="3" fontId="41" fillId="21" borderId="289" xfId="5" applyNumberFormat="1" applyFont="1" applyFill="1" applyBorder="1" applyProtection="1"/>
    <xf numFmtId="169" fontId="41" fillId="21" borderId="290" xfId="5" applyNumberFormat="1" applyFont="1" applyFill="1" applyBorder="1" applyProtection="1"/>
    <xf numFmtId="3" fontId="3" fillId="21" borderId="291" xfId="5" applyNumberFormat="1" applyFont="1" applyFill="1" applyBorder="1" applyProtection="1"/>
    <xf numFmtId="3" fontId="41" fillId="21" borderId="289" xfId="5" applyNumberFormat="1" applyFont="1" applyFill="1" applyBorder="1" applyAlignment="1" applyProtection="1">
      <alignment horizontal="right"/>
    </xf>
    <xf numFmtId="0" fontId="132" fillId="21" borderId="289" xfId="0" applyFont="1" applyFill="1" applyBorder="1" applyAlignment="1">
      <alignment vertical="top" wrapText="1"/>
    </xf>
    <xf numFmtId="3" fontId="41" fillId="21" borderId="292" xfId="5" applyNumberFormat="1" applyFont="1" applyFill="1" applyBorder="1" applyAlignment="1" applyProtection="1">
      <alignment horizontal="right"/>
    </xf>
    <xf numFmtId="3" fontId="3" fillId="21" borderId="288" xfId="5" applyNumberFormat="1" applyFont="1" applyFill="1" applyBorder="1" applyProtection="1"/>
    <xf numFmtId="3" fontId="118" fillId="21" borderId="289" xfId="5" applyNumberFormat="1" applyFont="1" applyFill="1" applyBorder="1" applyAlignment="1" applyProtection="1">
      <alignment horizontal="left" vertical="top"/>
    </xf>
    <xf numFmtId="0" fontId="119" fillId="21" borderId="289" xfId="0" applyFont="1" applyFill="1" applyBorder="1" applyAlignment="1"/>
    <xf numFmtId="3" fontId="3" fillId="21" borderId="288" xfId="5" applyNumberFormat="1" applyFont="1" applyFill="1" applyBorder="1" applyAlignment="1" applyProtection="1">
      <alignment horizontal="right"/>
    </xf>
    <xf numFmtId="3" fontId="3" fillId="21" borderId="289" xfId="5" applyNumberFormat="1" applyFont="1" applyFill="1" applyBorder="1" applyAlignment="1" applyProtection="1">
      <alignment horizontal="right"/>
    </xf>
    <xf numFmtId="0" fontId="133" fillId="21" borderId="289" xfId="0" applyFont="1" applyFill="1" applyBorder="1" applyAlignment="1">
      <alignment horizontal="left" vertical="top"/>
    </xf>
    <xf numFmtId="0" fontId="133" fillId="21" borderId="292" xfId="0" applyFont="1" applyFill="1" applyBorder="1" applyAlignment="1">
      <alignment horizontal="left" vertical="top"/>
    </xf>
    <xf numFmtId="3" fontId="3" fillId="21" borderId="293" xfId="5" applyNumberFormat="1" applyFont="1" applyFill="1" applyBorder="1" applyAlignment="1" applyProtection="1">
      <alignment wrapText="1"/>
    </xf>
    <xf numFmtId="3" fontId="3" fillId="21" borderId="246" xfId="5" applyNumberFormat="1" applyFont="1" applyFill="1" applyBorder="1" applyProtection="1"/>
    <xf numFmtId="0" fontId="3" fillId="21" borderId="246" xfId="5" applyFont="1" applyFill="1" applyBorder="1" applyAlignment="1" applyProtection="1">
      <alignment wrapText="1"/>
    </xf>
    <xf numFmtId="0" fontId="7" fillId="21" borderId="246" xfId="5" applyFont="1" applyFill="1" applyBorder="1" applyAlignment="1" applyProtection="1">
      <alignment horizontal="left" wrapText="1"/>
    </xf>
    <xf numFmtId="3" fontId="41" fillId="21" borderId="246" xfId="5" applyNumberFormat="1" applyFont="1" applyFill="1" applyBorder="1" applyProtection="1"/>
    <xf numFmtId="3" fontId="3" fillId="21" borderId="246" xfId="5" applyNumberFormat="1" applyFont="1" applyFill="1" applyBorder="1" applyAlignment="1" applyProtection="1">
      <alignment horizontal="left"/>
    </xf>
    <xf numFmtId="0" fontId="0" fillId="21" borderId="246" xfId="0" applyFill="1" applyBorder="1" applyAlignment="1"/>
    <xf numFmtId="3" fontId="41" fillId="21" borderId="258" xfId="5" applyNumberFormat="1" applyFont="1" applyFill="1" applyBorder="1" applyAlignment="1" applyProtection="1">
      <alignment horizontal="left"/>
    </xf>
    <xf numFmtId="169" fontId="3" fillId="21" borderId="293" xfId="5" applyNumberFormat="1" applyFont="1" applyFill="1" applyBorder="1" applyAlignment="1" applyProtection="1">
      <alignment horizontal="left"/>
    </xf>
    <xf numFmtId="169" fontId="41" fillId="21" borderId="246" xfId="5" applyNumberFormat="1" applyFont="1" applyFill="1" applyBorder="1" applyAlignment="1" applyProtection="1">
      <alignment horizontal="left"/>
    </xf>
    <xf numFmtId="3" fontId="3" fillId="21" borderId="250" xfId="5" applyNumberFormat="1" applyFont="1" applyFill="1" applyBorder="1" applyAlignment="1" applyProtection="1">
      <alignment horizontal="left"/>
    </xf>
    <xf numFmtId="3" fontId="3" fillId="21" borderId="256" xfId="5" applyNumberFormat="1" applyFont="1" applyFill="1" applyBorder="1" applyAlignment="1" applyProtection="1">
      <alignment horizontal="left"/>
    </xf>
    <xf numFmtId="0" fontId="24" fillId="36" borderId="68" xfId="5" applyFont="1" applyFill="1" applyBorder="1" applyProtection="1"/>
    <xf numFmtId="3" fontId="2" fillId="39" borderId="5" xfId="5" applyNumberFormat="1" applyFont="1" applyFill="1" applyBorder="1" applyAlignment="1" applyProtection="1"/>
    <xf numFmtId="0" fontId="0" fillId="21" borderId="294" xfId="0" applyFill="1" applyBorder="1"/>
    <xf numFmtId="0" fontId="0" fillId="21" borderId="295" xfId="0" applyFill="1" applyBorder="1"/>
    <xf numFmtId="1" fontId="5" fillId="21" borderId="296" xfId="0" applyNumberFormat="1" applyFont="1" applyFill="1" applyBorder="1" applyAlignment="1" applyProtection="1">
      <alignment horizontal="left"/>
    </xf>
    <xf numFmtId="1" fontId="3" fillId="21" borderId="297" xfId="0" applyNumberFormat="1" applyFont="1" applyFill="1" applyBorder="1" applyAlignment="1" applyProtection="1">
      <alignment horizontal="left"/>
    </xf>
    <xf numFmtId="1" fontId="5" fillId="21" borderId="297" xfId="0" applyNumberFormat="1" applyFont="1" applyFill="1" applyBorder="1" applyAlignment="1" applyProtection="1">
      <alignment horizontal="left"/>
    </xf>
    <xf numFmtId="0" fontId="0" fillId="21" borderId="298" xfId="0" applyFill="1" applyBorder="1"/>
    <xf numFmtId="1" fontId="3" fillId="21" borderId="299" xfId="0" applyNumberFormat="1" applyFont="1" applyFill="1" applyBorder="1" applyAlignment="1" applyProtection="1">
      <alignment horizontal="left"/>
    </xf>
    <xf numFmtId="1" fontId="5" fillId="21" borderId="300" xfId="0" applyNumberFormat="1" applyFont="1" applyFill="1" applyBorder="1" applyAlignment="1" applyProtection="1">
      <alignment horizontal="left"/>
    </xf>
    <xf numFmtId="0" fontId="3" fillId="21" borderId="248" xfId="5" applyFont="1" applyFill="1" applyBorder="1" applyAlignment="1" applyProtection="1">
      <alignment horizontal="center"/>
    </xf>
    <xf numFmtId="0" fontId="3" fillId="21" borderId="248" xfId="5" applyFont="1" applyFill="1" applyBorder="1" applyAlignment="1" applyProtection="1"/>
    <xf numFmtId="0" fontId="3" fillId="21" borderId="248" xfId="0" applyFont="1" applyFill="1" applyBorder="1" applyAlignment="1" applyProtection="1"/>
    <xf numFmtId="0" fontId="9" fillId="21" borderId="301" xfId="0" applyFont="1" applyFill="1" applyBorder="1" applyAlignment="1" applyProtection="1">
      <alignment horizontal="left"/>
    </xf>
    <xf numFmtId="9" fontId="45" fillId="21" borderId="302" xfId="0" quotePrefix="1" applyNumberFormat="1" applyFont="1" applyFill="1" applyBorder="1" applyAlignment="1" applyProtection="1">
      <alignment horizontal="right"/>
    </xf>
    <xf numFmtId="9" fontId="45" fillId="21" borderId="245" xfId="0" quotePrefix="1" applyNumberFormat="1" applyFont="1" applyFill="1" applyBorder="1" applyAlignment="1" applyProtection="1">
      <alignment horizontal="right"/>
    </xf>
    <xf numFmtId="3" fontId="45" fillId="21" borderId="257" xfId="0" applyNumberFormat="1" applyFont="1" applyFill="1" applyBorder="1" applyAlignment="1" applyProtection="1">
      <alignment horizontal="right"/>
    </xf>
    <xf numFmtId="0" fontId="0" fillId="21" borderId="303" xfId="0" applyFill="1" applyBorder="1"/>
    <xf numFmtId="9" fontId="45" fillId="21" borderId="241" xfId="0" quotePrefix="1" applyNumberFormat="1" applyFont="1" applyFill="1" applyBorder="1" applyAlignment="1" applyProtection="1">
      <alignment horizontal="right"/>
    </xf>
    <xf numFmtId="9" fontId="45" fillId="21" borderId="242" xfId="0" quotePrefix="1" applyNumberFormat="1" applyFont="1" applyFill="1" applyBorder="1" applyAlignment="1" applyProtection="1">
      <alignment horizontal="right"/>
    </xf>
    <xf numFmtId="9" fontId="45" fillId="21" borderId="254" xfId="0" quotePrefix="1" applyNumberFormat="1" applyFont="1" applyFill="1" applyBorder="1" applyAlignment="1" applyProtection="1">
      <alignment horizontal="right"/>
    </xf>
    <xf numFmtId="3" fontId="3" fillId="21" borderId="304" xfId="0" applyNumberFormat="1" applyFont="1" applyFill="1" applyBorder="1" applyAlignment="1" applyProtection="1">
      <alignment wrapText="1"/>
    </xf>
    <xf numFmtId="3" fontId="3" fillId="21" borderId="296" xfId="0" applyNumberFormat="1" applyFont="1" applyFill="1" applyBorder="1" applyAlignment="1" applyProtection="1"/>
    <xf numFmtId="3" fontId="3" fillId="21" borderId="296" xfId="0" applyNumberFormat="1" applyFont="1" applyFill="1" applyBorder="1" applyAlignment="1" applyProtection="1">
      <alignment vertical="center" wrapText="1"/>
    </xf>
    <xf numFmtId="0" fontId="2" fillId="21" borderId="296" xfId="0" applyFont="1" applyFill="1" applyBorder="1" applyAlignment="1" applyProtection="1">
      <alignment wrapText="1"/>
    </xf>
    <xf numFmtId="0" fontId="9" fillId="21" borderId="305" xfId="0" applyFont="1" applyFill="1" applyBorder="1" applyAlignment="1" applyProtection="1">
      <alignment horizontal="left" wrapText="1"/>
    </xf>
    <xf numFmtId="3" fontId="3" fillId="21" borderId="306" xfId="0" applyNumberFormat="1" applyFont="1" applyFill="1" applyBorder="1" applyAlignment="1" applyProtection="1">
      <alignment horizontal="right"/>
    </xf>
    <xf numFmtId="0" fontId="0" fillId="21" borderId="296" xfId="0" applyFill="1" applyBorder="1"/>
    <xf numFmtId="3" fontId="41" fillId="21" borderId="307" xfId="0" applyNumberFormat="1" applyFont="1" applyFill="1" applyBorder="1" applyAlignment="1" applyProtection="1">
      <alignment horizontal="right"/>
    </xf>
    <xf numFmtId="3" fontId="3" fillId="21" borderId="296" xfId="0" applyNumberFormat="1" applyFont="1" applyFill="1" applyBorder="1" applyAlignment="1" applyProtection="1">
      <alignment horizontal="right"/>
    </xf>
    <xf numFmtId="3" fontId="3" fillId="21" borderId="308" xfId="0" applyNumberFormat="1" applyFont="1" applyFill="1" applyBorder="1" applyAlignment="1" applyProtection="1">
      <alignment horizontal="right"/>
    </xf>
    <xf numFmtId="3" fontId="118" fillId="21" borderId="296" xfId="0" applyNumberFormat="1" applyFont="1" applyFill="1" applyBorder="1" applyAlignment="1" applyProtection="1">
      <alignment horizontal="left" vertical="top"/>
    </xf>
    <xf numFmtId="0" fontId="119" fillId="21" borderId="307" xfId="0" applyFont="1" applyFill="1" applyBorder="1" applyAlignment="1">
      <alignment horizontal="left" vertical="top"/>
    </xf>
    <xf numFmtId="3" fontId="3" fillId="21" borderId="293" xfId="0" applyNumberFormat="1" applyFont="1" applyFill="1" applyBorder="1" applyAlignment="1" applyProtection="1">
      <alignment wrapText="1"/>
    </xf>
    <xf numFmtId="3" fontId="3" fillId="21" borderId="246" xfId="0" applyNumberFormat="1" applyFont="1" applyFill="1" applyBorder="1" applyAlignment="1" applyProtection="1"/>
    <xf numFmtId="3" fontId="3" fillId="21" borderId="246" xfId="0" applyNumberFormat="1" applyFont="1" applyFill="1" applyBorder="1" applyAlignment="1" applyProtection="1">
      <alignment vertical="center" wrapText="1"/>
    </xf>
    <xf numFmtId="0" fontId="2" fillId="21" borderId="246" xfId="0" applyFont="1" applyFill="1" applyBorder="1" applyAlignment="1" applyProtection="1">
      <alignment wrapText="1"/>
    </xf>
    <xf numFmtId="0" fontId="9" fillId="21" borderId="246" xfId="0" applyFont="1" applyFill="1" applyBorder="1" applyAlignment="1" applyProtection="1">
      <alignment horizontal="left" wrapText="1"/>
    </xf>
    <xf numFmtId="3" fontId="3" fillId="21" borderId="309" xfId="0" applyNumberFormat="1" applyFont="1" applyFill="1" applyBorder="1" applyAlignment="1" applyProtection="1">
      <alignment horizontal="left"/>
    </xf>
    <xf numFmtId="0" fontId="0" fillId="21" borderId="246" xfId="0" applyFill="1" applyBorder="1"/>
    <xf numFmtId="3" fontId="41" fillId="21" borderId="246" xfId="0" applyNumberFormat="1" applyFont="1" applyFill="1" applyBorder="1" applyAlignment="1" applyProtection="1">
      <alignment horizontal="left"/>
    </xf>
    <xf numFmtId="3" fontId="3" fillId="21" borderId="293" xfId="0" applyNumberFormat="1" applyFont="1" applyFill="1" applyBorder="1" applyAlignment="1" applyProtection="1">
      <alignment horizontal="left"/>
    </xf>
    <xf numFmtId="3" fontId="41" fillId="21" borderId="252" xfId="0" applyNumberFormat="1" applyFont="1" applyFill="1" applyBorder="1" applyAlignment="1" applyProtection="1">
      <alignment horizontal="right"/>
    </xf>
    <xf numFmtId="3" fontId="3" fillId="21" borderId="246" xfId="0" applyNumberFormat="1" applyFont="1" applyFill="1" applyBorder="1" applyAlignment="1" applyProtection="1">
      <alignment horizontal="left"/>
    </xf>
    <xf numFmtId="0" fontId="119" fillId="21" borderId="246" xfId="0" applyFont="1" applyFill="1" applyBorder="1" applyAlignment="1">
      <alignment horizontal="left" vertical="top"/>
    </xf>
    <xf numFmtId="0" fontId="119" fillId="21" borderId="258" xfId="0" applyFont="1" applyFill="1" applyBorder="1" applyAlignment="1">
      <alignment horizontal="left" vertical="top"/>
    </xf>
    <xf numFmtId="3" fontId="3" fillId="21" borderId="256" xfId="0" applyNumberFormat="1" applyFont="1" applyFill="1" applyBorder="1" applyAlignment="1" applyProtection="1">
      <alignment horizontal="left"/>
    </xf>
    <xf numFmtId="3" fontId="41" fillId="21" borderId="310" xfId="0" applyNumberFormat="1" applyFont="1" applyFill="1" applyBorder="1" applyAlignment="1" applyProtection="1">
      <alignment horizontal="right"/>
    </xf>
    <xf numFmtId="3" fontId="41" fillId="21" borderId="311" xfId="0" applyNumberFormat="1" applyFont="1" applyFill="1" applyBorder="1" applyAlignment="1" applyProtection="1">
      <alignment horizontal="left"/>
    </xf>
    <xf numFmtId="3" fontId="2" fillId="3" borderId="107" xfId="0" applyNumberFormat="1" applyFont="1" applyFill="1" applyBorder="1" applyProtection="1"/>
    <xf numFmtId="3" fontId="5" fillId="21" borderId="88" xfId="0" applyNumberFormat="1" applyFont="1" applyFill="1" applyBorder="1" applyAlignment="1" applyProtection="1">
      <alignment wrapText="1"/>
    </xf>
    <xf numFmtId="3" fontId="2" fillId="2" borderId="16" xfId="0" applyNumberFormat="1" applyFont="1" applyFill="1" applyBorder="1" applyAlignment="1" applyProtection="1">
      <alignment horizontal="right"/>
      <protection locked="0"/>
    </xf>
    <xf numFmtId="9" fontId="3" fillId="21" borderId="86" xfId="0" applyNumberFormat="1" applyFont="1" applyFill="1" applyBorder="1" applyAlignment="1" applyProtection="1">
      <alignment horizontal="right"/>
    </xf>
    <xf numFmtId="0" fontId="0" fillId="35" borderId="58" xfId="0" applyFill="1" applyBorder="1"/>
    <xf numFmtId="0" fontId="3" fillId="21" borderId="8" xfId="0" applyFont="1" applyFill="1" applyBorder="1" applyAlignment="1" applyProtection="1">
      <alignment horizontal="center"/>
    </xf>
    <xf numFmtId="0" fontId="3" fillId="21" borderId="154" xfId="0" applyFont="1" applyFill="1" applyBorder="1" applyAlignment="1" applyProtection="1">
      <alignment horizontal="center"/>
    </xf>
    <xf numFmtId="3" fontId="2" fillId="2" borderId="57" xfId="0" applyNumberFormat="1" applyFont="1" applyFill="1" applyBorder="1" applyProtection="1">
      <protection locked="0"/>
    </xf>
    <xf numFmtId="0" fontId="3" fillId="21" borderId="81" xfId="0" applyFont="1" applyFill="1" applyBorder="1" applyAlignment="1" applyProtection="1">
      <alignment horizontal="center"/>
    </xf>
    <xf numFmtId="0" fontId="3" fillId="21" borderId="312" xfId="0" applyFont="1" applyFill="1" applyBorder="1" applyAlignment="1" applyProtection="1">
      <alignment horizontal="center"/>
    </xf>
    <xf numFmtId="1" fontId="111" fillId="0" borderId="157" xfId="0" applyNumberFormat="1" applyFont="1" applyFill="1" applyBorder="1" applyAlignment="1" applyProtection="1">
      <alignment horizontal="left"/>
    </xf>
    <xf numFmtId="3" fontId="3" fillId="0" borderId="44" xfId="0" applyNumberFormat="1" applyFont="1" applyFill="1" applyBorder="1" applyAlignment="1" applyProtection="1">
      <alignment horizontal="center"/>
    </xf>
    <xf numFmtId="1" fontId="3" fillId="21" borderId="127" xfId="0" applyNumberFormat="1" applyFont="1" applyFill="1" applyBorder="1" applyAlignment="1" applyProtection="1">
      <alignment horizontal="left" vertical="top"/>
    </xf>
    <xf numFmtId="0" fontId="0" fillId="0" borderId="0" xfId="0" applyBorder="1" applyProtection="1"/>
    <xf numFmtId="0" fontId="9" fillId="0" borderId="27" xfId="0" applyFont="1" applyFill="1" applyBorder="1" applyAlignment="1" applyProtection="1">
      <alignment horizontal="left" vertical="center"/>
    </xf>
    <xf numFmtId="0" fontId="0" fillId="2" borderId="0" xfId="0" applyFont="1" applyFill="1" applyBorder="1" applyProtection="1"/>
    <xf numFmtId="3" fontId="42" fillId="21" borderId="5" xfId="0" applyNumberFormat="1" applyFont="1" applyFill="1" applyBorder="1" applyAlignment="1" applyProtection="1">
      <alignment horizontal="right"/>
    </xf>
    <xf numFmtId="3" fontId="118" fillId="21" borderId="313" xfId="5" applyNumberFormat="1" applyFont="1" applyFill="1" applyBorder="1" applyAlignment="1" applyProtection="1">
      <alignment horizontal="left" vertical="top"/>
    </xf>
    <xf numFmtId="49" fontId="11" fillId="25" borderId="135" xfId="0" applyNumberFormat="1" applyFont="1" applyFill="1" applyBorder="1" applyProtection="1"/>
    <xf numFmtId="0" fontId="11" fillId="21" borderId="116" xfId="0" applyFont="1" applyFill="1" applyBorder="1" applyProtection="1"/>
    <xf numFmtId="0" fontId="76" fillId="21" borderId="112" xfId="0" applyFont="1" applyFill="1" applyBorder="1" applyAlignment="1">
      <alignment wrapText="1"/>
    </xf>
    <xf numFmtId="0" fontId="76" fillId="21" borderId="67" xfId="0" applyFont="1" applyFill="1" applyBorder="1" applyAlignment="1">
      <alignment wrapText="1"/>
    </xf>
    <xf numFmtId="0" fontId="5" fillId="21" borderId="36" xfId="0" applyFont="1" applyFill="1" applyBorder="1" applyAlignment="1" applyProtection="1">
      <alignment horizontal="center" vertical="center"/>
    </xf>
    <xf numFmtId="0" fontId="0" fillId="21" borderId="121" xfId="0" applyFill="1" applyBorder="1" applyProtection="1"/>
    <xf numFmtId="0" fontId="3" fillId="21" borderId="125" xfId="0" applyFont="1" applyFill="1" applyBorder="1" applyAlignment="1" applyProtection="1">
      <alignment wrapText="1"/>
    </xf>
    <xf numFmtId="0" fontId="0" fillId="21" borderId="79" xfId="0" applyFill="1" applyBorder="1" applyAlignment="1">
      <alignment wrapText="1"/>
    </xf>
    <xf numFmtId="0" fontId="3" fillId="21" borderId="50" xfId="0" applyFont="1" applyFill="1" applyBorder="1" applyAlignment="1" applyProtection="1">
      <alignment wrapText="1"/>
    </xf>
    <xf numFmtId="0" fontId="24" fillId="21" borderId="52" xfId="0" applyFont="1" applyFill="1" applyBorder="1" applyAlignment="1">
      <alignment wrapText="1"/>
    </xf>
    <xf numFmtId="0" fontId="1" fillId="21" borderId="121" xfId="0" applyFont="1" applyFill="1" applyBorder="1" applyAlignment="1" applyProtection="1"/>
    <xf numFmtId="3" fontId="45" fillId="22" borderId="127" xfId="0" applyNumberFormat="1" applyFont="1" applyFill="1" applyBorder="1" applyAlignment="1" applyProtection="1"/>
    <xf numFmtId="3" fontId="45" fillId="22" borderId="21" xfId="0" applyNumberFormat="1" applyFont="1" applyFill="1" applyBorder="1" applyAlignment="1" applyProtection="1"/>
    <xf numFmtId="3" fontId="45" fillId="22" borderId="60" xfId="0" applyNumberFormat="1" applyFont="1" applyFill="1" applyBorder="1" applyAlignment="1" applyProtection="1"/>
    <xf numFmtId="3" fontId="45" fillId="22" borderId="18" xfId="0" applyNumberFormat="1" applyFont="1" applyFill="1" applyBorder="1" applyAlignment="1" applyProtection="1"/>
    <xf numFmtId="1" fontId="17" fillId="21" borderId="15" xfId="0" applyNumberFormat="1" applyFont="1" applyFill="1" applyBorder="1" applyAlignment="1" applyProtection="1">
      <alignment horizontal="left" vertical="top" wrapText="1"/>
    </xf>
    <xf numFmtId="0" fontId="51" fillId="21" borderId="42" xfId="0" applyFont="1" applyFill="1" applyBorder="1" applyAlignment="1">
      <alignment horizontal="left" vertical="top" wrapText="1"/>
    </xf>
    <xf numFmtId="0" fontId="5" fillId="21" borderId="121" xfId="0" applyFont="1" applyFill="1" applyBorder="1" applyAlignment="1" applyProtection="1"/>
    <xf numFmtId="3" fontId="5" fillId="21" borderId="36" xfId="0" applyNumberFormat="1" applyFont="1" applyFill="1" applyBorder="1" applyAlignment="1" applyProtection="1">
      <alignment horizontal="center" vertical="center"/>
    </xf>
    <xf numFmtId="0" fontId="7" fillId="21" borderId="121" xfId="0" applyFont="1" applyFill="1" applyBorder="1" applyAlignment="1" applyProtection="1"/>
    <xf numFmtId="0" fontId="3" fillId="21" borderId="181" xfId="0" applyFont="1" applyFill="1" applyBorder="1" applyAlignment="1" applyProtection="1">
      <alignment horizontal="left" wrapText="1"/>
    </xf>
    <xf numFmtId="0" fontId="0" fillId="21" borderId="182" xfId="0" applyFill="1" applyBorder="1" applyAlignment="1" applyProtection="1"/>
    <xf numFmtId="0" fontId="0" fillId="21" borderId="183" xfId="0" applyFill="1" applyBorder="1" applyAlignment="1" applyProtection="1"/>
    <xf numFmtId="1" fontId="5"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3" fillId="0" borderId="0" xfId="0" applyNumberFormat="1" applyFont="1" applyFill="1" applyBorder="1" applyAlignment="1" applyProtection="1">
      <alignment horizontal="center" wrapText="1"/>
    </xf>
    <xf numFmtId="0" fontId="7" fillId="0" borderId="0" xfId="0" applyFont="1" applyFill="1" applyBorder="1" applyAlignment="1" applyProtection="1">
      <alignment vertical="top" wrapText="1"/>
    </xf>
    <xf numFmtId="1" fontId="2" fillId="21" borderId="15" xfId="0" applyNumberFormat="1" applyFont="1" applyFill="1" applyBorder="1" applyAlignment="1" applyProtection="1">
      <alignment horizontal="left" wrapText="1"/>
    </xf>
    <xf numFmtId="0" fontId="9" fillId="21" borderId="15" xfId="0" applyFont="1" applyFill="1" applyBorder="1" applyAlignment="1">
      <alignment wrapText="1"/>
    </xf>
    <xf numFmtId="0" fontId="7" fillId="0" borderId="0" xfId="0" applyFont="1" applyFill="1" applyBorder="1" applyAlignment="1">
      <alignment wrapText="1"/>
    </xf>
    <xf numFmtId="0" fontId="113" fillId="0" borderId="0" xfId="0" applyFont="1" applyFill="1" applyAlignment="1" applyProtection="1">
      <alignment vertical="top" wrapText="1"/>
    </xf>
    <xf numFmtId="0" fontId="113" fillId="0" borderId="0" xfId="0" applyFont="1" applyFill="1" applyBorder="1" applyAlignment="1">
      <alignment wrapText="1"/>
    </xf>
    <xf numFmtId="0" fontId="113" fillId="0" borderId="0" xfId="0" applyFont="1" applyFill="1" applyAlignment="1">
      <alignment vertical="top" wrapText="1"/>
    </xf>
    <xf numFmtId="0" fontId="136" fillId="0" borderId="0" xfId="0" applyFont="1" applyFill="1" applyBorder="1" applyAlignment="1">
      <alignment horizontal="left" wrapText="1"/>
    </xf>
    <xf numFmtId="0" fontId="136" fillId="0" borderId="57" xfId="0" applyFont="1" applyBorder="1" applyAlignment="1">
      <alignment horizontal="left" wrapText="1"/>
    </xf>
    <xf numFmtId="0" fontId="136" fillId="0" borderId="0" xfId="0" applyFont="1" applyAlignment="1">
      <alignment horizontal="left" wrapText="1"/>
    </xf>
    <xf numFmtId="0" fontId="136" fillId="0" borderId="0" xfId="0" applyFont="1" applyBorder="1" applyAlignment="1">
      <alignment horizontal="left" wrapText="1"/>
    </xf>
    <xf numFmtId="0" fontId="3" fillId="21" borderId="118" xfId="0" applyFont="1" applyFill="1" applyBorder="1" applyAlignment="1" applyProtection="1">
      <alignment horizontal="left" vertical="top" wrapText="1"/>
    </xf>
    <xf numFmtId="0" fontId="0" fillId="0" borderId="42" xfId="0" applyBorder="1"/>
    <xf numFmtId="49" fontId="20" fillId="0" borderId="0" xfId="0" applyNumberFormat="1" applyFont="1" applyFill="1" applyBorder="1" applyAlignment="1" applyProtection="1">
      <alignment horizontal="left" wrapText="1"/>
    </xf>
    <xf numFmtId="0" fontId="55" fillId="0" borderId="0" xfId="0" applyFont="1" applyAlignment="1">
      <alignment horizontal="left" wrapText="1"/>
    </xf>
    <xf numFmtId="0" fontId="0" fillId="0" borderId="0" xfId="0" applyAlignment="1"/>
    <xf numFmtId="0" fontId="55" fillId="0" borderId="0" xfId="0" applyFont="1" applyAlignment="1" applyProtection="1">
      <alignment horizontal="left" wrapText="1"/>
    </xf>
    <xf numFmtId="0" fontId="0" fillId="0" borderId="0" xfId="0" applyAlignment="1" applyProtection="1">
      <alignment wrapText="1"/>
    </xf>
    <xf numFmtId="0" fontId="139" fillId="38" borderId="0" xfId="0" applyNumberFormat="1" applyFont="1" applyFill="1" applyBorder="1" applyAlignment="1" applyProtection="1">
      <alignment vertical="center" wrapText="1"/>
    </xf>
    <xf numFmtId="0" fontId="0" fillId="0" borderId="0" xfId="0" applyFill="1" applyAlignment="1">
      <alignment vertical="center" wrapText="1"/>
    </xf>
    <xf numFmtId="3" fontId="3" fillId="0" borderId="58" xfId="0" applyNumberFormat="1" applyFont="1" applyFill="1" applyBorder="1" applyAlignment="1" applyProtection="1"/>
    <xf numFmtId="0" fontId="7" fillId="0" borderId="57" xfId="0" applyFont="1" applyFill="1" applyBorder="1" applyAlignment="1"/>
    <xf numFmtId="0" fontId="2" fillId="21" borderId="191" xfId="0" applyFont="1" applyFill="1" applyBorder="1" applyAlignment="1" applyProtection="1">
      <alignment horizontal="center" vertical="top"/>
    </xf>
    <xf numFmtId="0" fontId="9" fillId="21" borderId="48" xfId="0" applyFont="1" applyFill="1" applyBorder="1" applyAlignment="1" applyProtection="1">
      <alignment horizontal="center" vertical="top"/>
    </xf>
    <xf numFmtId="0" fontId="9" fillId="21" borderId="41" xfId="0" applyFont="1" applyFill="1" applyBorder="1" applyAlignment="1" applyProtection="1">
      <alignment horizontal="center" vertical="top"/>
    </xf>
    <xf numFmtId="0" fontId="5" fillId="21" borderId="198" xfId="0" applyFont="1" applyFill="1" applyBorder="1" applyAlignment="1" applyProtection="1">
      <alignment horizontal="center" vertical="center" wrapText="1"/>
    </xf>
    <xf numFmtId="0" fontId="5" fillId="21" borderId="163" xfId="0" applyFont="1" applyFill="1" applyBorder="1" applyAlignment="1" applyProtection="1">
      <alignment horizontal="center" vertical="center" wrapText="1"/>
    </xf>
    <xf numFmtId="0" fontId="5" fillId="21" borderId="221" xfId="0" applyFont="1" applyFill="1" applyBorder="1" applyAlignment="1" applyProtection="1">
      <alignment horizontal="center" vertical="center" wrapText="1"/>
    </xf>
    <xf numFmtId="3" fontId="3" fillId="21" borderId="75" xfId="0" applyNumberFormat="1" applyFont="1" applyFill="1" applyBorder="1" applyAlignment="1" applyProtection="1">
      <alignment horizontal="left" wrapText="1"/>
    </xf>
    <xf numFmtId="0" fontId="24" fillId="21" borderId="76" xfId="0" applyFont="1" applyFill="1" applyBorder="1" applyAlignment="1" applyProtection="1">
      <alignment horizontal="left" wrapText="1"/>
    </xf>
    <xf numFmtId="0" fontId="24" fillId="21" borderId="92" xfId="0" applyFont="1" applyFill="1" applyBorder="1" applyAlignment="1" applyProtection="1">
      <alignment horizontal="left" wrapText="1"/>
    </xf>
    <xf numFmtId="3" fontId="3" fillId="21" borderId="75" xfId="0" applyNumberFormat="1" applyFont="1" applyFill="1" applyBorder="1" applyAlignment="1" applyProtection="1">
      <alignment horizontal="left" vertical="top" wrapText="1"/>
    </xf>
    <xf numFmtId="0" fontId="24" fillId="21" borderId="76" xfId="0" applyFont="1" applyFill="1" applyBorder="1" applyAlignment="1" applyProtection="1">
      <alignment horizontal="left" vertical="top" wrapText="1"/>
    </xf>
    <xf numFmtId="0" fontId="24" fillId="21" borderId="92" xfId="0" applyFont="1" applyFill="1" applyBorder="1" applyAlignment="1" applyProtection="1">
      <alignment horizontal="left" vertical="top" wrapText="1"/>
    </xf>
    <xf numFmtId="3" fontId="3" fillId="21" borderId="75" xfId="0" applyNumberFormat="1" applyFont="1" applyFill="1" applyBorder="1" applyAlignment="1" applyProtection="1">
      <alignment vertical="center" wrapText="1"/>
    </xf>
    <xf numFmtId="0" fontId="0" fillId="21" borderId="76" xfId="0" applyFill="1" applyBorder="1" applyAlignment="1" applyProtection="1">
      <alignment vertical="center"/>
    </xf>
    <xf numFmtId="0" fontId="0" fillId="21" borderId="92" xfId="0" applyFill="1" applyBorder="1" applyAlignment="1" applyProtection="1">
      <alignment vertical="center"/>
    </xf>
    <xf numFmtId="3" fontId="3" fillId="21" borderId="157" xfId="0" applyNumberFormat="1" applyFont="1" applyFill="1" applyBorder="1" applyAlignment="1" applyProtection="1">
      <alignment horizontal="left" vertical="top" wrapText="1"/>
    </xf>
    <xf numFmtId="0" fontId="0" fillId="0" borderId="157" xfId="0" applyBorder="1" applyAlignment="1">
      <alignment horizontal="left" wrapText="1"/>
    </xf>
    <xf numFmtId="3" fontId="10" fillId="0" borderId="199" xfId="0" applyNumberFormat="1" applyFont="1" applyFill="1" applyBorder="1" applyAlignment="1" applyProtection="1">
      <alignment horizontal="left" vertical="top" wrapText="1"/>
      <protection locked="0"/>
    </xf>
    <xf numFmtId="0" fontId="2" fillId="0" borderId="222" xfId="0" applyFont="1" applyFill="1" applyBorder="1" applyAlignment="1" applyProtection="1">
      <alignment horizontal="left" vertical="top" wrapText="1"/>
      <protection locked="0"/>
    </xf>
    <xf numFmtId="0" fontId="2" fillId="0" borderId="249" xfId="0" applyFont="1" applyFill="1" applyBorder="1" applyAlignment="1" applyProtection="1">
      <alignment horizontal="left" vertical="top" wrapText="1"/>
      <protection locked="0"/>
    </xf>
    <xf numFmtId="0" fontId="2" fillId="0" borderId="199" xfId="0" applyFont="1" applyFill="1" applyBorder="1" applyAlignment="1" applyProtection="1">
      <alignment horizontal="left" vertical="top" wrapText="1"/>
      <protection locked="0"/>
    </xf>
    <xf numFmtId="3" fontId="3" fillId="21" borderId="203" xfId="0" applyNumberFormat="1" applyFont="1" applyFill="1" applyBorder="1" applyAlignment="1" applyProtection="1">
      <alignment vertical="center" wrapText="1"/>
    </xf>
    <xf numFmtId="3" fontId="3" fillId="21" borderId="193" xfId="0" applyNumberFormat="1" applyFont="1" applyFill="1" applyBorder="1" applyAlignment="1" applyProtection="1">
      <alignment vertical="center" wrapText="1"/>
    </xf>
    <xf numFmtId="0" fontId="3" fillId="21" borderId="12" xfId="0" applyFont="1" applyFill="1" applyBorder="1" applyAlignment="1" applyProtection="1">
      <alignment horizontal="left" vertical="top" wrapText="1"/>
    </xf>
    <xf numFmtId="0" fontId="0" fillId="0" borderId="92" xfId="0" applyBorder="1" applyAlignment="1"/>
    <xf numFmtId="3" fontId="3" fillId="21" borderId="75" xfId="0" applyNumberFormat="1" applyFont="1" applyFill="1" applyBorder="1" applyAlignment="1" applyProtection="1">
      <alignment wrapText="1"/>
    </xf>
    <xf numFmtId="0" fontId="0" fillId="21" borderId="76" xfId="0" applyFill="1" applyBorder="1" applyAlignment="1">
      <alignment wrapText="1"/>
    </xf>
    <xf numFmtId="0" fontId="0" fillId="21" borderId="92" xfId="0" applyFill="1" applyBorder="1" applyAlignment="1">
      <alignment wrapText="1"/>
    </xf>
    <xf numFmtId="3" fontId="3" fillId="21" borderId="159" xfId="5" applyNumberFormat="1" applyFont="1" applyFill="1" applyBorder="1" applyAlignment="1" applyProtection="1">
      <alignment horizontal="left" vertical="top" wrapText="1"/>
    </xf>
    <xf numFmtId="0" fontId="24" fillId="21" borderId="159" xfId="5" applyFill="1" applyBorder="1" applyAlignment="1">
      <alignment horizontal="left" wrapText="1"/>
    </xf>
    <xf numFmtId="3" fontId="3" fillId="21" borderId="226" xfId="0" applyNumberFormat="1" applyFont="1" applyFill="1" applyBorder="1" applyAlignment="1" applyProtection="1">
      <alignment horizontal="left" vertical="top" wrapText="1"/>
    </xf>
    <xf numFmtId="0" fontId="0" fillId="0" borderId="44" xfId="0" applyBorder="1" applyAlignment="1">
      <alignment horizontal="left" wrapText="1"/>
    </xf>
    <xf numFmtId="3" fontId="3" fillId="21" borderId="261" xfId="0" applyNumberFormat="1" applyFont="1" applyFill="1" applyBorder="1" applyAlignment="1" applyProtection="1">
      <alignment horizontal="left" vertical="top" wrapText="1"/>
    </xf>
    <xf numFmtId="0" fontId="0" fillId="0" borderId="262" xfId="0" applyBorder="1" applyAlignment="1">
      <alignment horizontal="left" wrapText="1"/>
    </xf>
    <xf numFmtId="0" fontId="2" fillId="21" borderId="49" xfId="0" applyFont="1" applyFill="1" applyBorder="1" applyAlignment="1" applyProtection="1">
      <alignment horizontal="center" vertical="top"/>
    </xf>
    <xf numFmtId="0" fontId="2" fillId="21" borderId="164" xfId="0" applyFont="1" applyFill="1" applyBorder="1" applyAlignment="1" applyProtection="1">
      <alignment horizontal="center" vertical="top"/>
    </xf>
    <xf numFmtId="3" fontId="2" fillId="21" borderId="49" xfId="0" applyNumberFormat="1" applyFont="1" applyFill="1" applyBorder="1" applyAlignment="1" applyProtection="1">
      <alignment horizontal="center" vertical="top"/>
    </xf>
    <xf numFmtId="3" fontId="2" fillId="21" borderId="48" xfId="0" applyNumberFormat="1" applyFont="1" applyFill="1" applyBorder="1" applyAlignment="1" applyProtection="1">
      <alignment horizontal="center" vertical="top"/>
    </xf>
    <xf numFmtId="3" fontId="2" fillId="21" borderId="164" xfId="0" applyNumberFormat="1" applyFont="1" applyFill="1" applyBorder="1" applyAlignment="1" applyProtection="1">
      <alignment horizontal="center" vertical="top"/>
    </xf>
    <xf numFmtId="0" fontId="2" fillId="21" borderId="48" xfId="0" applyFont="1" applyFill="1" applyBorder="1" applyAlignment="1" applyProtection="1">
      <alignment horizontal="center" vertical="top"/>
    </xf>
    <xf numFmtId="3" fontId="2" fillId="21" borderId="49" xfId="0" applyNumberFormat="1" applyFont="1" applyFill="1" applyBorder="1" applyAlignment="1" applyProtection="1">
      <alignment horizontal="left" vertical="top" wrapText="1"/>
    </xf>
    <xf numFmtId="0" fontId="9" fillId="21" borderId="41" xfId="0" applyFont="1" applyFill="1" applyBorder="1" applyAlignment="1" applyProtection="1">
      <alignment vertical="top" wrapText="1"/>
    </xf>
    <xf numFmtId="0" fontId="3" fillId="2" borderId="198" xfId="0" applyFont="1" applyFill="1" applyBorder="1" applyAlignment="1" applyProtection="1">
      <alignment horizontal="right"/>
    </xf>
    <xf numFmtId="0" fontId="0" fillId="0" borderId="163" xfId="0" applyBorder="1" applyAlignment="1">
      <alignment horizontal="right"/>
    </xf>
    <xf numFmtId="0" fontId="0" fillId="0" borderId="102" xfId="0" applyBorder="1" applyAlignment="1">
      <alignment horizontal="right"/>
    </xf>
    <xf numFmtId="0" fontId="129" fillId="21" borderId="27" xfId="0" applyFont="1" applyFill="1" applyBorder="1" applyAlignment="1" applyProtection="1">
      <alignment wrapText="1"/>
    </xf>
    <xf numFmtId="0" fontId="0" fillId="21" borderId="27" xfId="0" applyFill="1" applyBorder="1" applyAlignment="1">
      <alignment wrapText="1"/>
    </xf>
    <xf numFmtId="0" fontId="3" fillId="21" borderId="0" xfId="0" applyFont="1" applyFill="1" applyBorder="1" applyAlignment="1" applyProtection="1">
      <alignment wrapText="1"/>
    </xf>
    <xf numFmtId="0" fontId="24" fillId="21" borderId="0" xfId="0" applyFont="1" applyFill="1" applyAlignment="1">
      <alignment wrapText="1"/>
    </xf>
    <xf numFmtId="0" fontId="3" fillId="21" borderId="27" xfId="0" applyFont="1" applyFill="1" applyBorder="1" applyAlignment="1" applyProtection="1">
      <alignment wrapText="1"/>
    </xf>
    <xf numFmtId="0" fontId="3" fillId="21" borderId="27" xfId="0" applyFont="1" applyFill="1" applyBorder="1" applyAlignment="1" applyProtection="1">
      <alignment horizontal="left" vertical="top" wrapText="1"/>
    </xf>
    <xf numFmtId="0" fontId="0" fillId="21" borderId="27" xfId="0" applyFill="1" applyBorder="1" applyAlignment="1">
      <alignment horizontal="left" vertical="top" wrapText="1"/>
    </xf>
    <xf numFmtId="0" fontId="0" fillId="21" borderId="0" xfId="0" applyFill="1" applyAlignment="1">
      <alignment wrapText="1"/>
    </xf>
    <xf numFmtId="0" fontId="129" fillId="21" borderId="0" xfId="0" applyFont="1" applyFill="1" applyBorder="1" applyAlignment="1" applyProtection="1">
      <alignment wrapText="1"/>
    </xf>
    <xf numFmtId="0" fontId="0" fillId="21" borderId="39" xfId="0" applyFill="1" applyBorder="1" applyAlignment="1">
      <alignment wrapText="1"/>
    </xf>
    <xf numFmtId="0" fontId="56" fillId="0" borderId="0" xfId="0" applyFont="1" applyFill="1" applyBorder="1" applyAlignment="1" applyProtection="1">
      <alignment horizontal="left" wrapText="1"/>
    </xf>
    <xf numFmtId="0" fontId="5" fillId="21" borderId="282" xfId="0" applyFont="1" applyFill="1" applyBorder="1" applyAlignment="1" applyProtection="1">
      <alignment vertical="top" wrapText="1"/>
    </xf>
    <xf numFmtId="0" fontId="51" fillId="21" borderId="283" xfId="0" applyFont="1" applyFill="1" applyBorder="1" applyAlignment="1" applyProtection="1">
      <alignment vertical="top" wrapText="1"/>
    </xf>
    <xf numFmtId="0" fontId="5" fillId="21" borderId="271" xfId="0" applyFont="1" applyFill="1" applyBorder="1" applyAlignment="1" applyProtection="1">
      <alignment vertical="top" wrapText="1"/>
    </xf>
    <xf numFmtId="0" fontId="5" fillId="21" borderId="272" xfId="0" applyFont="1" applyFill="1" applyBorder="1" applyAlignment="1" applyProtection="1">
      <alignment vertical="top" wrapText="1"/>
    </xf>
    <xf numFmtId="0" fontId="5" fillId="21" borderId="273" xfId="0" applyFont="1" applyFill="1" applyBorder="1" applyAlignment="1" applyProtection="1">
      <alignment vertical="top" wrapText="1"/>
    </xf>
    <xf numFmtId="0" fontId="3" fillId="21" borderId="15" xfId="0" applyFont="1" applyFill="1" applyBorder="1" applyAlignment="1" applyProtection="1">
      <alignment vertical="top" wrapText="1"/>
    </xf>
    <xf numFmtId="0" fontId="0" fillId="21" borderId="15" xfId="0" applyFill="1" applyBorder="1" applyAlignment="1" applyProtection="1">
      <alignment vertical="top" wrapText="1"/>
    </xf>
    <xf numFmtId="0" fontId="0" fillId="21" borderId="42" xfId="0" applyFill="1" applyBorder="1" applyAlignment="1" applyProtection="1">
      <alignment vertical="top" wrapText="1"/>
    </xf>
    <xf numFmtId="0" fontId="3" fillId="21" borderId="60" xfId="0" applyFont="1" applyFill="1" applyBorder="1" applyAlignment="1" applyProtection="1">
      <alignment vertical="top" wrapText="1"/>
    </xf>
    <xf numFmtId="0" fontId="0" fillId="21" borderId="60" xfId="0" applyFill="1" applyBorder="1" applyAlignment="1" applyProtection="1">
      <alignment vertical="top" wrapText="1"/>
    </xf>
    <xf numFmtId="0" fontId="0" fillId="21" borderId="90" xfId="0" applyFill="1" applyBorder="1" applyAlignment="1" applyProtection="1">
      <alignment vertical="top" wrapText="1"/>
    </xf>
    <xf numFmtId="0" fontId="5" fillId="21" borderId="189" xfId="0" applyFont="1" applyFill="1" applyBorder="1" applyAlignment="1" applyProtection="1">
      <alignment horizontal="left" vertical="top" wrapText="1"/>
    </xf>
    <xf numFmtId="0" fontId="0" fillId="21" borderId="124" xfId="0" applyFill="1" applyBorder="1" applyAlignment="1">
      <alignment vertical="top"/>
    </xf>
    <xf numFmtId="0" fontId="0" fillId="21" borderId="111" xfId="0" applyFill="1" applyBorder="1" applyAlignment="1">
      <alignment vertical="top"/>
    </xf>
    <xf numFmtId="0" fontId="0" fillId="21" borderId="1" xfId="0" applyFill="1" applyBorder="1" applyAlignment="1">
      <alignment vertical="top"/>
    </xf>
    <xf numFmtId="0" fontId="0" fillId="21" borderId="228" xfId="0" applyFill="1" applyBorder="1" applyAlignment="1">
      <alignment vertical="top"/>
    </xf>
    <xf numFmtId="0" fontId="3" fillId="21" borderId="247" xfId="5" applyFont="1" applyFill="1" applyBorder="1" applyAlignment="1" applyProtection="1">
      <alignment wrapText="1"/>
    </xf>
    <xf numFmtId="0" fontId="0" fillId="0" borderId="248" xfId="0" applyBorder="1" applyAlignment="1">
      <alignment wrapText="1"/>
    </xf>
    <xf numFmtId="3" fontId="3" fillId="21" borderId="289" xfId="5" applyNumberFormat="1" applyFont="1" applyFill="1" applyBorder="1" applyAlignment="1" applyProtection="1">
      <alignment vertical="top" wrapText="1"/>
    </xf>
    <xf numFmtId="0" fontId="24" fillId="21" borderId="246" xfId="5" applyFill="1" applyBorder="1" applyAlignment="1" applyProtection="1"/>
    <xf numFmtId="0" fontId="24" fillId="21" borderId="289" xfId="5" applyFill="1" applyBorder="1" applyAlignment="1" applyProtection="1"/>
    <xf numFmtId="0" fontId="132" fillId="21" borderId="246" xfId="0" applyFont="1" applyFill="1" applyBorder="1" applyAlignment="1">
      <alignment vertical="top" wrapText="1"/>
    </xf>
    <xf numFmtId="0" fontId="0" fillId="21" borderId="246" xfId="0" applyFill="1" applyBorder="1" applyAlignment="1">
      <alignment vertical="top" wrapText="1"/>
    </xf>
    <xf numFmtId="0" fontId="134" fillId="21" borderId="246" xfId="0" applyFont="1" applyFill="1" applyBorder="1" applyAlignment="1">
      <alignment wrapText="1"/>
    </xf>
    <xf numFmtId="0" fontId="135" fillId="0" borderId="246" xfId="0" applyFont="1" applyBorder="1" applyAlignment="1">
      <alignment wrapText="1"/>
    </xf>
    <xf numFmtId="0" fontId="133" fillId="21" borderId="257" xfId="0" applyFont="1" applyFill="1" applyBorder="1" applyAlignment="1">
      <alignment horizontal="left" vertical="top" wrapText="1"/>
    </xf>
    <xf numFmtId="0" fontId="0" fillId="21" borderId="246" xfId="0" applyFill="1" applyBorder="1" applyAlignment="1">
      <alignment horizontal="left" vertical="top" wrapText="1"/>
    </xf>
    <xf numFmtId="0" fontId="0" fillId="21" borderId="258" xfId="0" applyFill="1" applyBorder="1" applyAlignment="1">
      <alignment horizontal="left" vertical="top" wrapText="1"/>
    </xf>
    <xf numFmtId="0" fontId="51" fillId="21" borderId="36" xfId="5" applyFont="1" applyFill="1" applyBorder="1" applyAlignment="1" applyProtection="1">
      <alignment vertical="center" wrapText="1"/>
    </xf>
    <xf numFmtId="0" fontId="0" fillId="0" borderId="96" xfId="0" applyBorder="1" applyAlignment="1">
      <alignment wrapText="1"/>
    </xf>
    <xf numFmtId="0" fontId="0" fillId="0" borderId="58" xfId="0" applyBorder="1" applyAlignment="1">
      <alignment wrapText="1"/>
    </xf>
    <xf numFmtId="0" fontId="0" fillId="0" borderId="44" xfId="0" applyBorder="1" applyAlignment="1">
      <alignment wrapText="1"/>
    </xf>
    <xf numFmtId="0" fontId="3" fillId="21" borderId="118" xfId="5" applyFont="1" applyFill="1" applyBorder="1" applyAlignment="1" applyProtection="1">
      <alignment vertical="top" wrapText="1"/>
    </xf>
    <xf numFmtId="0" fontId="0" fillId="0" borderId="2" xfId="0" applyBorder="1" applyAlignment="1">
      <alignment vertical="top" wrapText="1"/>
    </xf>
    <xf numFmtId="3" fontId="3" fillId="21" borderId="16" xfId="5" applyNumberFormat="1" applyFont="1" applyFill="1" applyBorder="1" applyAlignment="1" applyProtection="1">
      <alignment vertical="top" wrapText="1"/>
    </xf>
    <xf numFmtId="0" fontId="0" fillId="21" borderId="16" xfId="0" applyFill="1" applyBorder="1" applyAlignment="1">
      <alignment wrapText="1"/>
    </xf>
    <xf numFmtId="3" fontId="3" fillId="36" borderId="15" xfId="5" applyNumberFormat="1" applyFont="1" applyFill="1" applyBorder="1" applyAlignment="1" applyProtection="1">
      <alignment vertical="top" wrapText="1"/>
    </xf>
    <xf numFmtId="0" fontId="0" fillId="36" borderId="15" xfId="0" applyFill="1" applyBorder="1" applyAlignment="1">
      <alignment vertical="top" wrapText="1"/>
    </xf>
    <xf numFmtId="3" fontId="3" fillId="21" borderId="15" xfId="5" applyNumberFormat="1" applyFont="1" applyFill="1" applyBorder="1" applyAlignment="1" applyProtection="1">
      <alignment vertical="top" wrapText="1"/>
    </xf>
    <xf numFmtId="0" fontId="0" fillId="21" borderId="15" xfId="0" applyFill="1" applyBorder="1" applyAlignment="1">
      <alignment wrapText="1"/>
    </xf>
    <xf numFmtId="0" fontId="3" fillId="21" borderId="15" xfId="5" applyFont="1" applyFill="1" applyBorder="1" applyAlignment="1" applyProtection="1">
      <alignment vertical="top" wrapText="1"/>
    </xf>
    <xf numFmtId="0" fontId="0" fillId="21" borderId="15" xfId="0" applyFill="1" applyBorder="1" applyAlignment="1">
      <alignment vertical="top" wrapText="1"/>
    </xf>
    <xf numFmtId="0" fontId="0" fillId="21" borderId="42" xfId="0" applyFill="1" applyBorder="1" applyAlignment="1">
      <alignment vertical="top" wrapText="1"/>
    </xf>
    <xf numFmtId="3" fontId="3" fillId="21" borderId="158" xfId="5" applyNumberFormat="1" applyFont="1" applyFill="1" applyBorder="1" applyAlignment="1" applyProtection="1">
      <alignment vertical="center" wrapText="1"/>
    </xf>
    <xf numFmtId="0" fontId="0" fillId="21" borderId="158" xfId="0" applyFill="1" applyBorder="1" applyAlignment="1">
      <alignment vertical="center" wrapText="1"/>
    </xf>
    <xf numFmtId="3" fontId="3" fillId="21" borderId="167" xfId="5" applyNumberFormat="1" applyFont="1" applyFill="1" applyBorder="1" applyAlignment="1" applyProtection="1">
      <alignment wrapText="1"/>
    </xf>
    <xf numFmtId="0" fontId="0" fillId="21" borderId="3" xfId="0" applyFill="1" applyBorder="1" applyAlignment="1">
      <alignment wrapText="1"/>
    </xf>
    <xf numFmtId="0" fontId="0" fillId="21" borderId="158" xfId="0" applyFill="1" applyBorder="1" applyAlignment="1">
      <alignment vertical="center"/>
    </xf>
    <xf numFmtId="3" fontId="3" fillId="21" borderId="158" xfId="5" applyNumberFormat="1" applyFont="1" applyFill="1" applyBorder="1" applyAlignment="1" applyProtection="1">
      <alignment vertical="top" wrapText="1"/>
    </xf>
    <xf numFmtId="0" fontId="24" fillId="21" borderId="158" xfId="0" applyFont="1" applyFill="1" applyBorder="1" applyAlignment="1">
      <alignment vertical="top" wrapText="1"/>
    </xf>
    <xf numFmtId="0" fontId="3" fillId="21" borderId="247" xfId="0" applyFont="1" applyFill="1" applyBorder="1" applyAlignment="1" applyProtection="1">
      <alignment vertical="top" wrapText="1"/>
    </xf>
    <xf numFmtId="0" fontId="0" fillId="0" borderId="248" xfId="0" applyBorder="1" applyAlignment="1">
      <alignment vertical="top" wrapText="1"/>
    </xf>
    <xf numFmtId="3" fontId="3" fillId="21" borderId="158" xfId="0" applyNumberFormat="1" applyFont="1" applyFill="1" applyBorder="1" applyAlignment="1" applyProtection="1">
      <alignment vertical="top" wrapText="1"/>
    </xf>
    <xf numFmtId="0" fontId="24" fillId="21" borderId="175" xfId="0" applyFont="1" applyFill="1" applyBorder="1" applyAlignment="1">
      <alignment vertical="top" wrapText="1"/>
    </xf>
    <xf numFmtId="3" fontId="3" fillId="21" borderId="158" xfId="0" applyNumberFormat="1" applyFont="1" applyFill="1" applyBorder="1" applyAlignment="1" applyProtection="1">
      <alignment wrapText="1"/>
    </xf>
    <xf numFmtId="0" fontId="0" fillId="21" borderId="158" xfId="0" applyFill="1" applyBorder="1" applyAlignment="1">
      <alignment wrapText="1"/>
    </xf>
    <xf numFmtId="0" fontId="3" fillId="21" borderId="158" xfId="0" applyFont="1" applyFill="1" applyBorder="1" applyAlignment="1" applyProtection="1">
      <alignment vertical="top" wrapText="1"/>
    </xf>
    <xf numFmtId="0" fontId="0" fillId="0" borderId="158" xfId="0" applyBorder="1" applyAlignment="1">
      <alignment vertical="top" wrapText="1"/>
    </xf>
    <xf numFmtId="3" fontId="3" fillId="21" borderId="108" xfId="0" applyNumberFormat="1" applyFont="1" applyFill="1" applyBorder="1" applyAlignment="1" applyProtection="1">
      <alignment vertical="top" wrapText="1"/>
    </xf>
  </cellXfs>
  <cellStyles count="17">
    <cellStyle name="Anteckning 2" xfId="1" xr:uid="{00000000-0005-0000-0000-000000000000}"/>
    <cellStyle name="Anteckning 2 2" xfId="2" xr:uid="{00000000-0005-0000-0000-000001000000}"/>
    <cellStyle name="Dålig 2" xfId="3" xr:uid="{00000000-0005-0000-0000-000002000000}"/>
    <cellStyle name="Följde hyperlänken" xfId="4" xr:uid="{00000000-0005-0000-0000-000003000000}"/>
    <cellStyle name="Normal" xfId="0" builtinId="0"/>
    <cellStyle name="Normal 2" xfId="5" xr:uid="{00000000-0005-0000-0000-000006000000}"/>
    <cellStyle name="Normal 3" xfId="6" xr:uid="{00000000-0005-0000-0000-000007000000}"/>
    <cellStyle name="Normal 4" xfId="7" xr:uid="{00000000-0005-0000-0000-000008000000}"/>
    <cellStyle name="Normal 4 2" xfId="8" xr:uid="{00000000-0005-0000-0000-000009000000}"/>
    <cellStyle name="Normal_Kontrollblad" xfId="9" xr:uid="{00000000-0005-0000-0000-00000A000000}"/>
    <cellStyle name="Normal_skolkostn" xfId="10" xr:uid="{00000000-0005-0000-0000-00000C000000}"/>
    <cellStyle name="Normal_skolkostn 2" xfId="11" xr:uid="{00000000-0005-0000-0000-00000D000000}"/>
    <cellStyle name="Procent" xfId="12" builtinId="5"/>
    <cellStyle name="Procent 2" xfId="13" xr:uid="{00000000-0005-0000-0000-00000F000000}"/>
    <cellStyle name="Tusental" xfId="16" builtinId="3"/>
    <cellStyle name="Tusental (0)_Kommunägda företag" xfId="14" xr:uid="{00000000-0005-0000-0000-000010000000}"/>
    <cellStyle name="Valuta (0)_Kommunägda företag" xfId="15" xr:uid="{00000000-0005-0000-0000-000011000000}"/>
  </cellStyles>
  <dxfs count="166">
    <dxf>
      <fill>
        <patternFill>
          <bgColor indexed="10"/>
        </patternFill>
      </fill>
    </dxf>
    <dxf>
      <fill>
        <patternFill>
          <bgColor rgb="FFFF000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rgb="FFFF0000"/>
      </font>
    </dxf>
    <dxf>
      <font>
        <b val="0"/>
        <i val="0"/>
        <condense val="0"/>
        <extend val="0"/>
        <color auto="1"/>
      </font>
      <fill>
        <patternFill>
          <bgColor indexed="10"/>
        </patternFill>
      </fill>
    </dxf>
    <dxf>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i val="0"/>
        <color rgb="FFFF0000"/>
      </font>
    </dxf>
    <dxf>
      <font>
        <b val="0"/>
        <i val="0"/>
        <color auto="1"/>
        <name val="Cambria"/>
        <scheme val="none"/>
      </font>
      <fill>
        <patternFill>
          <bgColor theme="9" tint="0.39994506668294322"/>
        </patternFill>
      </fill>
    </dxf>
    <dxf>
      <font>
        <b val="0"/>
        <i val="0"/>
        <color auto="1"/>
        <name val="Cambria"/>
        <scheme val="none"/>
      </font>
      <fill>
        <patternFill>
          <bgColor theme="9" tint="0.39994506668294322"/>
        </patternFill>
      </fill>
    </dxf>
    <dxf>
      <font>
        <b val="0"/>
        <i val="0"/>
        <color auto="1"/>
        <name val="Cambria"/>
        <scheme val="none"/>
      </font>
      <fill>
        <patternFill patternType="solid">
          <bgColor theme="9" tint="0.39994506668294322"/>
        </patternFill>
      </fill>
    </dxf>
    <dxf>
      <font>
        <color rgb="FFFF0000"/>
      </font>
    </dxf>
    <dxf>
      <font>
        <color rgb="FFFF0000"/>
      </font>
    </dxf>
    <dxf>
      <font>
        <color rgb="FFFF0000"/>
      </font>
    </dxf>
    <dxf>
      <fill>
        <patternFill>
          <bgColor rgb="FFFF0000"/>
        </patternFill>
      </fill>
    </dxf>
    <dxf>
      <font>
        <color rgb="FFFF0000"/>
      </font>
    </dxf>
    <dxf>
      <font>
        <condense val="0"/>
        <extend val="0"/>
        <color indexed="10"/>
      </font>
    </dxf>
    <dxf>
      <font>
        <condense val="0"/>
        <extend val="0"/>
        <color indexed="10"/>
      </font>
    </dxf>
    <dxf>
      <fill>
        <patternFill>
          <bgColor indexed="10"/>
        </patternFill>
      </fill>
    </dxf>
    <dxf>
      <font>
        <color auto="1"/>
      </font>
      <fill>
        <patternFill>
          <bgColor theme="9" tint="0.39994506668294322"/>
        </patternFill>
      </fill>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condense val="0"/>
        <extend val="0"/>
        <color auto="1"/>
      </font>
    </dxf>
    <dxf>
      <font>
        <b/>
        <i val="0"/>
        <condense val="0"/>
        <extend val="0"/>
        <color indexed="10"/>
      </font>
      <fill>
        <patternFill patternType="none">
          <bgColor indexed="65"/>
        </patternFill>
      </fill>
    </dxf>
    <dxf>
      <font>
        <b/>
        <i val="0"/>
        <condense val="0"/>
        <extend val="0"/>
        <color indexed="10"/>
      </font>
    </dxf>
    <dxf>
      <fill>
        <patternFill>
          <bgColor indexed="10"/>
        </patternFill>
      </fill>
    </dxf>
    <dxf>
      <font>
        <b/>
        <i val="0"/>
        <condense val="0"/>
        <extend val="0"/>
        <color indexed="10"/>
      </font>
      <fill>
        <patternFill patternType="none">
          <bgColor indexed="65"/>
        </patternFill>
      </fill>
    </dxf>
    <dxf>
      <font>
        <b/>
        <i val="0"/>
        <condense val="0"/>
        <extend val="0"/>
        <color indexed="10"/>
      </font>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47</xdr:row>
      <xdr:rowOff>28576</xdr:rowOff>
    </xdr:from>
    <xdr:to>
      <xdr:col>8</xdr:col>
      <xdr:colOff>69850</xdr:colOff>
      <xdr:row>47</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57</xdr:row>
      <xdr:rowOff>104775</xdr:rowOff>
    </xdr:from>
    <xdr:to>
      <xdr:col>6</xdr:col>
      <xdr:colOff>0</xdr:colOff>
      <xdr:row>57</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53</xdr:row>
      <xdr:rowOff>114300</xdr:rowOff>
    </xdr:from>
    <xdr:to>
      <xdr:col>5</xdr:col>
      <xdr:colOff>1568450</xdr:colOff>
      <xdr:row>54</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55</xdr:row>
      <xdr:rowOff>76200</xdr:rowOff>
    </xdr:from>
    <xdr:to>
      <xdr:col>6</xdr:col>
      <xdr:colOff>9525</xdr:colOff>
      <xdr:row>56</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56</xdr:row>
      <xdr:rowOff>104776</xdr:rowOff>
    </xdr:from>
    <xdr:to>
      <xdr:col>5</xdr:col>
      <xdr:colOff>1568450</xdr:colOff>
      <xdr:row>56</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67</xdr:row>
      <xdr:rowOff>41275</xdr:rowOff>
    </xdr:from>
    <xdr:to>
      <xdr:col>6</xdr:col>
      <xdr:colOff>19050</xdr:colOff>
      <xdr:row>67</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57</xdr:row>
      <xdr:rowOff>114300</xdr:rowOff>
    </xdr:from>
    <xdr:to>
      <xdr:col>6</xdr:col>
      <xdr:colOff>0</xdr:colOff>
      <xdr:row>58</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58</xdr:row>
      <xdr:rowOff>111125</xdr:rowOff>
    </xdr:from>
    <xdr:to>
      <xdr:col>5</xdr:col>
      <xdr:colOff>1524000</xdr:colOff>
      <xdr:row>60</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75</xdr:row>
      <xdr:rowOff>76200</xdr:rowOff>
    </xdr:from>
    <xdr:to>
      <xdr:col>6</xdr:col>
      <xdr:colOff>31750</xdr:colOff>
      <xdr:row>80</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77</xdr:row>
      <xdr:rowOff>85725</xdr:rowOff>
    </xdr:from>
    <xdr:to>
      <xdr:col>4</xdr:col>
      <xdr:colOff>647700</xdr:colOff>
      <xdr:row>77</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76</xdr:row>
      <xdr:rowOff>66675</xdr:rowOff>
    </xdr:from>
    <xdr:to>
      <xdr:col>5</xdr:col>
      <xdr:colOff>1076325</xdr:colOff>
      <xdr:row>76</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77</xdr:row>
      <xdr:rowOff>95250</xdr:rowOff>
    </xdr:from>
    <xdr:to>
      <xdr:col>5</xdr:col>
      <xdr:colOff>1095375</xdr:colOff>
      <xdr:row>77</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78</xdr:row>
      <xdr:rowOff>114300</xdr:rowOff>
    </xdr:from>
    <xdr:to>
      <xdr:col>5</xdr:col>
      <xdr:colOff>1047750</xdr:colOff>
      <xdr:row>78</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63</xdr:row>
      <xdr:rowOff>53975</xdr:rowOff>
    </xdr:from>
    <xdr:to>
      <xdr:col>6</xdr:col>
      <xdr:colOff>6350</xdr:colOff>
      <xdr:row>63</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58</xdr:row>
      <xdr:rowOff>114300</xdr:rowOff>
    </xdr:from>
    <xdr:to>
      <xdr:col>5</xdr:col>
      <xdr:colOff>1568450</xdr:colOff>
      <xdr:row>59</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53</xdr:row>
      <xdr:rowOff>95250</xdr:rowOff>
    </xdr:from>
    <xdr:to>
      <xdr:col>5</xdr:col>
      <xdr:colOff>9525</xdr:colOff>
      <xdr:row>53</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56</xdr:row>
      <xdr:rowOff>76200</xdr:rowOff>
    </xdr:from>
    <xdr:to>
      <xdr:col>5</xdr:col>
      <xdr:colOff>9525</xdr:colOff>
      <xdr:row>57</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48</xdr:row>
      <xdr:rowOff>17319</xdr:rowOff>
    </xdr:from>
    <xdr:to>
      <xdr:col>5</xdr:col>
      <xdr:colOff>25977</xdr:colOff>
      <xdr:row>48</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67</xdr:row>
      <xdr:rowOff>9525</xdr:rowOff>
    </xdr:from>
    <xdr:to>
      <xdr:col>5</xdr:col>
      <xdr:colOff>9525</xdr:colOff>
      <xdr:row>68</xdr:row>
      <xdr:rowOff>114300</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200525" y="12792075"/>
          <a:ext cx="1495425" cy="342900"/>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31115</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31115</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3.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3.v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abSelected="1" zoomScaleNormal="100" workbookViewId="0">
      <selection sqref="A1:D1"/>
    </sheetView>
  </sheetViews>
  <sheetFormatPr defaultColWidth="0" defaultRowHeight="12.75" zeroHeight="1"/>
  <cols>
    <col min="1" max="1" width="22.5703125" style="417" customWidth="1"/>
    <col min="2" max="2" width="26.5703125" style="417" customWidth="1"/>
    <col min="3" max="3" width="20.5703125" style="417" customWidth="1"/>
    <col min="4" max="4" width="26.5703125" style="417" customWidth="1"/>
    <col min="5" max="5" width="12.42578125" style="416" customWidth="1"/>
  </cols>
  <sheetData>
    <row r="1" spans="1:5" s="418" customFormat="1">
      <c r="A1" s="2490"/>
      <c r="B1" s="2491"/>
      <c r="C1" s="2491"/>
      <c r="D1" s="2491"/>
      <c r="E1" s="2179"/>
    </row>
    <row r="2" spans="1:5" s="417" customFormat="1" ht="15.75">
      <c r="A2" s="2180" t="s">
        <v>1214</v>
      </c>
      <c r="B2" s="2181"/>
      <c r="C2" s="2182"/>
      <c r="D2" s="2182"/>
      <c r="E2" s="2183"/>
    </row>
    <row r="3" spans="1:5" s="417" customFormat="1" ht="15.75">
      <c r="A3" s="2184"/>
      <c r="B3" s="2185"/>
      <c r="C3" s="2182"/>
      <c r="D3" s="2182"/>
      <c r="E3" s="2183"/>
    </row>
    <row r="4" spans="1:5" s="417" customFormat="1" ht="15.75">
      <c r="A4" s="1916" t="str">
        <f>"Invånare 31 dec. "&amp;År&amp;""</f>
        <v>Invånare 31 dec. 2023</v>
      </c>
      <c r="B4" s="2186">
        <v>10551.707</v>
      </c>
      <c r="C4" s="2187">
        <v>10551707</v>
      </c>
      <c r="D4" s="2182"/>
      <c r="E4" s="2183"/>
    </row>
    <row r="5" spans="1:5" s="417" customFormat="1" ht="19.5" customHeight="1">
      <c r="A5" s="1916" t="str">
        <f>"Inv. 7-15 år 31 dec. "&amp;År&amp;""</f>
        <v>Inv. 7-15 år 31 dec. 2023</v>
      </c>
      <c r="B5" s="2186">
        <v>1129.9159999999999</v>
      </c>
      <c r="C5" s="2187">
        <v>1129916</v>
      </c>
      <c r="D5" s="2182"/>
      <c r="E5" s="2183"/>
    </row>
    <row r="6" spans="1:5" s="417" customFormat="1">
      <c r="A6" s="2188"/>
      <c r="B6" s="2188"/>
      <c r="C6" s="2188"/>
      <c r="D6" s="2188"/>
      <c r="E6" s="2188"/>
    </row>
    <row r="7" spans="1:5" s="417" customFormat="1">
      <c r="A7" s="2188"/>
      <c r="B7" s="2188"/>
      <c r="C7" s="2188"/>
      <c r="D7" s="2188"/>
      <c r="E7" s="2188"/>
    </row>
    <row r="8" spans="1:5" s="417" customFormat="1" ht="22.5" customHeight="1">
      <c r="A8" s="2188"/>
      <c r="B8" s="2188"/>
      <c r="C8" s="2188"/>
      <c r="D8" s="2188"/>
      <c r="E8" s="2188"/>
    </row>
    <row r="9" spans="1:5" s="417" customFormat="1" ht="12.75" customHeight="1">
      <c r="A9" s="2188"/>
      <c r="B9" s="2188"/>
      <c r="C9" s="2188"/>
      <c r="D9" s="2188"/>
      <c r="E9" s="2188"/>
    </row>
    <row r="10" spans="1:5" s="417" customFormat="1">
      <c r="A10" s="2188"/>
      <c r="B10" s="2188"/>
      <c r="C10" s="2188"/>
      <c r="D10" s="2188"/>
      <c r="E10" s="2188"/>
    </row>
    <row r="11" spans="1:5" s="417" customFormat="1">
      <c r="A11" s="2188"/>
      <c r="B11" s="2188"/>
      <c r="C11" s="2188"/>
      <c r="D11" s="2188"/>
      <c r="E11" s="2188"/>
    </row>
    <row r="12" spans="1:5" s="417" customFormat="1" ht="33">
      <c r="A12" s="2189" t="s">
        <v>1215</v>
      </c>
      <c r="B12" s="2188"/>
      <c r="C12" s="2188"/>
      <c r="D12" s="2188"/>
      <c r="E12" s="2188"/>
    </row>
    <row r="13" spans="1:5" s="417" customFormat="1">
      <c r="A13" s="2188"/>
      <c r="B13" s="2188"/>
      <c r="C13" s="2188"/>
      <c r="D13" s="2188"/>
      <c r="E13" s="2188"/>
    </row>
    <row r="14" spans="1:5" s="417" customFormat="1" ht="33">
      <c r="A14" s="2189" t="s">
        <v>1216</v>
      </c>
      <c r="B14" s="2188"/>
      <c r="C14" s="2188"/>
      <c r="D14" s="2188"/>
      <c r="E14" s="2188"/>
    </row>
    <row r="15" spans="1:5" s="417" customFormat="1">
      <c r="A15" s="2188"/>
      <c r="B15" s="2188"/>
      <c r="C15" s="2188"/>
      <c r="D15" s="2188"/>
      <c r="E15" s="2188"/>
    </row>
    <row r="16" spans="1:5" s="417" customFormat="1">
      <c r="A16" s="2188"/>
      <c r="B16" s="2188"/>
      <c r="C16" s="2188"/>
      <c r="D16" s="2188"/>
      <c r="E16" s="2188"/>
    </row>
    <row r="17" spans="1:5" s="417" customFormat="1">
      <c r="A17" s="2188"/>
      <c r="B17" s="2188"/>
      <c r="C17" s="2188"/>
      <c r="D17" s="2188"/>
      <c r="E17" s="2188"/>
    </row>
    <row r="18" spans="1:5" s="417" customFormat="1" ht="13.35" customHeight="1">
      <c r="A18" s="2188"/>
      <c r="B18" s="2188"/>
      <c r="C18" s="2188"/>
      <c r="D18" s="2188"/>
      <c r="E18" s="2188"/>
    </row>
    <row r="19" spans="1:5" s="417" customFormat="1">
      <c r="A19" s="2188"/>
      <c r="B19" s="2188"/>
      <c r="C19" s="2188"/>
      <c r="D19" s="2188"/>
      <c r="E19" s="2188"/>
    </row>
    <row r="20" spans="1:5" s="417" customFormat="1">
      <c r="A20" s="2188"/>
      <c r="B20" s="2188"/>
      <c r="C20" s="2188"/>
      <c r="D20" s="2188"/>
      <c r="E20" s="2188"/>
    </row>
    <row r="21" spans="1:5" s="417" customFormat="1">
      <c r="A21" s="2188"/>
      <c r="B21" s="2188"/>
      <c r="C21" s="2188"/>
      <c r="D21" s="2188"/>
      <c r="E21" s="2188"/>
    </row>
    <row r="22" spans="1:5" s="417" customFormat="1">
      <c r="A22" s="2188"/>
      <c r="B22" s="2188"/>
      <c r="C22" s="2188"/>
      <c r="D22" s="2188"/>
      <c r="E22" s="2188"/>
    </row>
    <row r="23" spans="1:5" s="417" customFormat="1">
      <c r="A23" s="2188"/>
      <c r="B23" s="2188"/>
      <c r="C23" s="2188"/>
      <c r="D23" s="2188"/>
      <c r="E23" s="2188"/>
    </row>
    <row r="24" spans="1:5" s="417" customFormat="1">
      <c r="A24" s="2188"/>
      <c r="B24" s="2188"/>
      <c r="C24" s="2188"/>
      <c r="D24" s="2188"/>
      <c r="E24" s="2188"/>
    </row>
    <row r="25" spans="1:5" s="417" customFormat="1">
      <c r="A25" s="2188"/>
      <c r="B25" s="2188"/>
      <c r="C25" s="2188"/>
      <c r="D25" s="2188"/>
      <c r="E25" s="2188"/>
    </row>
    <row r="26" spans="1:5" s="417" customFormat="1">
      <c r="A26" s="2188"/>
      <c r="B26" s="2188"/>
      <c r="C26" s="2188"/>
      <c r="D26" s="2188"/>
      <c r="E26" s="2188"/>
    </row>
    <row r="27" spans="1:5" s="417" customFormat="1">
      <c r="A27" s="2188"/>
      <c r="B27" s="2188"/>
      <c r="C27" s="2188"/>
      <c r="D27" s="2188"/>
      <c r="E27" s="2188"/>
    </row>
    <row r="28" spans="1:5" s="417" customFormat="1">
      <c r="A28" s="2188"/>
      <c r="B28" s="2188"/>
      <c r="C28" s="2188"/>
      <c r="D28" s="2188"/>
      <c r="E28" s="2188"/>
    </row>
    <row r="29" spans="1:5" s="417" customFormat="1">
      <c r="A29" s="2188"/>
      <c r="B29" s="2188"/>
      <c r="C29" s="2188"/>
      <c r="D29" s="2188"/>
      <c r="E29" s="2188"/>
    </row>
    <row r="30" spans="1:5" s="417" customFormat="1">
      <c r="A30" s="2188"/>
      <c r="B30" s="2188"/>
      <c r="C30" s="2188"/>
      <c r="D30" s="2188"/>
      <c r="E30" s="2188"/>
    </row>
    <row r="31" spans="1:5" s="417" customFormat="1">
      <c r="A31" s="2188"/>
      <c r="B31" s="2188"/>
      <c r="C31" s="2188"/>
      <c r="D31" s="2188"/>
      <c r="E31" s="2188"/>
    </row>
    <row r="32" spans="1:5" s="417" customFormat="1">
      <c r="A32" s="2188"/>
      <c r="B32" s="2188"/>
      <c r="C32" s="2188"/>
      <c r="D32" s="2188"/>
      <c r="E32" s="2188"/>
    </row>
    <row r="33" spans="1:5" s="417" customFormat="1">
      <c r="A33" s="2188"/>
      <c r="B33" s="2188"/>
      <c r="C33" s="2188"/>
      <c r="D33" s="2188"/>
      <c r="E33" s="2188"/>
    </row>
    <row r="34" spans="1:5" s="417" customFormat="1">
      <c r="A34" s="2188"/>
      <c r="B34" s="2188"/>
      <c r="C34" s="2188"/>
      <c r="D34" s="2188"/>
      <c r="E34" s="2188"/>
    </row>
    <row r="35" spans="1:5" s="417" customFormat="1">
      <c r="A35" s="2188"/>
      <c r="B35" s="2188"/>
      <c r="C35" s="2188"/>
      <c r="D35" s="2188"/>
      <c r="E35" s="2188"/>
    </row>
    <row r="36" spans="1:5" s="417" customFormat="1">
      <c r="A36" s="2188"/>
      <c r="B36" s="2188"/>
      <c r="C36" s="2188"/>
      <c r="D36" s="2188"/>
      <c r="E36" s="2188"/>
    </row>
    <row r="37" spans="1:5" s="417" customFormat="1">
      <c r="A37" s="2188"/>
      <c r="B37" s="2188"/>
      <c r="C37" s="2188"/>
      <c r="D37" s="2188"/>
      <c r="E37" s="2188"/>
    </row>
    <row r="38" spans="1:5" s="417" customFormat="1">
      <c r="A38" s="2188"/>
      <c r="B38" s="2188"/>
      <c r="C38" s="2188"/>
      <c r="D38" s="2188"/>
      <c r="E38" s="2188"/>
    </row>
    <row r="39" spans="1:5" s="417" customFormat="1">
      <c r="A39" s="2188"/>
      <c r="B39" s="2188"/>
      <c r="C39" s="2188"/>
      <c r="D39" s="2188"/>
      <c r="E39" s="2188"/>
    </row>
    <row r="40" spans="1:5" s="417" customFormat="1">
      <c r="A40" s="2188"/>
      <c r="B40" s="2188"/>
      <c r="C40" s="2188"/>
      <c r="D40" s="2188"/>
      <c r="E40" s="2188"/>
    </row>
    <row r="41" spans="1:5" s="417" customFormat="1">
      <c r="A41" s="2188"/>
      <c r="B41" s="2188"/>
      <c r="C41" s="2188"/>
      <c r="D41" s="2188"/>
      <c r="E41" s="2188"/>
    </row>
    <row r="42" spans="1:5" s="417" customFormat="1">
      <c r="A42" s="2188"/>
      <c r="B42" s="2188"/>
      <c r="C42" s="2188"/>
      <c r="D42" s="2188"/>
      <c r="E42" s="2188"/>
    </row>
    <row r="43" spans="1:5" s="417" customFormat="1">
      <c r="A43" s="2188"/>
      <c r="B43" s="2188"/>
      <c r="C43" s="2188"/>
      <c r="D43" s="2188"/>
      <c r="E43" s="2188"/>
    </row>
    <row r="44" spans="1:5" s="417" customFormat="1">
      <c r="A44" s="2188"/>
      <c r="B44" s="2188"/>
      <c r="C44" s="2188"/>
      <c r="D44" s="2188"/>
      <c r="E44" s="2188"/>
    </row>
    <row r="45" spans="1:5" s="417" customFormat="1">
      <c r="A45" s="2188"/>
      <c r="B45" s="2188"/>
      <c r="C45" s="2188"/>
      <c r="D45" s="2188"/>
      <c r="E45" s="2188"/>
    </row>
    <row r="46" spans="1:5" s="417" customFormat="1">
      <c r="A46" s="2188"/>
      <c r="B46" s="2188"/>
      <c r="C46" s="2188"/>
      <c r="D46" s="2188"/>
      <c r="E46" s="2188"/>
    </row>
    <row r="47" spans="1:5" s="417" customFormat="1">
      <c r="A47" s="2188"/>
      <c r="B47" s="2188"/>
      <c r="C47" s="2188"/>
      <c r="D47" s="2188"/>
      <c r="E47" s="2188"/>
    </row>
    <row r="48" spans="1:5" s="417" customFormat="1">
      <c r="A48" s="2188"/>
      <c r="B48" s="2188"/>
      <c r="C48" s="2188"/>
      <c r="D48" s="2188"/>
      <c r="E48" s="2188"/>
    </row>
    <row r="49" spans="1:5" s="417" customFormat="1">
      <c r="A49" s="2190"/>
      <c r="B49" s="2183"/>
      <c r="C49" s="2183"/>
      <c r="D49" s="2183"/>
      <c r="E49" s="2183"/>
    </row>
    <row r="50" spans="1:5" s="303" customFormat="1" ht="54.75" customHeight="1">
      <c r="A50" s="2191" t="s">
        <v>1219</v>
      </c>
      <c r="B50" s="2192"/>
      <c r="C50" s="2192"/>
      <c r="D50" s="2192"/>
      <c r="E50" s="2192"/>
    </row>
  </sheetData>
  <sheetProtection algorithmName="SHA-512" hashValue="/tteVd7nfzT/zLu7u/rthhl46ZnUWgmFvAc+V9mZbNR0K+BacgQIZN2+pAsFrlIvqtQWBuMJ3B43hHt1mez4fA==" saltValue="7jBv8JdVyNj32aVO2ukO9w==" spinCount="100000" sheet="1" objects="1" scenarios="1"/>
  <customSheetViews>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1"/>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3"/>
      <headerFooter alignWithMargins="0"/>
    </customSheetView>
  </customSheetViews>
  <mergeCells count="1">
    <mergeCell ref="A1:D1"/>
  </mergeCells>
  <phoneticPr fontId="88" type="noConversion"/>
  <pageMargins left="0.70866141732283472" right="0.48" top="0.74803149606299213" bottom="0.74803149606299213" header="0.31496062992125984" footer="0.31496062992125984"/>
  <pageSetup paperSize="9" scale="84"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0"/>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C12" sqref="C12"/>
    </sheetView>
  </sheetViews>
  <sheetFormatPr defaultColWidth="0" defaultRowHeight="0" customHeight="1" zeroHeight="1"/>
  <cols>
    <col min="1" max="1" width="5.42578125" style="268" customWidth="1"/>
    <col min="2" max="2" width="32.5703125" style="271" customWidth="1"/>
    <col min="3" max="3" width="11.42578125" style="274" customWidth="1"/>
    <col min="4" max="4" width="9.42578125" style="274" customWidth="1"/>
    <col min="5" max="7" width="8.5703125" style="274" customWidth="1"/>
    <col min="8" max="8" width="10" style="274" customWidth="1"/>
    <col min="9" max="9" width="9.5703125" style="274" customWidth="1"/>
    <col min="10" max="10" width="10" style="274" customWidth="1"/>
    <col min="11" max="11" width="9.5703125" style="274" customWidth="1"/>
    <col min="12" max="13" width="10.42578125" style="274" customWidth="1"/>
    <col min="14" max="14" width="12.42578125" style="274" customWidth="1"/>
    <col min="15" max="15" width="8" style="272" customWidth="1"/>
    <col min="16" max="16" width="2.5703125" style="268" customWidth="1"/>
    <col min="17" max="17" width="7" style="273" customWidth="1"/>
    <col min="18" max="18" width="18.5703125" style="268" customWidth="1"/>
    <col min="19" max="19" width="4.42578125" style="268" customWidth="1"/>
    <col min="20" max="20" width="14.5703125" style="268" customWidth="1"/>
    <col min="21" max="21" width="9.42578125" style="268" customWidth="1"/>
    <col min="22" max="22" width="9.42578125" style="267" customWidth="1"/>
    <col min="23" max="16384" width="0" style="267" hidden="1"/>
  </cols>
  <sheetData>
    <row r="1" spans="1:23" ht="21.75">
      <c r="A1" s="131" t="str">
        <f>"Specificering vård och omsorg om äldre och personer med funktionsnedsättning "&amp;År&amp;", miljoner kronor"</f>
        <v>Specificering vård och omsorg om äldre och personer med funktionsnedsättning 2023, miljoner kronor</v>
      </c>
      <c r="B1" s="132"/>
      <c r="C1" s="132"/>
      <c r="D1" s="265"/>
      <c r="E1" s="265"/>
      <c r="F1" s="265"/>
      <c r="G1" s="265"/>
      <c r="H1" s="265"/>
      <c r="I1" s="265"/>
      <c r="J1" s="265"/>
      <c r="K1" s="265"/>
      <c r="L1" s="265"/>
      <c r="M1" s="265"/>
      <c r="N1" s="265"/>
      <c r="O1" s="517" t="s">
        <v>450</v>
      </c>
      <c r="P1" s="518" t="str">
        <f>Information!A2</f>
        <v>RIKSTOTAL</v>
      </c>
      <c r="Q1" s="266"/>
      <c r="R1" s="265"/>
      <c r="S1" s="265"/>
      <c r="T1" s="265"/>
      <c r="U1" s="265"/>
    </row>
    <row r="2" spans="1:23" ht="12.75">
      <c r="A2" s="2193"/>
      <c r="B2" s="2193"/>
      <c r="C2" s="2193"/>
      <c r="D2" s="2193"/>
      <c r="E2" s="2193"/>
      <c r="F2" s="2193"/>
      <c r="G2" s="2193"/>
      <c r="H2" s="2193"/>
      <c r="I2" s="2193"/>
      <c r="J2" s="2193"/>
      <c r="K2" s="2193"/>
      <c r="L2" s="2193"/>
      <c r="M2" s="2193"/>
      <c r="N2" s="2193"/>
      <c r="O2" s="2193"/>
      <c r="P2" s="2193"/>
      <c r="Q2" s="2193"/>
      <c r="R2" s="2193"/>
      <c r="S2" s="2193"/>
      <c r="T2" s="2193"/>
      <c r="U2" s="2193"/>
      <c r="V2" s="2193"/>
    </row>
    <row r="3" spans="1:23" ht="12.6" customHeight="1" thickBot="1">
      <c r="A3" s="2193"/>
      <c r="B3" s="2193"/>
      <c r="C3" s="2193"/>
      <c r="D3" s="2193"/>
      <c r="E3" s="2193"/>
      <c r="F3" s="2193"/>
      <c r="G3" s="2193"/>
      <c r="H3" s="2193"/>
      <c r="I3" s="2193"/>
      <c r="J3" s="2193"/>
      <c r="K3" s="2193"/>
      <c r="L3" s="2193"/>
      <c r="M3" s="2193"/>
      <c r="N3" s="2193"/>
      <c r="O3" s="2193"/>
      <c r="P3" s="2193"/>
      <c r="Q3" s="2193"/>
      <c r="R3" s="2193"/>
      <c r="S3" s="2193"/>
      <c r="T3" s="2193"/>
      <c r="U3" s="2193"/>
      <c r="V3" s="2193"/>
    </row>
    <row r="4" spans="1:23" ht="12.75">
      <c r="A4" s="1100" t="s">
        <v>607</v>
      </c>
      <c r="B4" s="1101" t="s">
        <v>13</v>
      </c>
      <c r="C4" s="1512" t="s">
        <v>907</v>
      </c>
      <c r="D4" s="1512"/>
      <c r="E4" s="1725"/>
      <c r="F4" s="1331" t="s">
        <v>37</v>
      </c>
      <c r="G4" s="1103"/>
      <c r="H4" s="1103"/>
      <c r="I4" s="1102"/>
      <c r="J4" s="1333" t="s">
        <v>38</v>
      </c>
      <c r="K4" s="1332" t="s">
        <v>905</v>
      </c>
      <c r="L4" s="1894" t="s">
        <v>978</v>
      </c>
      <c r="M4" s="1569" t="s">
        <v>914</v>
      </c>
      <c r="N4" s="1566"/>
      <c r="O4" s="2608" t="str">
        <f>"Förändring kostnader för eget åtagande "&amp;År-1&amp;"-"&amp;År&amp;" procent"</f>
        <v>Förändring kostnader för eget åtagande 2022-2023 procent</v>
      </c>
      <c r="P4" s="2193"/>
      <c r="Q4" s="2392"/>
      <c r="R4" s="2409"/>
      <c r="S4" s="2193"/>
      <c r="T4" s="2193"/>
      <c r="U4" s="2193"/>
      <c r="V4" s="2193"/>
      <c r="W4" s="268"/>
    </row>
    <row r="5" spans="1:23" ht="17.100000000000001" customHeight="1">
      <c r="A5" s="1105" t="s">
        <v>610</v>
      </c>
      <c r="B5" s="1106"/>
      <c r="C5" s="1286" t="s">
        <v>41</v>
      </c>
      <c r="D5" s="1286"/>
      <c r="E5" s="1719"/>
      <c r="F5" s="1107"/>
      <c r="G5" s="2421"/>
      <c r="H5" s="1108"/>
      <c r="I5" s="1109"/>
      <c r="J5" s="1334" t="s">
        <v>40</v>
      </c>
      <c r="K5" s="1584" t="s">
        <v>920</v>
      </c>
      <c r="L5" s="1895" t="s">
        <v>42</v>
      </c>
      <c r="M5" s="1568" t="s">
        <v>913</v>
      </c>
      <c r="N5" s="1567"/>
      <c r="O5" s="2609"/>
      <c r="P5" s="2193"/>
      <c r="Q5" s="2393"/>
      <c r="R5" s="2410"/>
      <c r="S5" s="2193"/>
      <c r="T5" s="2193"/>
      <c r="U5" s="2193"/>
      <c r="V5" s="2193"/>
      <c r="W5" s="268"/>
    </row>
    <row r="6" spans="1:23" ht="30.95" customHeight="1">
      <c r="A6" s="1112"/>
      <c r="B6" s="1113"/>
      <c r="C6" s="1543"/>
      <c r="D6" s="2635" t="s">
        <v>977</v>
      </c>
      <c r="E6" s="2635" t="s">
        <v>1006</v>
      </c>
      <c r="F6" s="2626" t="s">
        <v>669</v>
      </c>
      <c r="G6" s="2628" t="s">
        <v>796</v>
      </c>
      <c r="H6" s="2630" t="s">
        <v>460</v>
      </c>
      <c r="I6" s="2637" t="s">
        <v>1040</v>
      </c>
      <c r="J6" s="1719"/>
      <c r="K6" s="1583" t="s">
        <v>919</v>
      </c>
      <c r="L6" s="1726"/>
      <c r="M6" s="1848"/>
      <c r="N6" s="1580"/>
      <c r="O6" s="2609"/>
      <c r="P6" s="2193"/>
      <c r="Q6" s="2610" t="str">
        <f>"Nämnare nyckeltal"</f>
        <v>Nämnare nyckeltal</v>
      </c>
      <c r="R6" s="2611"/>
      <c r="S6" s="2193"/>
      <c r="T6" s="2193"/>
      <c r="U6" s="2193"/>
      <c r="V6" s="2193"/>
      <c r="W6" s="268"/>
    </row>
    <row r="7" spans="1:23" ht="21" customHeight="1">
      <c r="A7" s="1115"/>
      <c r="B7" s="1113"/>
      <c r="C7" s="1286"/>
      <c r="D7" s="2639"/>
      <c r="E7" s="2636"/>
      <c r="F7" s="2627"/>
      <c r="G7" s="2629"/>
      <c r="H7" s="2631"/>
      <c r="I7" s="2638"/>
      <c r="J7" s="1719"/>
      <c r="K7" s="1572" t="s">
        <v>915</v>
      </c>
      <c r="L7" s="1731" t="s">
        <v>911</v>
      </c>
      <c r="M7" s="1732" t="s">
        <v>918</v>
      </c>
      <c r="N7" s="1579" t="s">
        <v>918</v>
      </c>
      <c r="O7" s="2382"/>
      <c r="P7" s="2193"/>
      <c r="Q7" s="2612"/>
      <c r="R7" s="2611"/>
      <c r="S7" s="2193"/>
      <c r="T7" s="2193"/>
      <c r="U7" s="2193"/>
      <c r="V7" s="2193"/>
      <c r="W7" s="268"/>
    </row>
    <row r="8" spans="1:23" ht="5.45" customHeight="1">
      <c r="A8" s="1115"/>
      <c r="B8" s="1116"/>
      <c r="C8" s="1110"/>
      <c r="D8" s="1719"/>
      <c r="E8" s="1542"/>
      <c r="F8" s="1114"/>
      <c r="G8" s="1878"/>
      <c r="H8" s="1878"/>
      <c r="I8" s="1337"/>
      <c r="J8" s="1719"/>
      <c r="K8" s="1285" t="s">
        <v>1041</v>
      </c>
      <c r="L8" s="1733"/>
      <c r="M8" s="1734">
        <f>År</f>
        <v>2023</v>
      </c>
      <c r="N8" s="1571">
        <f>År-1</f>
        <v>2022</v>
      </c>
      <c r="O8" s="2383"/>
      <c r="P8" s="2193"/>
      <c r="Q8" s="2394"/>
      <c r="R8" s="2411"/>
      <c r="S8" s="2193"/>
      <c r="T8" s="2193"/>
      <c r="U8" s="2193"/>
      <c r="V8" s="2193"/>
      <c r="W8" s="268"/>
    </row>
    <row r="9" spans="1:23" ht="20.25" customHeight="1">
      <c r="A9" s="1115"/>
      <c r="B9" s="1113"/>
      <c r="C9" s="1110"/>
      <c r="D9" s="2640" t="s">
        <v>1062</v>
      </c>
      <c r="E9" s="1555" t="s">
        <v>775</v>
      </c>
      <c r="F9" s="1554" t="s">
        <v>806</v>
      </c>
      <c r="G9" s="1553" t="s">
        <v>45</v>
      </c>
      <c r="H9" s="2632" t="s">
        <v>795</v>
      </c>
      <c r="I9" s="2081" t="s">
        <v>1043</v>
      </c>
      <c r="J9" s="1111"/>
      <c r="K9" s="1985" t="s">
        <v>1042</v>
      </c>
      <c r="L9" s="1879"/>
      <c r="M9" s="1735"/>
      <c r="N9" s="1570"/>
      <c r="O9" s="2383"/>
      <c r="P9" s="2193"/>
      <c r="Q9" s="2395"/>
      <c r="R9" s="2412"/>
      <c r="S9" s="2193"/>
      <c r="T9" s="2193"/>
      <c r="U9" s="2193"/>
      <c r="V9" s="2193"/>
      <c r="W9" s="268"/>
    </row>
    <row r="10" spans="1:23" ht="12.75" customHeight="1">
      <c r="A10" s="1115"/>
      <c r="B10" s="1119"/>
      <c r="C10" s="1110"/>
      <c r="D10" s="2641"/>
      <c r="E10" s="1542"/>
      <c r="F10" s="1347"/>
      <c r="G10" s="1556"/>
      <c r="H10" s="2633"/>
      <c r="I10" s="1545"/>
      <c r="J10" s="1111"/>
      <c r="K10" s="1285" t="s">
        <v>1038</v>
      </c>
      <c r="L10" s="1727"/>
      <c r="M10" s="1581"/>
      <c r="N10" s="1582"/>
      <c r="O10" s="2384"/>
      <c r="P10" s="2193"/>
      <c r="Q10" s="2396"/>
      <c r="R10" s="2413"/>
      <c r="S10" s="2193"/>
      <c r="T10" s="2193"/>
      <c r="U10" s="2193"/>
      <c r="V10" s="2193"/>
      <c r="W10" s="268"/>
    </row>
    <row r="11" spans="1:23" ht="12.75">
      <c r="A11" s="1120"/>
      <c r="B11" s="1348"/>
      <c r="C11" s="1121"/>
      <c r="D11" s="1720"/>
      <c r="E11" s="1544"/>
      <c r="F11" s="1347"/>
      <c r="G11" s="1557"/>
      <c r="H11" s="2634"/>
      <c r="I11" s="1546"/>
      <c r="J11" s="1123"/>
      <c r="K11" s="2003" t="s">
        <v>1039</v>
      </c>
      <c r="L11" s="1728"/>
      <c r="M11" s="1723"/>
      <c r="N11" s="1724"/>
      <c r="O11" s="2385"/>
      <c r="P11" s="2193"/>
      <c r="Q11" s="2397"/>
      <c r="R11" s="2385"/>
      <c r="S11" s="2193"/>
      <c r="T11" s="2193"/>
      <c r="U11" s="2193"/>
      <c r="V11" s="2193"/>
      <c r="W11" s="268"/>
    </row>
    <row r="12" spans="1:23" ht="12.75">
      <c r="A12" s="1124">
        <v>510</v>
      </c>
      <c r="B12" s="1125" t="s">
        <v>480</v>
      </c>
      <c r="C12" s="333">
        <f>Drift!P73</f>
        <v>174366.18500000003</v>
      </c>
      <c r="D12" s="333">
        <f>SUM(Drift!C73:D73)</f>
        <v>96385.428</v>
      </c>
      <c r="E12" s="333">
        <f>Drift!F73</f>
        <v>24858.411</v>
      </c>
      <c r="F12" s="333">
        <f>Drift!R73</f>
        <v>6657.9539999999997</v>
      </c>
      <c r="G12" s="333">
        <f>Drift!S73</f>
        <v>4707.1809999999996</v>
      </c>
      <c r="H12" s="333">
        <f>Drift!T73</f>
        <v>13332.334000000001</v>
      </c>
      <c r="I12" s="333">
        <f>Motpart!Y27+Motpart!Z27</f>
        <v>508.31399999999996</v>
      </c>
      <c r="J12" s="333">
        <f>Drift!V73</f>
        <v>16296.418</v>
      </c>
      <c r="K12" s="1718">
        <f t="shared" ref="K12:K18" si="0">C12-I12-J12</f>
        <v>157561.45300000001</v>
      </c>
      <c r="L12" s="1721">
        <f t="shared" ref="L12:L18" si="1">C12-SUM(F12:H12,J12)</f>
        <v>133372.29800000004</v>
      </c>
      <c r="M12" s="1142">
        <f>IF(C12&gt;0,K12*1000000/Q12,"")</f>
        <v>72450.308356998867</v>
      </c>
      <c r="N12" s="1730">
        <v>68293.937999999995</v>
      </c>
      <c r="O12" s="2386"/>
      <c r="P12" s="2193"/>
      <c r="Q12" s="2398">
        <v>2174752</v>
      </c>
      <c r="R12" s="2414" t="s">
        <v>1000</v>
      </c>
      <c r="S12" s="2193"/>
      <c r="T12" s="2193"/>
      <c r="U12" s="2193"/>
      <c r="V12" s="2193"/>
      <c r="W12" s="269"/>
    </row>
    <row r="13" spans="1:23" ht="13.5" customHeight="1">
      <c r="A13" s="1126">
        <v>5101</v>
      </c>
      <c r="B13" s="1127" t="s">
        <v>437</v>
      </c>
      <c r="C13" s="133">
        <v>62009.68</v>
      </c>
      <c r="D13" s="133">
        <v>37615.201000000001</v>
      </c>
      <c r="E13" s="133">
        <v>7991.6940000000004</v>
      </c>
      <c r="F13" s="133">
        <v>3179.462</v>
      </c>
      <c r="G13" s="2144"/>
      <c r="H13" s="133">
        <v>4144.7070000000003</v>
      </c>
      <c r="I13" s="133">
        <v>165.077</v>
      </c>
      <c r="J13" s="133">
        <v>6100.5370000000003</v>
      </c>
      <c r="K13" s="1721">
        <f t="shared" si="0"/>
        <v>55744.066000000006</v>
      </c>
      <c r="L13" s="1721">
        <f t="shared" si="1"/>
        <v>48584.974000000002</v>
      </c>
      <c r="M13" s="1142">
        <f>IF(C13&gt;0,K13*1000000/Q12,"")</f>
        <v>25632.378312561621</v>
      </c>
      <c r="N13" s="1142">
        <v>24041.74</v>
      </c>
      <c r="O13" s="2387">
        <f>IF(ISERROR((M13-N13)/N13),"",((M13-N13)/N13))</f>
        <v>6.6161530428397411E-2</v>
      </c>
      <c r="P13" s="2193"/>
      <c r="Q13" s="2399"/>
      <c r="R13" s="2415"/>
      <c r="S13" s="2193"/>
      <c r="T13" s="2193"/>
      <c r="U13" s="2193"/>
      <c r="V13" s="2193"/>
      <c r="W13" s="269"/>
    </row>
    <row r="14" spans="1:23" ht="13.5" customHeight="1">
      <c r="A14" s="1126">
        <v>5103</v>
      </c>
      <c r="B14" s="1127" t="s">
        <v>728</v>
      </c>
      <c r="C14" s="275">
        <v>8654.75</v>
      </c>
      <c r="D14" s="133">
        <v>5157.8739999999998</v>
      </c>
      <c r="E14" s="275">
        <v>808.90499999999997</v>
      </c>
      <c r="F14" s="133">
        <v>231.232</v>
      </c>
      <c r="G14" s="275">
        <v>76.489999999999995</v>
      </c>
      <c r="H14" s="133">
        <v>585.41399999999999</v>
      </c>
      <c r="I14" s="275">
        <v>49.478000000000002</v>
      </c>
      <c r="J14" s="133">
        <v>864.84199999999998</v>
      </c>
      <c r="K14" s="1721">
        <f>C14-I14-J14</f>
        <v>7740.4300000000012</v>
      </c>
      <c r="L14" s="1721">
        <f t="shared" si="1"/>
        <v>6896.7719999999999</v>
      </c>
      <c r="M14" s="1143">
        <f>IF(C14&gt;0,K14*1000000/Q12,"")</f>
        <v>3559.2242241874019</v>
      </c>
      <c r="N14" s="1143">
        <v>3303.7919999999999</v>
      </c>
      <c r="O14" s="2387">
        <f>IF(ISERROR((M14-N14)/N14),"",((M14-N14)/N14))</f>
        <v>7.7314862493583728E-2</v>
      </c>
      <c r="P14" s="2193"/>
      <c r="Q14" s="2400"/>
      <c r="R14" s="2613"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2193"/>
      <c r="T14" s="2193"/>
      <c r="U14" s="2193"/>
      <c r="V14" s="2193"/>
      <c r="W14" s="269"/>
    </row>
    <row r="15" spans="1:23" ht="13.5" customHeight="1">
      <c r="A15" s="1126">
        <v>5104</v>
      </c>
      <c r="B15" s="1127" t="s">
        <v>438</v>
      </c>
      <c r="C15" s="275">
        <v>1668.9069999999999</v>
      </c>
      <c r="D15" s="275">
        <v>945.66</v>
      </c>
      <c r="E15" s="275">
        <v>107.947</v>
      </c>
      <c r="F15" s="275">
        <v>51.927999999999997</v>
      </c>
      <c r="G15" s="2144"/>
      <c r="H15" s="275">
        <v>114.83499999999999</v>
      </c>
      <c r="I15" s="275">
        <v>0.91200000000000003</v>
      </c>
      <c r="J15" s="275">
        <v>159.36799999999999</v>
      </c>
      <c r="K15" s="1721">
        <f>C15-I15-J15</f>
        <v>1508.627</v>
      </c>
      <c r="L15" s="1721">
        <f t="shared" si="1"/>
        <v>1342.7759999999998</v>
      </c>
      <c r="M15" s="1143">
        <f>IF(C15&gt;0,K15*1000000/Q12,"")</f>
        <v>693.70070702314558</v>
      </c>
      <c r="N15" s="1143">
        <v>658.92399999999998</v>
      </c>
      <c r="O15" s="2387">
        <f>IF(ISERROR((M15-N15)/N15),"",((M15-N15)/N15))</f>
        <v>5.2778024511393733E-2</v>
      </c>
      <c r="P15" s="2193"/>
      <c r="Q15" s="2400"/>
      <c r="R15" s="2614"/>
      <c r="S15" s="2193"/>
      <c r="T15" s="2193"/>
      <c r="U15" s="2193"/>
      <c r="V15" s="2193"/>
      <c r="W15" s="269"/>
    </row>
    <row r="16" spans="1:23" ht="13.5" customHeight="1">
      <c r="A16" s="1126">
        <v>5105</v>
      </c>
      <c r="B16" s="1127" t="s">
        <v>471</v>
      </c>
      <c r="C16" s="133">
        <v>98207.297000000006</v>
      </c>
      <c r="D16" s="133">
        <v>51165.875999999997</v>
      </c>
      <c r="E16" s="133">
        <v>15811.37</v>
      </c>
      <c r="F16" s="276">
        <v>3138.0540000000001</v>
      </c>
      <c r="G16" s="133">
        <v>4521.0309999999999</v>
      </c>
      <c r="H16" s="276">
        <v>8084.9359999999997</v>
      </c>
      <c r="I16" s="276">
        <v>281.41300000000001</v>
      </c>
      <c r="J16" s="276">
        <v>8943.9349999999995</v>
      </c>
      <c r="K16" s="1721">
        <f t="shared" si="0"/>
        <v>88981.949000000008</v>
      </c>
      <c r="L16" s="1721">
        <f t="shared" si="1"/>
        <v>73519.341000000015</v>
      </c>
      <c r="M16" s="1144">
        <f>IF(C16&gt;0,K16*1000000/Q12,"")</f>
        <v>40915.906273450957</v>
      </c>
      <c r="N16" s="1144">
        <v>38739.337</v>
      </c>
      <c r="O16" s="2387">
        <f>IF(ISERROR((M16-N16)/N16),"",((M16-N16)/N16))</f>
        <v>5.6184990296838523E-2</v>
      </c>
      <c r="P16" s="2193"/>
      <c r="Q16" s="2400"/>
      <c r="R16" s="2614"/>
      <c r="S16" s="2193"/>
      <c r="T16" s="2193"/>
      <c r="U16" s="2193"/>
      <c r="V16" s="2193"/>
      <c r="W16" s="269"/>
    </row>
    <row r="17" spans="1:23" ht="13.5" customHeight="1">
      <c r="A17" s="1126">
        <v>5106</v>
      </c>
      <c r="B17" s="1128" t="s">
        <v>100</v>
      </c>
      <c r="C17" s="275">
        <v>1886.9829999999999</v>
      </c>
      <c r="D17" s="133">
        <v>919.08500000000004</v>
      </c>
      <c r="E17" s="133">
        <v>44.503</v>
      </c>
      <c r="F17" s="133">
        <v>35.07</v>
      </c>
      <c r="G17" s="133">
        <v>10.089</v>
      </c>
      <c r="H17" s="133">
        <v>260.13299999999998</v>
      </c>
      <c r="I17" s="133">
        <v>6.3620000000000001</v>
      </c>
      <c r="J17" s="133">
        <v>157.202</v>
      </c>
      <c r="K17" s="1721">
        <f t="shared" si="0"/>
        <v>1723.4189999999999</v>
      </c>
      <c r="L17" s="1721">
        <f t="shared" si="1"/>
        <v>1424.489</v>
      </c>
      <c r="M17" s="1142">
        <f>IF(C17&gt;0,K17*1000000/Q12,"")</f>
        <v>792.46691116964132</v>
      </c>
      <c r="N17" s="1142">
        <v>738.93700000000001</v>
      </c>
      <c r="O17" s="2387">
        <f>IF(ISERROR((M17-N17)/N17),"",((M17-N17)/N17))</f>
        <v>7.244177943402659E-2</v>
      </c>
      <c r="P17" s="2193"/>
      <c r="Q17" s="2400"/>
      <c r="R17" s="2614"/>
      <c r="S17" s="2193"/>
      <c r="T17" s="2193"/>
      <c r="U17" s="2193"/>
      <c r="V17" s="2193"/>
      <c r="W17" s="269"/>
    </row>
    <row r="18" spans="1:23" ht="13.5" customHeight="1">
      <c r="A18" s="1126">
        <v>5109</v>
      </c>
      <c r="B18" s="1127" t="s">
        <v>360</v>
      </c>
      <c r="C18" s="275">
        <v>1938.567</v>
      </c>
      <c r="D18" s="133">
        <v>581.73099999999999</v>
      </c>
      <c r="E18" s="133">
        <v>93.992999999999995</v>
      </c>
      <c r="F18" s="133">
        <v>22.209</v>
      </c>
      <c r="G18" s="133">
        <v>99.570999999999998</v>
      </c>
      <c r="H18" s="133">
        <v>142.30799999999999</v>
      </c>
      <c r="I18" s="133">
        <v>5.0709999999999997</v>
      </c>
      <c r="J18" s="275">
        <v>70.536000000000001</v>
      </c>
      <c r="K18" s="1141">
        <f t="shared" si="0"/>
        <v>1862.96</v>
      </c>
      <c r="L18" s="1721">
        <f t="shared" si="1"/>
        <v>1603.943</v>
      </c>
      <c r="M18" s="1145"/>
      <c r="N18" s="1145"/>
      <c r="O18" s="2388"/>
      <c r="P18" s="2193"/>
      <c r="Q18" s="2400"/>
      <c r="R18" s="2614"/>
      <c r="S18" s="2193"/>
      <c r="T18" s="2193"/>
      <c r="U18" s="2193"/>
      <c r="V18" s="2193"/>
      <c r="W18" s="269"/>
    </row>
    <row r="19" spans="1:23" ht="12.75">
      <c r="A19" s="1129">
        <v>51099</v>
      </c>
      <c r="B19" s="1130" t="s">
        <v>154</v>
      </c>
      <c r="C19" s="318">
        <f>SUM(C13:C18)</f>
        <v>174366.18400000004</v>
      </c>
      <c r="D19" s="318">
        <f>SUM(D13:D18)</f>
        <v>96385.427000000011</v>
      </c>
      <c r="E19" s="318">
        <f t="shared" ref="E19:J19" si="2">SUM(E13:E18)</f>
        <v>24858.412</v>
      </c>
      <c r="F19" s="318">
        <f t="shared" si="2"/>
        <v>6657.954999999999</v>
      </c>
      <c r="G19" s="318">
        <f t="shared" si="2"/>
        <v>4707.1809999999996</v>
      </c>
      <c r="H19" s="318">
        <f>SUM(H13:H18)</f>
        <v>13332.332999999999</v>
      </c>
      <c r="I19" s="318">
        <f t="shared" si="2"/>
        <v>508.31300000000005</v>
      </c>
      <c r="J19" s="318">
        <f t="shared" si="2"/>
        <v>16296.42</v>
      </c>
      <c r="K19" s="1146"/>
      <c r="L19" s="1729"/>
      <c r="M19" s="1147"/>
      <c r="N19" s="1147"/>
      <c r="O19" s="2389"/>
      <c r="P19" s="2193"/>
      <c r="Q19" s="2400"/>
      <c r="R19" s="2614"/>
      <c r="S19" s="2193"/>
      <c r="T19" s="2193"/>
      <c r="U19" s="2193"/>
      <c r="V19" s="2193"/>
      <c r="W19" s="269"/>
    </row>
    <row r="20" spans="1:23" ht="13.5" thickBot="1">
      <c r="A20" s="1131"/>
      <c r="B20" s="1655"/>
      <c r="C20" s="319"/>
      <c r="D20" s="319"/>
      <c r="E20" s="319"/>
      <c r="F20" s="319"/>
      <c r="G20" s="319"/>
      <c r="H20" s="319"/>
      <c r="I20" s="319"/>
      <c r="J20" s="319"/>
      <c r="K20" s="1148"/>
      <c r="L20" s="1737"/>
      <c r="M20" s="1149"/>
      <c r="N20" s="1149"/>
      <c r="O20" s="2390"/>
      <c r="P20" s="2193"/>
      <c r="Q20" s="2401"/>
      <c r="R20" s="2416"/>
      <c r="S20" s="2193"/>
      <c r="T20" s="2193"/>
      <c r="U20" s="2193"/>
      <c r="V20" s="2193"/>
      <c r="W20" s="269"/>
    </row>
    <row r="21" spans="1:23" ht="22.5" customHeight="1">
      <c r="A21" s="1132">
        <v>520</v>
      </c>
      <c r="B21" s="1133" t="s">
        <v>109</v>
      </c>
      <c r="C21" s="334">
        <f>Drift!P74</f>
        <v>18859.018000000004</v>
      </c>
      <c r="D21" s="333">
        <f>SUM(Drift!C74:D74)</f>
        <v>9603.2790000000005</v>
      </c>
      <c r="E21" s="334">
        <f>Drift!F74</f>
        <v>3878.4949999999999</v>
      </c>
      <c r="F21" s="334">
        <f>Drift!R74</f>
        <v>346.399</v>
      </c>
      <c r="G21" s="334">
        <f>Drift!S74</f>
        <v>332.63200000000001</v>
      </c>
      <c r="H21" s="334">
        <f>Drift!T74</f>
        <v>1085.8409999999999</v>
      </c>
      <c r="I21" s="334">
        <f>Motpart!Y28+Motpart!Z28</f>
        <v>50.540000000000006</v>
      </c>
      <c r="J21" s="334">
        <f>Drift!V74</f>
        <v>1521.057</v>
      </c>
      <c r="K21" s="1150">
        <f t="shared" ref="K21:K28" si="3">C21-I21-J21</f>
        <v>17287.421000000002</v>
      </c>
      <c r="L21" s="1150">
        <f t="shared" ref="L21:L28" si="4">C21-SUM(F21:H21,J21)</f>
        <v>15573.089000000004</v>
      </c>
      <c r="M21" s="1151">
        <f>IF(C21&gt;0,K21*1000000/Q21,"")</f>
        <v>2063.6879391139146</v>
      </c>
      <c r="N21" s="1151">
        <v>1922.1780000000001</v>
      </c>
      <c r="O21" s="2391"/>
      <c r="P21" s="2193"/>
      <c r="Q21" s="2402">
        <v>8376955</v>
      </c>
      <c r="R21" s="2417" t="s">
        <v>1001</v>
      </c>
      <c r="S21" s="2193"/>
      <c r="T21" s="2193"/>
      <c r="U21" s="2193"/>
      <c r="V21" s="2193"/>
      <c r="W21" s="269"/>
    </row>
    <row r="22" spans="1:23" ht="12.75">
      <c r="A22" s="1126">
        <v>5201</v>
      </c>
      <c r="B22" s="1127" t="s">
        <v>439</v>
      </c>
      <c r="C22" s="133">
        <v>5037.7160000000003</v>
      </c>
      <c r="D22" s="133">
        <v>2744.3049999999998</v>
      </c>
      <c r="E22" s="133">
        <v>719.12400000000002</v>
      </c>
      <c r="F22" s="133">
        <v>186.22900000000001</v>
      </c>
      <c r="G22" s="2144"/>
      <c r="H22" s="133">
        <v>256.16500000000002</v>
      </c>
      <c r="I22" s="133">
        <v>8.8789999999999996</v>
      </c>
      <c r="J22" s="133">
        <v>499.601</v>
      </c>
      <c r="K22" s="1152">
        <f t="shared" si="3"/>
        <v>4529.2360000000008</v>
      </c>
      <c r="L22" s="1721">
        <f t="shared" si="4"/>
        <v>4095.7210000000005</v>
      </c>
      <c r="M22" s="1143">
        <f>IF(C22&gt;0,K22*1000000/Q21,"")</f>
        <v>540.67808648846756</v>
      </c>
      <c r="N22" s="1143">
        <v>505.60199999999998</v>
      </c>
      <c r="O22" s="2387">
        <f t="shared" ref="O22:O27" si="5">IF(ISERROR((M22-N22)/N22),"",((M22-N22)/N22))</f>
        <v>6.9374896635036223E-2</v>
      </c>
      <c r="P22" s="2193"/>
      <c r="Q22" s="2399"/>
      <c r="R22" s="2418"/>
      <c r="S22" s="2193"/>
      <c r="T22" s="2193"/>
      <c r="U22" s="2193"/>
      <c r="V22" s="2193"/>
      <c r="W22" s="269"/>
    </row>
    <row r="23" spans="1:23" ht="12.75">
      <c r="A23" s="1126">
        <v>5202</v>
      </c>
      <c r="B23" s="1127" t="s">
        <v>440</v>
      </c>
      <c r="C23" s="275">
        <v>3104.1790000000001</v>
      </c>
      <c r="D23" s="133">
        <v>2167.5070000000001</v>
      </c>
      <c r="E23" s="133">
        <v>250.51499999999999</v>
      </c>
      <c r="F23" s="133">
        <v>21.227</v>
      </c>
      <c r="G23" s="2144"/>
      <c r="H23" s="133">
        <v>82.367000000000004</v>
      </c>
      <c r="I23" s="133">
        <v>2.6190000000000002</v>
      </c>
      <c r="J23" s="133">
        <v>266.06900000000002</v>
      </c>
      <c r="K23" s="1152">
        <f t="shared" si="3"/>
        <v>2835.491</v>
      </c>
      <c r="L23" s="1721">
        <f t="shared" si="4"/>
        <v>2734.5160000000001</v>
      </c>
      <c r="M23" s="1143">
        <f>IF(C23&gt;0,K23*1000000/Q21,"")</f>
        <v>338.48707555430343</v>
      </c>
      <c r="N23" s="1143">
        <v>327.59199999999998</v>
      </c>
      <c r="O23" s="2387">
        <f t="shared" si="5"/>
        <v>3.3258063549486697E-2</v>
      </c>
      <c r="P23" s="2193"/>
      <c r="Q23" s="2403"/>
      <c r="R23" s="2615"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3" s="2193"/>
      <c r="T23" s="2193"/>
      <c r="U23" s="2193"/>
      <c r="V23" s="2193"/>
      <c r="W23" s="269"/>
    </row>
    <row r="24" spans="1:23" ht="12.75">
      <c r="A24" s="1126">
        <v>5203</v>
      </c>
      <c r="B24" s="1127" t="s">
        <v>728</v>
      </c>
      <c r="C24" s="275">
        <v>919.06899999999996</v>
      </c>
      <c r="D24" s="133">
        <v>353.40600000000001</v>
      </c>
      <c r="E24" s="133">
        <v>355.03500000000003</v>
      </c>
      <c r="F24" s="133">
        <v>14.837999999999999</v>
      </c>
      <c r="G24" s="133">
        <v>3.9350000000000001</v>
      </c>
      <c r="H24" s="133">
        <v>51.58</v>
      </c>
      <c r="I24" s="133">
        <v>1.631</v>
      </c>
      <c r="J24" s="275">
        <v>71.293000000000006</v>
      </c>
      <c r="K24" s="1152">
        <f>C24-I24-J24</f>
        <v>846.14499999999998</v>
      </c>
      <c r="L24" s="1721">
        <f t="shared" si="4"/>
        <v>777.423</v>
      </c>
      <c r="M24" s="1143">
        <f>IF(C24&gt;0,K24*1000000/Q21,"")</f>
        <v>101.008660068008</v>
      </c>
      <c r="N24" s="1143">
        <v>92.724000000000004</v>
      </c>
      <c r="O24" s="2387">
        <f t="shared" si="5"/>
        <v>8.934752672455884E-2</v>
      </c>
      <c r="P24" s="2193"/>
      <c r="Q24" s="2404"/>
      <c r="R24" s="2616"/>
      <c r="S24" s="2193"/>
      <c r="T24" s="2193"/>
      <c r="U24" s="2193"/>
      <c r="V24" s="2193"/>
      <c r="W24" s="269"/>
    </row>
    <row r="25" spans="1:23" ht="12.75">
      <c r="A25" s="1903">
        <v>5204</v>
      </c>
      <c r="B25" s="1127" t="s">
        <v>979</v>
      </c>
      <c r="C25" s="275">
        <v>607.09199999999998</v>
      </c>
      <c r="D25" s="133">
        <v>354.12700000000001</v>
      </c>
      <c r="E25" s="133">
        <v>47.319000000000003</v>
      </c>
      <c r="F25" s="133">
        <v>1.603</v>
      </c>
      <c r="G25" s="2144"/>
      <c r="H25" s="133">
        <v>48.624000000000002</v>
      </c>
      <c r="I25" s="133">
        <v>5.41</v>
      </c>
      <c r="J25" s="133">
        <v>55.561999999999998</v>
      </c>
      <c r="K25" s="1152">
        <f t="shared" si="3"/>
        <v>546.12</v>
      </c>
      <c r="L25" s="1721">
        <f t="shared" si="4"/>
        <v>501.303</v>
      </c>
      <c r="M25" s="1143">
        <f>IF(C25&gt;0,K25*1000000/Q21,"")</f>
        <v>65.193139989411421</v>
      </c>
      <c r="N25" s="1143">
        <v>60.697000000000003</v>
      </c>
      <c r="O25" s="2387">
        <f t="shared" si="5"/>
        <v>7.4075160047636909E-2</v>
      </c>
      <c r="P25" s="2193"/>
      <c r="Q25" s="2404"/>
      <c r="R25" s="2616"/>
      <c r="S25" s="2193"/>
      <c r="T25" s="2193"/>
      <c r="U25" s="2193"/>
      <c r="V25" s="2193"/>
      <c r="W25" s="269"/>
    </row>
    <row r="26" spans="1:23" ht="12.75">
      <c r="A26" s="1126">
        <v>5205</v>
      </c>
      <c r="B26" s="1127" t="s">
        <v>471</v>
      </c>
      <c r="C26" s="275">
        <v>7187.384</v>
      </c>
      <c r="D26" s="133">
        <v>3142.951</v>
      </c>
      <c r="E26" s="133">
        <v>2297.3209999999999</v>
      </c>
      <c r="F26" s="133">
        <v>115.477</v>
      </c>
      <c r="G26" s="133">
        <v>277.49900000000002</v>
      </c>
      <c r="H26" s="133">
        <v>403.35199999999998</v>
      </c>
      <c r="I26" s="133">
        <v>14.071999999999999</v>
      </c>
      <c r="J26" s="133">
        <v>507.613</v>
      </c>
      <c r="K26" s="1152">
        <f t="shared" si="3"/>
        <v>6665.6989999999996</v>
      </c>
      <c r="L26" s="1721">
        <f t="shared" si="4"/>
        <v>5883.4430000000002</v>
      </c>
      <c r="M26" s="1143">
        <f>IF(C26&gt;0,K26*1000000/Q21,"")</f>
        <v>795.71861135699066</v>
      </c>
      <c r="N26" s="1143">
        <v>724.18299999999999</v>
      </c>
      <c r="O26" s="2387">
        <f t="shared" si="5"/>
        <v>9.8781124877262608E-2</v>
      </c>
      <c r="P26" s="2193"/>
      <c r="Q26" s="2404"/>
      <c r="R26" s="2616"/>
      <c r="S26" s="2193"/>
      <c r="T26" s="2193"/>
      <c r="U26" s="2193"/>
      <c r="V26" s="2193"/>
      <c r="W26" s="269"/>
    </row>
    <row r="27" spans="1:23" ht="12.75">
      <c r="A27" s="1126">
        <v>5206</v>
      </c>
      <c r="B27" s="1127" t="s">
        <v>100</v>
      </c>
      <c r="C27" s="275">
        <v>862.48099999999999</v>
      </c>
      <c r="D27" s="133">
        <v>448.70800000000003</v>
      </c>
      <c r="E27" s="133">
        <v>35.197000000000003</v>
      </c>
      <c r="F27" s="133">
        <v>3.645</v>
      </c>
      <c r="G27" s="133">
        <v>10.183</v>
      </c>
      <c r="H27" s="133">
        <v>137.41999999999999</v>
      </c>
      <c r="I27" s="133">
        <v>5.9889999999999999</v>
      </c>
      <c r="J27" s="133">
        <v>79.730999999999995</v>
      </c>
      <c r="K27" s="1153">
        <f t="shared" si="3"/>
        <v>776.76099999999997</v>
      </c>
      <c r="L27" s="1721">
        <f t="shared" si="4"/>
        <v>631.50199999999995</v>
      </c>
      <c r="M27" s="1142">
        <f>IF(C27&gt;0,K27*1000000/Q21,"")</f>
        <v>92.725936811168253</v>
      </c>
      <c r="N27" s="1142">
        <v>92.536000000000001</v>
      </c>
      <c r="O27" s="2387">
        <f t="shared" si="5"/>
        <v>2.0525720926801677E-3</v>
      </c>
      <c r="P27" s="2193"/>
      <c r="Q27" s="2404"/>
      <c r="R27" s="2616"/>
      <c r="S27" s="2193"/>
      <c r="T27" s="2193"/>
      <c r="U27" s="2193"/>
      <c r="V27" s="2193"/>
      <c r="W27" s="269"/>
    </row>
    <row r="28" spans="1:23" ht="12.75">
      <c r="A28" s="1126">
        <v>5209</v>
      </c>
      <c r="B28" s="1127" t="s">
        <v>360</v>
      </c>
      <c r="C28" s="275">
        <v>1141.0989999999999</v>
      </c>
      <c r="D28" s="133">
        <v>392.279</v>
      </c>
      <c r="E28" s="133">
        <v>173.98500000000001</v>
      </c>
      <c r="F28" s="133">
        <v>3.379</v>
      </c>
      <c r="G28" s="133">
        <v>41.015000000000001</v>
      </c>
      <c r="H28" s="133">
        <v>106.336</v>
      </c>
      <c r="I28" s="133">
        <v>11.939</v>
      </c>
      <c r="J28" s="133">
        <v>41.186999999999998</v>
      </c>
      <c r="K28" s="1152">
        <f t="shared" si="3"/>
        <v>1087.973</v>
      </c>
      <c r="L28" s="1721">
        <f t="shared" si="4"/>
        <v>949.18200000000002</v>
      </c>
      <c r="M28" s="1146"/>
      <c r="N28" s="1145"/>
      <c r="O28" s="2388"/>
      <c r="P28" s="2193"/>
      <c r="Q28" s="2404"/>
      <c r="R28" s="2616"/>
      <c r="S28" s="2193"/>
      <c r="T28" s="2193"/>
      <c r="U28" s="2193"/>
      <c r="V28" s="2193"/>
      <c r="W28" s="269"/>
    </row>
    <row r="29" spans="1:23" ht="21.75" customHeight="1">
      <c r="A29" s="1129">
        <v>52099</v>
      </c>
      <c r="B29" s="1134" t="s">
        <v>600</v>
      </c>
      <c r="C29" s="2143">
        <f>SUM(C22:C28)</f>
        <v>18859.02</v>
      </c>
      <c r="D29" s="2143">
        <f t="shared" ref="D29:J29" si="6">SUM(D22:D28)</f>
        <v>9603.2830000000013</v>
      </c>
      <c r="E29" s="2143">
        <f t="shared" si="6"/>
        <v>3878.4960000000001</v>
      </c>
      <c r="F29" s="2143">
        <f t="shared" si="6"/>
        <v>346.39800000000002</v>
      </c>
      <c r="G29" s="2143">
        <f t="shared" si="6"/>
        <v>332.63200000000001</v>
      </c>
      <c r="H29" s="2143">
        <f t="shared" si="6"/>
        <v>1085.8439999999998</v>
      </c>
      <c r="I29" s="2143">
        <f t="shared" si="6"/>
        <v>50.539000000000001</v>
      </c>
      <c r="J29" s="2143">
        <f t="shared" si="6"/>
        <v>1521.056</v>
      </c>
      <c r="K29" s="1146"/>
      <c r="L29" s="1729"/>
      <c r="M29" s="1147"/>
      <c r="N29" s="1147"/>
      <c r="O29" s="2389"/>
      <c r="P29" s="2193"/>
      <c r="Q29" s="2399"/>
      <c r="R29" s="2616"/>
      <c r="S29" s="2193"/>
      <c r="T29" s="2193"/>
      <c r="U29" s="2193"/>
      <c r="V29" s="2193"/>
      <c r="W29" s="269"/>
    </row>
    <row r="30" spans="1:23" ht="13.5" thickBot="1">
      <c r="A30" s="1135"/>
      <c r="B30" s="1655"/>
      <c r="C30" s="317"/>
      <c r="D30" s="317"/>
      <c r="E30" s="317"/>
      <c r="F30" s="317"/>
      <c r="G30" s="317"/>
      <c r="H30" s="317"/>
      <c r="I30" s="317"/>
      <c r="J30" s="317"/>
      <c r="K30" s="1148"/>
      <c r="L30" s="1737"/>
      <c r="M30" s="1149"/>
      <c r="N30" s="1149"/>
      <c r="O30" s="2390"/>
      <c r="P30" s="2193"/>
      <c r="Q30" s="2401"/>
      <c r="R30" s="2416"/>
      <c r="S30" s="2193"/>
      <c r="T30" s="2193"/>
      <c r="U30" s="2193"/>
      <c r="V30" s="2193"/>
      <c r="W30" s="269"/>
    </row>
    <row r="31" spans="1:23" ht="12.75">
      <c r="A31" s="1136">
        <v>513</v>
      </c>
      <c r="B31" s="1137" t="s">
        <v>601</v>
      </c>
      <c r="C31" s="333">
        <f>Drift!P75</f>
        <v>82161.337</v>
      </c>
      <c r="D31" s="333">
        <f>SUM(Drift!C75:D75)</f>
        <v>44065.686999999998</v>
      </c>
      <c r="E31" s="333">
        <f>Drift!F75</f>
        <v>15595.325000000001</v>
      </c>
      <c r="F31" s="333">
        <f>Drift!R75</f>
        <v>156.01</v>
      </c>
      <c r="G31" s="333">
        <f>Drift!S75</f>
        <v>1520.606</v>
      </c>
      <c r="H31" s="334">
        <f>Drift!T75</f>
        <v>7841.7920000000004</v>
      </c>
      <c r="I31" s="2422">
        <f>Motpart!Y29+Motpart!Z29</f>
        <v>261.041</v>
      </c>
      <c r="J31" s="333">
        <f>Drift!V75</f>
        <v>5479.107</v>
      </c>
      <c r="K31" s="1154">
        <f>C31-I31-J31-G41-G43</f>
        <v>71396.01400000001</v>
      </c>
      <c r="L31" s="1736">
        <f t="shared" ref="L31:L36" si="7">C31-SUM(F31:H31,J31)</f>
        <v>67163.822</v>
      </c>
      <c r="M31" s="1849">
        <f>IF(C31&gt;0,K31*1000000/Q31,"")</f>
        <v>6766.2998982060453</v>
      </c>
      <c r="N31" s="1849">
        <v>6269.8440000000001</v>
      </c>
      <c r="O31" s="2387">
        <f>IF(ISERROR((M31-N31)/N31),"",((M31-N31)/N31))</f>
        <v>7.9181539158876241E-2</v>
      </c>
      <c r="P31" s="2193"/>
      <c r="Q31" s="2405">
        <v>10551707</v>
      </c>
      <c r="R31" s="2417" t="s">
        <v>507</v>
      </c>
      <c r="S31" s="2193"/>
      <c r="T31" s="2193"/>
      <c r="U31" s="2193"/>
      <c r="V31" s="2193"/>
      <c r="W31" s="269"/>
    </row>
    <row r="32" spans="1:23" ht="12.75">
      <c r="A32" s="1138">
        <v>5131</v>
      </c>
      <c r="B32" s="1139" t="s">
        <v>190</v>
      </c>
      <c r="C32" s="275">
        <v>41860.409</v>
      </c>
      <c r="D32" s="133">
        <v>24824.863000000001</v>
      </c>
      <c r="E32" s="133">
        <v>7145.2690000000002</v>
      </c>
      <c r="F32" s="133">
        <v>75.671999999999997</v>
      </c>
      <c r="G32" s="133">
        <v>1481.9580000000001</v>
      </c>
      <c r="H32" s="133">
        <v>1283.865</v>
      </c>
      <c r="I32" s="133">
        <v>51.820999999999998</v>
      </c>
      <c r="J32" s="133">
        <v>3027.9059999999999</v>
      </c>
      <c r="K32" s="1152">
        <f>C32-I32-J32</f>
        <v>38780.681999999993</v>
      </c>
      <c r="L32" s="1729">
        <f t="shared" si="7"/>
        <v>35991.008000000002</v>
      </c>
      <c r="M32" s="1143">
        <f>IF(C32&gt;0,K32*1000000/Q32,"")</f>
        <v>4981.3199931870913</v>
      </c>
      <c r="N32" s="1143">
        <v>4571.57</v>
      </c>
      <c r="O32" s="2387">
        <f>IF(ISERROR((M32-N32)/N32),"",((M32-N32)/N32))</f>
        <v>8.9630038080373189E-2</v>
      </c>
      <c r="P32" s="2193"/>
      <c r="Q32" s="2406">
        <v>7785222</v>
      </c>
      <c r="R32" s="2419" t="s">
        <v>1002</v>
      </c>
      <c r="S32" s="2193"/>
      <c r="T32" s="2193"/>
      <c r="U32" s="2193"/>
      <c r="V32" s="2193"/>
      <c r="W32" s="269"/>
    </row>
    <row r="33" spans="1:23" ht="12.75">
      <c r="A33" s="1138">
        <v>5132</v>
      </c>
      <c r="B33" s="1140" t="s">
        <v>524</v>
      </c>
      <c r="C33" s="275">
        <v>2640.8879999999999</v>
      </c>
      <c r="D33" s="133">
        <v>775.38199999999995</v>
      </c>
      <c r="E33" s="133">
        <v>1377.2529999999999</v>
      </c>
      <c r="F33" s="133">
        <v>7.2809999999999997</v>
      </c>
      <c r="G33" s="133">
        <v>8.7249999999999996</v>
      </c>
      <c r="H33" s="133">
        <v>157.44300000000001</v>
      </c>
      <c r="I33" s="133">
        <v>65.566999999999993</v>
      </c>
      <c r="J33" s="275">
        <v>138.83600000000001</v>
      </c>
      <c r="K33" s="1152">
        <f>C33-I33-J33</f>
        <v>2436.4849999999997</v>
      </c>
      <c r="L33" s="1729">
        <f t="shared" si="7"/>
        <v>2328.6030000000001</v>
      </c>
      <c r="M33" s="1143">
        <f>IF(C33&gt;0,K33*1000000/Q33,"")</f>
        <v>880.71505900086197</v>
      </c>
      <c r="N33" s="1143">
        <v>806.23500000000001</v>
      </c>
      <c r="O33" s="2387">
        <f>IF(ISERROR((M33-N33)/N33),"",((M33-N33)/N33))</f>
        <v>9.2380086452289914E-2</v>
      </c>
      <c r="P33" s="2193"/>
      <c r="Q33" s="2406">
        <v>2766485</v>
      </c>
      <c r="R33" s="2420" t="s">
        <v>1003</v>
      </c>
      <c r="S33" s="2193"/>
      <c r="T33" s="2193"/>
      <c r="U33" s="2193"/>
      <c r="V33" s="2193"/>
      <c r="W33" s="269"/>
    </row>
    <row r="34" spans="1:23" ht="12.75">
      <c r="A34" s="1138">
        <v>5133</v>
      </c>
      <c r="B34" s="1139" t="s">
        <v>602</v>
      </c>
      <c r="C34" s="275">
        <v>18848.471000000001</v>
      </c>
      <c r="D34" s="133">
        <v>8501.24</v>
      </c>
      <c r="E34" s="133">
        <v>4241.5169999999998</v>
      </c>
      <c r="F34" s="133">
        <v>19.515000000000001</v>
      </c>
      <c r="G34" s="133">
        <v>16.98</v>
      </c>
      <c r="H34" s="133">
        <v>5400.95</v>
      </c>
      <c r="I34" s="133">
        <v>25.126999999999999</v>
      </c>
      <c r="J34" s="133">
        <v>419.30500000000001</v>
      </c>
      <c r="K34" s="1152">
        <f>C34-I34-J34</f>
        <v>18404.039000000001</v>
      </c>
      <c r="L34" s="1729">
        <f t="shared" si="7"/>
        <v>12991.721000000001</v>
      </c>
      <c r="M34" s="1143">
        <f>IF(C34&gt;0,K34*1000000/Q34,"")</f>
        <v>1744.1764635807267</v>
      </c>
      <c r="N34" s="1143">
        <v>1699.107</v>
      </c>
      <c r="O34" s="2387">
        <f>IF(ISERROR((M34-N34)/N34),"",((M34-N34)/N34))</f>
        <v>2.6525382792682704E-2</v>
      </c>
      <c r="P34" s="2193"/>
      <c r="Q34" s="2406">
        <v>10551707</v>
      </c>
      <c r="R34" s="2420" t="s">
        <v>507</v>
      </c>
      <c r="S34" s="2193"/>
      <c r="T34" s="2193"/>
      <c r="U34" s="2193"/>
      <c r="V34" s="2193"/>
      <c r="W34" s="269"/>
    </row>
    <row r="35" spans="1:23" ht="12.75">
      <c r="A35" s="1138">
        <v>5135</v>
      </c>
      <c r="B35" s="1127" t="s">
        <v>155</v>
      </c>
      <c r="C35" s="275">
        <v>12359.269</v>
      </c>
      <c r="D35" s="133">
        <v>6054.6450000000004</v>
      </c>
      <c r="E35" s="133">
        <v>2122.453</v>
      </c>
      <c r="F35" s="133">
        <v>28.18</v>
      </c>
      <c r="G35" s="133">
        <v>7.2949999999999999</v>
      </c>
      <c r="H35" s="133">
        <v>765.34199999999998</v>
      </c>
      <c r="I35" s="133">
        <v>33.857999999999997</v>
      </c>
      <c r="J35" s="133">
        <v>1303.231</v>
      </c>
      <c r="K35" s="1152">
        <f>C35-I35-J35</f>
        <v>11022.18</v>
      </c>
      <c r="L35" s="1729">
        <f t="shared" si="7"/>
        <v>10255.221000000001</v>
      </c>
      <c r="M35" s="1143">
        <f>IF(C35&gt;0,K35*1000000/Q35,"")</f>
        <v>1964.5733779879404</v>
      </c>
      <c r="N35" s="1143">
        <v>1816.047</v>
      </c>
      <c r="O35" s="2387">
        <f>IF(ISERROR((M35-N35)/N35),"",((M35-N35)/N35))</f>
        <v>8.1785536380908838E-2</v>
      </c>
      <c r="P35" s="2193"/>
      <c r="Q35" s="2406">
        <v>5610470</v>
      </c>
      <c r="R35" s="2420" t="s">
        <v>1004</v>
      </c>
      <c r="S35" s="2193"/>
      <c r="T35" s="2193"/>
      <c r="U35" s="2193"/>
      <c r="V35" s="2193"/>
      <c r="W35" s="269"/>
    </row>
    <row r="36" spans="1:23" ht="12.75">
      <c r="A36" s="1138">
        <v>5139</v>
      </c>
      <c r="B36" s="1127" t="s">
        <v>156</v>
      </c>
      <c r="C36" s="275">
        <v>6452.2960000000003</v>
      </c>
      <c r="D36" s="133">
        <v>3909.556</v>
      </c>
      <c r="E36" s="133">
        <v>708.83199999999999</v>
      </c>
      <c r="F36" s="133">
        <v>25.361999999999998</v>
      </c>
      <c r="G36" s="133">
        <v>5.6479999999999997</v>
      </c>
      <c r="H36" s="133">
        <v>234.19399999999999</v>
      </c>
      <c r="I36" s="133">
        <v>84.67</v>
      </c>
      <c r="J36" s="133">
        <v>589.82799999999997</v>
      </c>
      <c r="K36" s="1152">
        <f>C36-I36-J36</f>
        <v>5777.7980000000007</v>
      </c>
      <c r="L36" s="1729">
        <f t="shared" si="7"/>
        <v>5597.2640000000001</v>
      </c>
      <c r="M36" s="1146"/>
      <c r="N36" s="1145"/>
      <c r="O36" s="2388"/>
      <c r="P36" s="2193"/>
      <c r="Q36" s="2487"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6" s="2617"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6" s="2193"/>
      <c r="T36" s="2193"/>
      <c r="U36" s="2193"/>
      <c r="V36" s="2193"/>
      <c r="W36" s="269"/>
    </row>
    <row r="37" spans="1:23" ht="17.25" customHeight="1">
      <c r="A37" s="1129">
        <v>51399</v>
      </c>
      <c r="B37" s="1130" t="s">
        <v>603</v>
      </c>
      <c r="C37" s="2143">
        <f>SUM(C32:C36)</f>
        <v>82161.332999999999</v>
      </c>
      <c r="D37" s="2143">
        <f t="shared" ref="D37:J37" si="8">SUM(D32:D36)</f>
        <v>44065.686000000002</v>
      </c>
      <c r="E37" s="2143">
        <f t="shared" si="8"/>
        <v>15595.324000000001</v>
      </c>
      <c r="F37" s="2143">
        <f t="shared" si="8"/>
        <v>156.01</v>
      </c>
      <c r="G37" s="2143">
        <f t="shared" si="8"/>
        <v>1520.606</v>
      </c>
      <c r="H37" s="2143">
        <f t="shared" si="8"/>
        <v>7841.7939999999999</v>
      </c>
      <c r="I37" s="2143">
        <f t="shared" si="8"/>
        <v>261.04300000000001</v>
      </c>
      <c r="J37" s="2143">
        <f t="shared" si="8"/>
        <v>5479.1059999999998</v>
      </c>
      <c r="K37" s="1146"/>
      <c r="L37" s="1145"/>
      <c r="M37" s="1147"/>
      <c r="N37" s="1147"/>
      <c r="O37" s="2389"/>
      <c r="P37" s="2193"/>
      <c r="Q37" s="2407"/>
      <c r="R37" s="2618"/>
      <c r="S37" s="2193"/>
      <c r="T37" s="2193"/>
      <c r="U37" s="2193"/>
      <c r="V37" s="2193"/>
      <c r="W37" s="269"/>
    </row>
    <row r="38" spans="1:23" ht="13.5" thickBot="1">
      <c r="A38" s="1131"/>
      <c r="B38" s="1655"/>
      <c r="C38" s="317"/>
      <c r="D38" s="317"/>
      <c r="E38" s="317"/>
      <c r="F38" s="317"/>
      <c r="G38" s="317"/>
      <c r="H38" s="317"/>
      <c r="I38" s="320"/>
      <c r="J38" s="317"/>
      <c r="K38" s="1148"/>
      <c r="L38" s="1722"/>
      <c r="M38" s="1149"/>
      <c r="N38" s="1149"/>
      <c r="O38" s="2390"/>
      <c r="P38" s="2193"/>
      <c r="Q38" s="2408"/>
      <c r="R38" s="2619"/>
      <c r="S38" s="2193"/>
      <c r="T38" s="2193"/>
      <c r="U38" s="2193"/>
      <c r="V38" s="2193"/>
      <c r="W38" s="269"/>
    </row>
    <row r="39" spans="1:23" ht="12.75">
      <c r="A39" s="271"/>
      <c r="B39" s="299" t="s">
        <v>605</v>
      </c>
      <c r="C39" s="299"/>
      <c r="D39" s="299"/>
      <c r="E39" s="299"/>
      <c r="F39" s="299"/>
      <c r="G39" s="299"/>
      <c r="H39" s="299"/>
      <c r="I39" s="299"/>
      <c r="J39" s="1773"/>
      <c r="K39" s="1773"/>
      <c r="L39" s="1773"/>
      <c r="M39" s="1773"/>
      <c r="N39" s="1773"/>
      <c r="O39" s="332"/>
      <c r="P39" s="2381"/>
      <c r="Q39" s="1768"/>
      <c r="R39" s="270"/>
      <c r="S39" s="269"/>
      <c r="T39" s="269"/>
      <c r="U39" s="269"/>
      <c r="V39" s="269"/>
    </row>
    <row r="40" spans="1:23" ht="12.75">
      <c r="B40" s="299" t="s">
        <v>604</v>
      </c>
      <c r="C40" s="300"/>
      <c r="D40" s="300"/>
      <c r="E40" s="300"/>
      <c r="F40" s="300"/>
      <c r="G40" s="301"/>
      <c r="H40" s="301"/>
      <c r="I40" s="301"/>
      <c r="J40" s="301"/>
      <c r="K40" s="271"/>
      <c r="L40" s="271"/>
      <c r="M40" s="271"/>
      <c r="N40" s="271"/>
    </row>
    <row r="41" spans="1:23" ht="12.75">
      <c r="B41" s="1155" t="s">
        <v>160</v>
      </c>
      <c r="C41" s="1156"/>
      <c r="D41" s="1156"/>
      <c r="E41" s="1157"/>
      <c r="F41" s="1158"/>
      <c r="G41" s="134">
        <f>'Verks int o kostn'!D21</f>
        <v>5023.1729999999998</v>
      </c>
      <c r="H41" s="1934"/>
      <c r="I41" s="271"/>
      <c r="J41" s="271"/>
      <c r="K41" s="271"/>
      <c r="L41" s="271"/>
      <c r="M41" s="271"/>
      <c r="N41" s="271"/>
    </row>
    <row r="42" spans="1:23" ht="12.75">
      <c r="B42" s="1155" t="s">
        <v>161</v>
      </c>
      <c r="C42" s="1156"/>
      <c r="D42" s="1156"/>
      <c r="E42" s="1157"/>
      <c r="F42" s="1158"/>
      <c r="G42" s="134">
        <f>'Verks int o kostn'!I41</f>
        <v>4432.3410000000003</v>
      </c>
      <c r="H42" s="1934"/>
      <c r="I42" s="271"/>
      <c r="J42" s="271"/>
      <c r="K42" s="271"/>
      <c r="L42" s="271"/>
      <c r="M42" s="271"/>
      <c r="N42" s="271"/>
    </row>
    <row r="43" spans="1:23" ht="12.75">
      <c r="A43" s="431">
        <v>51398</v>
      </c>
      <c r="B43" s="1159" t="s">
        <v>186</v>
      </c>
      <c r="C43" s="1156"/>
      <c r="D43" s="1156"/>
      <c r="E43" s="1157"/>
      <c r="F43" s="1158"/>
      <c r="G43" s="133">
        <v>2.0019999999999998</v>
      </c>
      <c r="H43" s="316"/>
      <c r="I43" s="271"/>
      <c r="J43" s="271"/>
      <c r="K43" s="271"/>
      <c r="L43" s="271"/>
      <c r="M43" s="271"/>
      <c r="N43" s="271"/>
    </row>
    <row r="44" spans="1:23" ht="13.5" thickBot="1">
      <c r="E44" s="425" t="s">
        <v>702</v>
      </c>
      <c r="F44" s="425" t="s">
        <v>703</v>
      </c>
      <c r="G44" s="425" t="s">
        <v>704</v>
      </c>
      <c r="H44" s="425" t="s">
        <v>705</v>
      </c>
      <c r="I44" s="425" t="s">
        <v>706</v>
      </c>
      <c r="J44" s="425" t="s">
        <v>707</v>
      </c>
      <c r="K44" s="425" t="s">
        <v>708</v>
      </c>
      <c r="L44" s="425" t="s">
        <v>709</v>
      </c>
      <c r="M44" s="425" t="s">
        <v>710</v>
      </c>
    </row>
    <row r="45" spans="1:23" ht="14.25" customHeight="1">
      <c r="A45" s="2620" t="s">
        <v>783</v>
      </c>
      <c r="B45" s="2621"/>
      <c r="C45" s="1279" t="s">
        <v>765</v>
      </c>
      <c r="D45" s="1160" t="s">
        <v>126</v>
      </c>
      <c r="E45" s="1102" t="s">
        <v>192</v>
      </c>
      <c r="F45" s="1102" t="s">
        <v>484</v>
      </c>
      <c r="G45" s="1102" t="s">
        <v>193</v>
      </c>
      <c r="H45" s="1102" t="s">
        <v>123</v>
      </c>
      <c r="I45" s="1160" t="s">
        <v>1026</v>
      </c>
      <c r="J45" s="1102" t="s">
        <v>125</v>
      </c>
      <c r="K45" s="2624" t="s">
        <v>793</v>
      </c>
      <c r="L45" s="1102" t="s">
        <v>124</v>
      </c>
      <c r="M45" s="1102" t="s">
        <v>148</v>
      </c>
      <c r="N45" s="1104"/>
      <c r="O45" s="1103"/>
      <c r="P45" s="1161"/>
      <c r="R45" s="2193"/>
      <c r="S45" s="2193"/>
      <c r="T45" s="2193"/>
      <c r="U45" s="2193"/>
      <c r="V45" s="2193"/>
    </row>
    <row r="46" spans="1:23" ht="12.75">
      <c r="A46" s="2622"/>
      <c r="B46" s="2623"/>
      <c r="C46" s="1335" t="s">
        <v>777</v>
      </c>
      <c r="D46" s="1106"/>
      <c r="E46" s="1162" t="s">
        <v>127</v>
      </c>
      <c r="F46" s="1162" t="s">
        <v>191</v>
      </c>
      <c r="G46" s="1162" t="s">
        <v>128</v>
      </c>
      <c r="H46" s="1162"/>
      <c r="I46" s="1707"/>
      <c r="J46" s="1162" t="s">
        <v>130</v>
      </c>
      <c r="K46" s="2625"/>
      <c r="L46" s="1162" t="s">
        <v>129</v>
      </c>
      <c r="M46" s="1162"/>
      <c r="N46" s="1113"/>
      <c r="O46" s="1118"/>
      <c r="P46" s="1163"/>
      <c r="R46" s="2193"/>
      <c r="S46" s="2193"/>
      <c r="T46" s="2193"/>
      <c r="U46" s="2193"/>
      <c r="V46" s="2193"/>
    </row>
    <row r="47" spans="1:23" ht="30" customHeight="1">
      <c r="A47" s="2622"/>
      <c r="B47" s="2623"/>
      <c r="C47" s="1547"/>
      <c r="D47" s="1280"/>
      <c r="E47" s="1548" t="s">
        <v>754</v>
      </c>
      <c r="F47" s="1533" t="s">
        <v>755</v>
      </c>
      <c r="G47" s="1533" t="s">
        <v>756</v>
      </c>
      <c r="H47" s="1533" t="s">
        <v>757</v>
      </c>
      <c r="I47" s="1533" t="s">
        <v>758</v>
      </c>
      <c r="J47" s="1533" t="s">
        <v>759</v>
      </c>
      <c r="K47" s="1533" t="s">
        <v>760</v>
      </c>
      <c r="L47" s="1533" t="s">
        <v>761</v>
      </c>
      <c r="M47" s="1533" t="s">
        <v>762</v>
      </c>
      <c r="N47" s="1113"/>
      <c r="O47" s="1118"/>
      <c r="P47" s="1163"/>
      <c r="R47" s="2193"/>
      <c r="S47" s="2193"/>
      <c r="T47" s="2193"/>
      <c r="U47" s="2193"/>
      <c r="V47" s="2193"/>
    </row>
    <row r="48" spans="1:23" ht="6.75" customHeight="1">
      <c r="A48" s="1479"/>
      <c r="B48" s="1480"/>
      <c r="C48" s="1549"/>
      <c r="D48" s="1550"/>
      <c r="E48" s="1551"/>
      <c r="F48" s="1551"/>
      <c r="G48" s="1551"/>
      <c r="H48" s="1551"/>
      <c r="I48" s="1552"/>
      <c r="J48" s="1551"/>
      <c r="K48" s="1552"/>
      <c r="L48" s="1551"/>
      <c r="M48" s="1162"/>
      <c r="N48" s="1113"/>
      <c r="O48" s="1118"/>
      <c r="P48" s="1163"/>
      <c r="R48" s="2193"/>
      <c r="S48" s="2193"/>
      <c r="T48" s="2193"/>
      <c r="U48" s="2193"/>
      <c r="V48" s="2193"/>
    </row>
    <row r="49" spans="1:22" ht="12" customHeight="1">
      <c r="A49" s="1164">
        <v>510</v>
      </c>
      <c r="B49" s="1165" t="s">
        <v>503</v>
      </c>
      <c r="C49" s="426">
        <f>E12</f>
        <v>24858.411</v>
      </c>
      <c r="D49" s="293"/>
      <c r="E49" s="426">
        <f>Motpart!D27</f>
        <v>2421.1680000000001</v>
      </c>
      <c r="F49" s="426">
        <f>Motpart!E27</f>
        <v>702.39099999999996</v>
      </c>
      <c r="G49" s="426">
        <f>Motpart!F27</f>
        <v>20261.833999999999</v>
      </c>
      <c r="H49" s="426">
        <f>Motpart!G27</f>
        <v>315.95600000000002</v>
      </c>
      <c r="I49" s="426">
        <f>Motpart!H27</f>
        <v>279.50599999999997</v>
      </c>
      <c r="J49" s="426">
        <f>Motpart!I27</f>
        <v>4.9189999999999996</v>
      </c>
      <c r="K49" s="1868"/>
      <c r="L49" s="426">
        <f>Motpart!K27</f>
        <v>870.32</v>
      </c>
      <c r="M49" s="430">
        <f>Motpart!L27</f>
        <v>2.3170000000000002</v>
      </c>
      <c r="N49" s="1935"/>
      <c r="O49" s="324"/>
      <c r="P49" s="328"/>
      <c r="R49" s="2193"/>
      <c r="S49" s="2193"/>
      <c r="T49" s="2193"/>
      <c r="U49" s="2193"/>
      <c r="V49" s="2193"/>
    </row>
    <row r="50" spans="1:22" ht="12.75">
      <c r="A50" s="1138">
        <v>5101</v>
      </c>
      <c r="B50" s="1166" t="s">
        <v>437</v>
      </c>
      <c r="C50" s="427">
        <f>E13</f>
        <v>7991.6940000000004</v>
      </c>
      <c r="D50" s="136"/>
      <c r="E50" s="133">
        <v>312.642</v>
      </c>
      <c r="F50" s="133">
        <v>304.95699999999999</v>
      </c>
      <c r="G50" s="133">
        <v>7019.0039999999999</v>
      </c>
      <c r="H50" s="133">
        <v>65.793000000000006</v>
      </c>
      <c r="I50" s="133">
        <v>34.256</v>
      </c>
      <c r="J50" s="133">
        <v>2.1459999999999999</v>
      </c>
      <c r="K50" s="1869"/>
      <c r="L50" s="133">
        <v>252.881</v>
      </c>
      <c r="M50" s="323">
        <v>3.0000000000000001E-3</v>
      </c>
      <c r="N50" s="1936"/>
      <c r="O50" s="325"/>
      <c r="P50" s="329"/>
      <c r="R50" s="2193"/>
      <c r="S50" s="2193"/>
      <c r="T50" s="2193"/>
      <c r="U50" s="2193"/>
      <c r="V50" s="2193"/>
    </row>
    <row r="51" spans="1:22" ht="12.75">
      <c r="A51" s="1138">
        <v>5103</v>
      </c>
      <c r="B51" s="1167" t="s">
        <v>436</v>
      </c>
      <c r="C51" s="427">
        <f>E14</f>
        <v>808.90499999999997</v>
      </c>
      <c r="D51" s="135"/>
      <c r="E51" s="133">
        <v>34.697000000000003</v>
      </c>
      <c r="F51" s="133">
        <v>33.515000000000001</v>
      </c>
      <c r="G51" s="133">
        <v>486.02199999999999</v>
      </c>
      <c r="H51" s="133">
        <v>48.179000000000002</v>
      </c>
      <c r="I51" s="133">
        <v>188.52199999999999</v>
      </c>
      <c r="J51" s="133">
        <v>0.34699999999999998</v>
      </c>
      <c r="K51" s="1869"/>
      <c r="L51" s="133">
        <v>16.709</v>
      </c>
      <c r="M51" s="310">
        <v>0.90200000000000002</v>
      </c>
      <c r="N51" s="1937"/>
      <c r="O51" s="326"/>
      <c r="P51" s="329"/>
      <c r="R51" s="2193"/>
      <c r="S51" s="2193"/>
      <c r="T51" s="2193"/>
      <c r="U51" s="2193"/>
      <c r="V51" s="2193"/>
    </row>
    <row r="52" spans="1:22" ht="12.75">
      <c r="A52" s="1168">
        <v>5105</v>
      </c>
      <c r="B52" s="1122" t="s">
        <v>471</v>
      </c>
      <c r="C52" s="428">
        <f>E16</f>
        <v>15811.37</v>
      </c>
      <c r="D52" s="137"/>
      <c r="E52" s="309">
        <v>2053.6709999999998</v>
      </c>
      <c r="F52" s="309">
        <v>358.03500000000003</v>
      </c>
      <c r="G52" s="309">
        <v>12576.708000000001</v>
      </c>
      <c r="H52" s="309">
        <v>189.339</v>
      </c>
      <c r="I52" s="309">
        <v>49.945999999999998</v>
      </c>
      <c r="J52" s="309">
        <v>2.2370000000000001</v>
      </c>
      <c r="K52" s="1870"/>
      <c r="L52" s="309">
        <v>580.01199999999994</v>
      </c>
      <c r="M52" s="311">
        <v>1.4119999999999999</v>
      </c>
      <c r="N52" s="1938"/>
      <c r="O52" s="505"/>
      <c r="P52" s="506"/>
      <c r="R52" s="2193"/>
      <c r="S52" s="2193"/>
      <c r="T52" s="2193"/>
      <c r="U52" s="2193"/>
      <c r="V52" s="2193"/>
    </row>
    <row r="53" spans="1:22" ht="12.75">
      <c r="A53" s="1169">
        <v>520</v>
      </c>
      <c r="B53" s="1119" t="s">
        <v>445</v>
      </c>
      <c r="C53" s="426">
        <f>E21</f>
        <v>3878.4949999999999</v>
      </c>
      <c r="D53" s="136"/>
      <c r="E53" s="426">
        <f>Motpart!D28</f>
        <v>274.57600000000002</v>
      </c>
      <c r="F53" s="426">
        <f>Motpart!E28</f>
        <v>12.589</v>
      </c>
      <c r="G53" s="426">
        <f>Motpart!F28</f>
        <v>3388.136</v>
      </c>
      <c r="H53" s="426">
        <f>Motpart!G28</f>
        <v>50.290999999999997</v>
      </c>
      <c r="I53" s="426">
        <f>Motpart!H28</f>
        <v>29.172999999999998</v>
      </c>
      <c r="J53" s="426">
        <f>Motpart!I28</f>
        <v>12.597</v>
      </c>
      <c r="K53" s="1868"/>
      <c r="L53" s="426">
        <f>Motpart!K28</f>
        <v>110.883</v>
      </c>
      <c r="M53" s="426">
        <f>Motpart!L28</f>
        <v>0.25</v>
      </c>
      <c r="N53" s="1939"/>
      <c r="O53" s="324"/>
      <c r="P53" s="328"/>
      <c r="R53" s="2193"/>
      <c r="S53" s="2193"/>
      <c r="T53" s="2193"/>
      <c r="U53" s="2193"/>
      <c r="V53" s="2193"/>
    </row>
    <row r="54" spans="1:22" ht="12.75">
      <c r="A54" s="1138">
        <v>5201</v>
      </c>
      <c r="B54" s="1166" t="s">
        <v>439</v>
      </c>
      <c r="C54" s="427">
        <f>E22</f>
        <v>719.12400000000002</v>
      </c>
      <c r="D54" s="135"/>
      <c r="E54" s="133">
        <v>18.085000000000001</v>
      </c>
      <c r="F54" s="133">
        <v>9.0719999999999992</v>
      </c>
      <c r="G54" s="133">
        <v>680.50699999999995</v>
      </c>
      <c r="H54" s="133">
        <v>5.3339999999999996</v>
      </c>
      <c r="I54" s="133">
        <v>1.3140000000000001</v>
      </c>
      <c r="J54" s="133">
        <v>0.46500000000000002</v>
      </c>
      <c r="K54" s="1869"/>
      <c r="L54" s="133">
        <v>4.3330000000000002</v>
      </c>
      <c r="M54" s="310">
        <v>0</v>
      </c>
      <c r="N54" s="1940"/>
      <c r="O54" s="326"/>
      <c r="P54" s="329"/>
      <c r="R54" s="2193"/>
      <c r="S54" s="2193"/>
      <c r="T54" s="2193"/>
      <c r="U54" s="2193"/>
      <c r="V54" s="2193"/>
    </row>
    <row r="55" spans="1:22" ht="12.75">
      <c r="A55" s="1138">
        <v>5203</v>
      </c>
      <c r="B55" s="1166" t="s">
        <v>436</v>
      </c>
      <c r="C55" s="427">
        <f>E24</f>
        <v>355.03500000000003</v>
      </c>
      <c r="D55" s="135"/>
      <c r="E55" s="133">
        <v>42.226999999999997</v>
      </c>
      <c r="F55" s="133">
        <v>0.41599999999999998</v>
      </c>
      <c r="G55" s="133">
        <v>303.04700000000003</v>
      </c>
      <c r="H55" s="133">
        <v>1.534</v>
      </c>
      <c r="I55" s="133">
        <v>4.8289999999999997</v>
      </c>
      <c r="J55" s="133">
        <v>1.0999999999999999E-2</v>
      </c>
      <c r="K55" s="1869"/>
      <c r="L55" s="133">
        <v>2.968</v>
      </c>
      <c r="M55" s="310">
        <v>0</v>
      </c>
      <c r="N55" s="1937"/>
      <c r="O55" s="326"/>
      <c r="P55" s="329"/>
      <c r="R55" s="2193"/>
      <c r="S55" s="2193"/>
      <c r="T55" s="2193"/>
      <c r="U55" s="2193"/>
      <c r="V55" s="2193"/>
    </row>
    <row r="56" spans="1:22" ht="12.75">
      <c r="A56" s="1170">
        <v>5205</v>
      </c>
      <c r="B56" s="1116" t="s">
        <v>471</v>
      </c>
      <c r="C56" s="428">
        <f>E26</f>
        <v>2297.3209999999999</v>
      </c>
      <c r="D56" s="292"/>
      <c r="E56" s="133">
        <v>166.81700000000001</v>
      </c>
      <c r="F56" s="133">
        <v>2.794</v>
      </c>
      <c r="G56" s="133">
        <v>2019.518</v>
      </c>
      <c r="H56" s="133">
        <v>26.8</v>
      </c>
      <c r="I56" s="133">
        <v>13.638999999999999</v>
      </c>
      <c r="J56" s="133">
        <v>8.7629999999999999</v>
      </c>
      <c r="K56" s="1869"/>
      <c r="L56" s="133">
        <v>58.710999999999999</v>
      </c>
      <c r="M56" s="311">
        <v>0.25</v>
      </c>
      <c r="N56" s="1938"/>
      <c r="O56" s="505"/>
      <c r="P56" s="506"/>
      <c r="R56" s="2193"/>
      <c r="S56" s="2193"/>
      <c r="T56" s="2193"/>
      <c r="U56" s="2193"/>
      <c r="V56" s="2193"/>
    </row>
    <row r="57" spans="1:22" ht="12.75">
      <c r="A57" s="1171">
        <v>513</v>
      </c>
      <c r="B57" s="1172" t="s">
        <v>444</v>
      </c>
      <c r="C57" s="426">
        <f>E31</f>
        <v>15595.325000000001</v>
      </c>
      <c r="D57" s="293"/>
      <c r="E57" s="426">
        <f>Motpart!D29</f>
        <v>1570.009</v>
      </c>
      <c r="F57" s="426">
        <f>Motpart!E29</f>
        <v>318.20499999999998</v>
      </c>
      <c r="G57" s="426">
        <f>Motpart!F29</f>
        <v>12860.353999999999</v>
      </c>
      <c r="H57" s="426">
        <f>Motpart!G29</f>
        <v>294.20999999999998</v>
      </c>
      <c r="I57" s="426">
        <f>Motpart!H29</f>
        <v>93.668000000000006</v>
      </c>
      <c r="J57" s="426">
        <f>Motpart!I29</f>
        <v>37.404000000000003</v>
      </c>
      <c r="K57" s="1868"/>
      <c r="L57" s="426">
        <f>Motpart!K29</f>
        <v>421.197</v>
      </c>
      <c r="M57" s="426">
        <f>Motpart!L29</f>
        <v>0.27800000000000002</v>
      </c>
      <c r="N57" s="1941"/>
      <c r="O57" s="507"/>
      <c r="P57" s="328"/>
      <c r="R57" s="2193"/>
      <c r="S57" s="2193"/>
      <c r="T57" s="2193"/>
      <c r="U57" s="2193"/>
      <c r="V57" s="2193"/>
    </row>
    <row r="58" spans="1:22" ht="13.5" thickBot="1">
      <c r="A58" s="1131">
        <v>5131</v>
      </c>
      <c r="B58" s="1173" t="s">
        <v>190</v>
      </c>
      <c r="C58" s="429">
        <f>E32</f>
        <v>7145.2690000000002</v>
      </c>
      <c r="D58" s="294"/>
      <c r="E58" s="312">
        <v>897.10500000000002</v>
      </c>
      <c r="F58" s="312">
        <v>148.06399999999999</v>
      </c>
      <c r="G58" s="312">
        <v>5805.5129999999999</v>
      </c>
      <c r="H58" s="312">
        <v>46.191000000000003</v>
      </c>
      <c r="I58" s="312">
        <v>22.274999999999999</v>
      </c>
      <c r="J58" s="312">
        <v>2.698</v>
      </c>
      <c r="K58" s="1871"/>
      <c r="L58" s="312">
        <v>223.41499999999999</v>
      </c>
      <c r="M58" s="313">
        <v>0</v>
      </c>
      <c r="N58" s="1942"/>
      <c r="O58" s="327"/>
      <c r="P58" s="330"/>
      <c r="R58" s="2193"/>
      <c r="S58" s="2193"/>
      <c r="T58" s="2193"/>
      <c r="U58" s="2193"/>
      <c r="V58" s="2193"/>
    </row>
    <row r="59" spans="1:22" ht="12.75">
      <c r="D59" s="331"/>
      <c r="N59" s="314"/>
      <c r="O59" s="315"/>
      <c r="R59" s="2193"/>
      <c r="S59" s="2193"/>
      <c r="T59" s="2193"/>
      <c r="U59" s="2193"/>
      <c r="V59" s="2193"/>
    </row>
    <row r="60" spans="1:22" ht="12.75">
      <c r="R60" s="2193"/>
      <c r="S60" s="2193"/>
      <c r="T60" s="2193"/>
      <c r="U60" s="2193"/>
      <c r="V60" s="2193"/>
    </row>
  </sheetData>
  <sheetProtection algorithmName="SHA-512" hashValue="cllGHuX/7XGt55Abjs7qL6u24RyFpDrzP/ehy1CPMOpgpL9wtir65YTGYeB3Esz4ddVN126Rz0+fUG24Iz2JHw==" saltValue="p3Z9Q82pQvuT9+Owd7I5VA==" spinCount="100000" sheet="1" objects="1" scenarios="1"/>
  <customSheetViews>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1"/>
      <headerFooter>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3"/>
      <headerFooter alignWithMargins="0">
        <oddHeader>&amp;L&amp;8Statistiska Centralbyrån
Offentlig ekonomi&amp;R&amp;P</oddHeader>
      </headerFooter>
    </customSheetView>
  </customSheetViews>
  <mergeCells count="15">
    <mergeCell ref="A45:B47"/>
    <mergeCell ref="K45:K46"/>
    <mergeCell ref="F6:F7"/>
    <mergeCell ref="G6:G7"/>
    <mergeCell ref="H6:H7"/>
    <mergeCell ref="H9:H11"/>
    <mergeCell ref="E6:E7"/>
    <mergeCell ref="I6:I7"/>
    <mergeCell ref="D6:D7"/>
    <mergeCell ref="D9:D10"/>
    <mergeCell ref="O4:O6"/>
    <mergeCell ref="Q6:R7"/>
    <mergeCell ref="R14:R19"/>
    <mergeCell ref="R23:R29"/>
    <mergeCell ref="R36:R38"/>
  </mergeCells>
  <phoneticPr fontId="88" type="noConversion"/>
  <conditionalFormatting sqref="E58:M58 G43 E50:M52 E54:M56 C24:J24 C13:F13 H13:J13 C22:F23 H22:J23 C26:J28 C25:F25 H25:J25 C14:J14 C16:J18 C15:F15 H15:J15">
    <cfRule type="cellIs" dxfId="23" priority="30" stopIfTrue="1" operator="lessThan">
      <formula>0</formula>
    </cfRule>
  </conditionalFormatting>
  <conditionalFormatting sqref="B20 B30 B38">
    <cfRule type="expression" dxfId="22" priority="93" stopIfTrue="1">
      <formula>OR(C20&gt;5,C20&lt;-5,E20&gt;5,E20&lt;-5,F20&gt;5,F20&lt;-5,G20&gt;5,G20&lt;-5,H20&gt;5,H20&lt;-5,I20&gt;5,I20&lt;-5,J20&gt;5,J20&lt;-5)</formula>
    </cfRule>
  </conditionalFormatting>
  <conditionalFormatting sqref="R14:R19">
    <cfRule type="expression" dxfId="21" priority="13">
      <formula>IF(C12=0,"",IF(C17&gt;1,"",IF(K17=0,N17&lt;&gt;0)))</formula>
    </cfRule>
    <cfRule type="expression" dxfId="20" priority="14">
      <formula>IF(C12=0,"",IF(C16&gt;1,"",IF(K16=0,N16&lt;&gt;0)))</formula>
    </cfRule>
    <cfRule type="expression" dxfId="19" priority="15">
      <formula>IF(C12=0,"",IF(C15&gt;1,"",IF(K15=0,N15&lt;&gt;0)))</formula>
    </cfRule>
    <cfRule type="expression" dxfId="18" priority="16">
      <formula>IF(C12=0,"",IF(C14&gt;1,"",IF(K14=0,N14&lt;&gt;0)))</formula>
    </cfRule>
    <cfRule type="expression" dxfId="17" priority="22">
      <formula>IF(C12=0,"",IF(C13&gt;1,"",IF(K13=0,N13&lt;&gt;0)))</formula>
    </cfRule>
  </conditionalFormatting>
  <conditionalFormatting sqref="R36:R38">
    <cfRule type="expression" dxfId="16" priority="9">
      <formula>IF(C31=0,"",IF(C35&gt;1,"",IF(K35=0,N35&lt;&gt;0)))</formula>
    </cfRule>
    <cfRule type="expression" dxfId="15" priority="10">
      <formula>IF(C31=0,"",IF(C34&gt;1,"",IF(K34=0,N34&lt;&gt;0)))</formula>
    </cfRule>
    <cfRule type="expression" dxfId="14" priority="11">
      <formula>IF(C31=0,"",IF(C33&gt;1,"",IF(K33=0,N33&lt;&gt;0)))</formula>
    </cfRule>
    <cfRule type="expression" dxfId="13" priority="12">
      <formula>IF(C31=0,"",IF(C32&gt;1,"",IF(K32=0,N32&lt;&gt;0)))</formula>
    </cfRule>
  </conditionalFormatting>
  <conditionalFormatting sqref="R23:R28">
    <cfRule type="expression" dxfId="12" priority="17">
      <formula>IF(C21=0,"",IF(C27&gt;1,"",IF(K27=0,N27&lt;&gt;0)))</formula>
    </cfRule>
    <cfRule type="expression" dxfId="11" priority="18">
      <formula>IF(C21=0,"",IF(C26&gt;1,"",IF(K26=0,N26&lt;&gt;0)))</formula>
    </cfRule>
    <cfRule type="expression" dxfId="10" priority="19">
      <formula>IF(C21=0,"",IF(C25&gt;1,"",IF(K25=0,N25&lt;&gt;0)))</formula>
    </cfRule>
    <cfRule type="expression" dxfId="9" priority="20">
      <formula>IF(C21=0,"",IF(C23&gt;1,"",IF(K23=0,N23&lt;&gt;0)))</formula>
    </cfRule>
    <cfRule type="expression" dxfId="8" priority="21">
      <formula>IF(C21=0,"",IF(C22&gt;1,"",IF(K22=0,N22&lt;&gt;0)))</formula>
    </cfRule>
  </conditionalFormatting>
  <conditionalFormatting sqref="R23:R29">
    <cfRule type="expression" dxfId="7" priority="8">
      <formula>IF(C21=0,"",IF(C24&gt;1,"",IF(K24=0,N24&lt;&gt;0)))</formula>
    </cfRule>
  </conditionalFormatting>
  <conditionalFormatting sqref="C32:J36">
    <cfRule type="cellIs" dxfId="6" priority="6" stopIfTrue="1" operator="lessThan">
      <formula>0</formula>
    </cfRule>
  </conditionalFormatting>
  <conditionalFormatting sqref="G13">
    <cfRule type="cellIs" dxfId="5" priority="5" stopIfTrue="1" operator="lessThan">
      <formula>0</formula>
    </cfRule>
  </conditionalFormatting>
  <conditionalFormatting sqref="G22:G23">
    <cfRule type="cellIs" dxfId="4" priority="3" stopIfTrue="1" operator="lessThan">
      <formula>0</formula>
    </cfRule>
  </conditionalFormatting>
  <conditionalFormatting sqref="G25">
    <cfRule type="cellIs" dxfId="3" priority="2" stopIfTrue="1" operator="lessThan">
      <formula>0</formula>
    </cfRule>
  </conditionalFormatting>
  <conditionalFormatting sqref="G15">
    <cfRule type="cellIs" dxfId="2" priority="1" stopIfTrue="1" operator="lessThan">
      <formula>0</formula>
    </cfRule>
  </conditionalFormatting>
  <dataValidations disablePrompts="1" count="2">
    <dataValidation type="decimal" operator="lessThan" allowBlank="1" showInputMessage="1" showErrorMessage="1" error="Beloppen ska vara i 1000 tal kronor" sqref="E58:M58 J29:J31 C30:H31 I21 G43 E50:M56 D29:H29 C32:J37 I29:I30 C22:C29 D22:J28 C13:J20" xr:uid="{00000000-0002-0000-0900-000000000000}">
      <formula1>99999999</formula1>
    </dataValidation>
    <dataValidation type="decimal" operator="lessThan" allowBlank="1" showInputMessage="1" showErrorMessage="1" error="Beloppet ska vara i 1000 tal kr" sqref="I31"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C12" sqref="C12"/>
    </sheetView>
  </sheetViews>
  <sheetFormatPr defaultColWidth="0" defaultRowHeight="12.75" zeroHeight="1"/>
  <cols>
    <col min="1" max="1" width="5.5703125" style="278" customWidth="1"/>
    <col min="2" max="2" width="34.42578125" style="1765" customWidth="1"/>
    <col min="3" max="3" width="9.42578125" style="1765" customWidth="1"/>
    <col min="4" max="4" width="8.5703125" style="1765" customWidth="1"/>
    <col min="5" max="5" width="10.42578125" style="1765" customWidth="1"/>
    <col min="6" max="6" width="10.5703125" style="1765" customWidth="1"/>
    <col min="7" max="7" width="9.42578125" style="1765" customWidth="1"/>
    <col min="8" max="8" width="12.7109375" style="1765" customWidth="1"/>
    <col min="9" max="9" width="11" style="1765" customWidth="1"/>
    <col min="10" max="10" width="14.42578125" style="1765" customWidth="1"/>
    <col min="11" max="11" width="9.5703125" style="281" customWidth="1"/>
    <col min="12" max="12" width="1" style="281" customWidth="1"/>
    <col min="13" max="14" width="10.42578125" style="281" customWidth="1"/>
    <col min="15" max="19" width="9.42578125" style="281" customWidth="1"/>
    <col min="20" max="16384" width="0" style="281" hidden="1"/>
  </cols>
  <sheetData>
    <row r="1" spans="1:19" s="1741" customFormat="1" ht="21.75">
      <c r="A1" s="76" t="str">
        <f>"Specificering individ- och familjeomsorg "&amp;År&amp;", miljoner kronor"</f>
        <v>Specificering individ- och familjeomsorg 2023, miljoner kronor</v>
      </c>
      <c r="B1" s="77"/>
      <c r="C1" s="77"/>
      <c r="D1" s="77"/>
      <c r="E1" s="279"/>
      <c r="F1" s="279"/>
      <c r="G1" s="279"/>
      <c r="H1" s="279"/>
      <c r="I1" s="519" t="s">
        <v>450</v>
      </c>
      <c r="J1" s="520" t="str">
        <f>Information!A2</f>
        <v>RIKSTOTAL</v>
      </c>
      <c r="K1" s="279"/>
      <c r="L1" s="279"/>
      <c r="M1" s="279"/>
      <c r="N1" s="279"/>
      <c r="O1" s="279"/>
      <c r="P1" s="279"/>
      <c r="Q1" s="279"/>
      <c r="R1" s="279"/>
      <c r="S1" s="279"/>
    </row>
    <row r="2" spans="1:19" s="280" customFormat="1" ht="12.75" customHeight="1">
      <c r="A2" s="2193"/>
      <c r="B2" s="2193"/>
      <c r="C2" s="2193"/>
      <c r="D2" s="2193"/>
      <c r="E2" s="2193"/>
      <c r="F2" s="2193"/>
      <c r="G2" s="2193"/>
      <c r="H2" s="2193"/>
      <c r="I2" s="2193"/>
      <c r="J2" s="2193"/>
      <c r="K2" s="2193"/>
      <c r="L2" s="2193"/>
      <c r="M2" s="2193"/>
      <c r="N2" s="2193"/>
      <c r="O2" s="2193"/>
      <c r="P2" s="2193"/>
      <c r="Q2" s="2193"/>
      <c r="R2" s="2193"/>
      <c r="S2" s="2193"/>
    </row>
    <row r="3" spans="1:19" s="1741" customFormat="1" ht="12.75" customHeight="1" thickBot="1">
      <c r="A3" s="2193"/>
      <c r="B3" s="2193"/>
      <c r="C3" s="2193"/>
      <c r="D3" s="2193"/>
      <c r="E3" s="2193"/>
      <c r="F3" s="2193"/>
      <c r="G3" s="2193"/>
      <c r="H3" s="2193"/>
      <c r="I3" s="2193"/>
      <c r="J3" s="2193"/>
      <c r="K3" s="2193"/>
      <c r="L3" s="2193"/>
      <c r="M3" s="2193"/>
      <c r="N3" s="2193"/>
      <c r="O3" s="2193"/>
      <c r="P3" s="2193"/>
      <c r="Q3" s="2193"/>
      <c r="R3" s="2193"/>
      <c r="S3" s="2193"/>
    </row>
    <row r="4" spans="1:19" s="282" customFormat="1" ht="18" customHeight="1">
      <c r="A4" s="650" t="s">
        <v>607</v>
      </c>
      <c r="B4" s="1742" t="s">
        <v>13</v>
      </c>
      <c r="C4" s="1739"/>
      <c r="D4" s="1896"/>
      <c r="E4" s="1896"/>
      <c r="F4" s="1738"/>
      <c r="G4" s="1739"/>
      <c r="H4" s="1743" t="s">
        <v>906</v>
      </c>
      <c r="I4" s="1574" t="s">
        <v>916</v>
      </c>
      <c r="J4" s="1575"/>
      <c r="K4" s="2642" t="str">
        <f>"Förändring kostnader för eget åtagande "&amp;År-1&amp;"-"&amp;År&amp;" procent"</f>
        <v>Förändring kostnader för eget åtagande 2022-2023 procent</v>
      </c>
      <c r="L4" s="2193"/>
      <c r="M4" s="2442"/>
      <c r="N4" s="2454"/>
      <c r="O4" s="2193"/>
      <c r="P4" s="2193"/>
      <c r="Q4" s="2193"/>
      <c r="R4" s="2193"/>
      <c r="S4" s="2193"/>
    </row>
    <row r="5" spans="1:19" s="282" customFormat="1" ht="15" customHeight="1">
      <c r="A5" s="652" t="s">
        <v>610</v>
      </c>
      <c r="B5" s="1536"/>
      <c r="C5" s="1336" t="s">
        <v>39</v>
      </c>
      <c r="D5" s="1336"/>
      <c r="E5" s="1336"/>
      <c r="F5" s="1740"/>
      <c r="G5" s="1740"/>
      <c r="H5" s="1585" t="s">
        <v>920</v>
      </c>
      <c r="I5" s="1576" t="s">
        <v>913</v>
      </c>
      <c r="J5" s="1577"/>
      <c r="K5" s="2643"/>
      <c r="L5" s="2193"/>
      <c r="M5" s="2443"/>
      <c r="N5" s="2455"/>
      <c r="O5" s="2193"/>
      <c r="P5" s="2193"/>
      <c r="Q5" s="2193"/>
      <c r="R5" s="2193"/>
      <c r="S5" s="2193"/>
    </row>
    <row r="6" spans="1:19" s="282" customFormat="1" ht="24" customHeight="1">
      <c r="A6" s="1175"/>
      <c r="B6" s="1745"/>
      <c r="C6" s="1336" t="s">
        <v>41</v>
      </c>
      <c r="D6" s="2646" t="s">
        <v>977</v>
      </c>
      <c r="E6" s="2646" t="s">
        <v>983</v>
      </c>
      <c r="F6" s="2648" t="s">
        <v>143</v>
      </c>
      <c r="G6" s="2644" t="s">
        <v>1045</v>
      </c>
      <c r="H6" s="1586" t="s">
        <v>919</v>
      </c>
      <c r="I6" s="1746"/>
      <c r="J6" s="1747"/>
      <c r="K6" s="2643"/>
      <c r="L6" s="2193"/>
      <c r="M6" s="2444" t="str">
        <f>"Nämnare nyckeltal"</f>
        <v>Nämnare nyckeltal</v>
      </c>
      <c r="N6" s="2456"/>
      <c r="O6" s="2193"/>
      <c r="P6" s="2193"/>
      <c r="Q6" s="2193"/>
      <c r="R6" s="2193"/>
      <c r="S6" s="2193"/>
    </row>
    <row r="7" spans="1:19" s="282" customFormat="1" ht="27.6" customHeight="1">
      <c r="A7" s="1036"/>
      <c r="B7" s="1748"/>
      <c r="C7" s="1336"/>
      <c r="D7" s="2647"/>
      <c r="E7" s="2647"/>
      <c r="F7" s="2649"/>
      <c r="G7" s="2644"/>
      <c r="H7" s="1985" t="s">
        <v>1046</v>
      </c>
      <c r="I7" s="1587" t="s">
        <v>918</v>
      </c>
      <c r="J7" s="1587" t="s">
        <v>918</v>
      </c>
      <c r="K7" s="2431"/>
      <c r="L7" s="2193"/>
      <c r="M7" s="2444"/>
      <c r="N7" s="2456"/>
      <c r="O7" s="2193"/>
      <c r="P7" s="2193"/>
      <c r="Q7" s="2193"/>
      <c r="R7" s="2193"/>
      <c r="S7" s="2193"/>
    </row>
    <row r="8" spans="1:19" s="282" customFormat="1" ht="12" customHeight="1">
      <c r="A8" s="1175"/>
      <c r="B8" s="1749"/>
      <c r="C8" s="1740"/>
      <c r="D8" s="2647"/>
      <c r="E8" s="2647"/>
      <c r="F8" s="2649"/>
      <c r="G8" s="2650"/>
      <c r="H8" s="1984" t="s">
        <v>1047</v>
      </c>
      <c r="I8" s="1117">
        <f>År</f>
        <v>2023</v>
      </c>
      <c r="J8" s="1117">
        <f>År-1</f>
        <v>2022</v>
      </c>
      <c r="K8" s="2432"/>
      <c r="L8" s="2193"/>
      <c r="M8" s="2445"/>
      <c r="N8" s="2457"/>
      <c r="O8" s="2193"/>
      <c r="P8" s="2193"/>
      <c r="Q8" s="2193"/>
      <c r="R8" s="2193"/>
      <c r="S8" s="2193"/>
    </row>
    <row r="9" spans="1:19" s="282" customFormat="1" ht="21" customHeight="1">
      <c r="A9" s="1175"/>
      <c r="B9" s="1749"/>
      <c r="C9" s="1740"/>
      <c r="D9" s="2644" t="s">
        <v>1063</v>
      </c>
      <c r="E9" s="1767" t="s">
        <v>775</v>
      </c>
      <c r="F9" s="1740"/>
      <c r="G9" s="2082" t="s">
        <v>1044</v>
      </c>
      <c r="H9" s="1573" t="s">
        <v>1042</v>
      </c>
      <c r="I9" s="1750"/>
      <c r="J9" s="1750"/>
      <c r="K9" s="2433"/>
      <c r="L9" s="2193"/>
      <c r="M9" s="2445"/>
      <c r="N9" s="2457"/>
      <c r="O9" s="2193"/>
      <c r="P9" s="2193"/>
      <c r="Q9" s="2193"/>
      <c r="R9" s="2193"/>
      <c r="S9" s="2193"/>
    </row>
    <row r="10" spans="1:19" s="282" customFormat="1" ht="14.25" customHeight="1">
      <c r="A10" s="1175"/>
      <c r="B10" s="1749"/>
      <c r="C10" s="1740"/>
      <c r="D10" s="2641"/>
      <c r="E10" s="1740"/>
      <c r="F10" s="1740"/>
      <c r="G10" s="1740"/>
      <c r="H10" s="1285" t="s">
        <v>1049</v>
      </c>
      <c r="I10" s="1578"/>
      <c r="J10" s="1578"/>
      <c r="K10" s="2433"/>
      <c r="L10" s="2193"/>
      <c r="M10" s="2445"/>
      <c r="N10" s="2457"/>
      <c r="O10" s="2193"/>
      <c r="P10" s="2193"/>
      <c r="Q10" s="2193"/>
      <c r="R10" s="2193"/>
      <c r="S10" s="2193"/>
    </row>
    <row r="11" spans="1:19" s="282" customFormat="1" ht="19.5" customHeight="1">
      <c r="A11" s="1176"/>
      <c r="B11" s="1751"/>
      <c r="C11" s="1184"/>
      <c r="D11" s="2645"/>
      <c r="E11" s="1184"/>
      <c r="F11" s="1184"/>
      <c r="G11" s="1558"/>
      <c r="H11" s="2004" t="s">
        <v>1048</v>
      </c>
      <c r="I11" s="1185"/>
      <c r="J11" s="1185"/>
      <c r="K11" s="2434"/>
      <c r="L11" s="2193"/>
      <c r="M11" s="2446"/>
      <c r="N11" s="2458"/>
      <c r="O11" s="2193"/>
      <c r="P11" s="2193"/>
      <c r="Q11" s="2193"/>
      <c r="R11" s="2193"/>
      <c r="S11" s="2193"/>
    </row>
    <row r="12" spans="1:19" s="282" customFormat="1">
      <c r="A12" s="1177">
        <v>559</v>
      </c>
      <c r="B12" s="1752" t="s">
        <v>481</v>
      </c>
      <c r="C12" s="1753">
        <f>Drift!P79</f>
        <v>9774.9349999999995</v>
      </c>
      <c r="D12" s="1986">
        <f>SUM(Drift!C79:D79)</f>
        <v>3977.0780000000004</v>
      </c>
      <c r="E12" s="1753">
        <f>Drift!F79</f>
        <v>3212.703</v>
      </c>
      <c r="F12" s="1753">
        <f>Drift!V79</f>
        <v>542.779</v>
      </c>
      <c r="G12" s="1754">
        <f>Motpart!Y31+Motpart!Z31</f>
        <v>37.032000000000004</v>
      </c>
      <c r="H12" s="1186">
        <f t="shared" ref="H12:H18" si="0">C12-F12-G12</f>
        <v>9195.1239999999998</v>
      </c>
      <c r="I12" s="1187">
        <f>IF(C12&gt;0,H12*1000000/M12,"")</f>
        <v>1573.9924829392301</v>
      </c>
      <c r="J12" s="1187">
        <v>1495.769</v>
      </c>
      <c r="K12" s="2435">
        <f>IF(ISERROR((I12-J12)/J12),"",((I12-J12)/J12))</f>
        <v>5.2296499619413191E-2</v>
      </c>
      <c r="L12" s="2193"/>
      <c r="M12" s="2447">
        <v>5841911</v>
      </c>
      <c r="N12" s="2459" t="s">
        <v>504</v>
      </c>
      <c r="O12" s="2193"/>
      <c r="P12" s="2193"/>
      <c r="Q12" s="2193"/>
      <c r="R12" s="2193"/>
      <c r="S12" s="2193"/>
    </row>
    <row r="13" spans="1:19" s="282" customFormat="1">
      <c r="A13" s="1178">
        <v>552</v>
      </c>
      <c r="B13" s="1536" t="s">
        <v>431</v>
      </c>
      <c r="C13" s="53">
        <v>3764.9670000000001</v>
      </c>
      <c r="D13" s="53">
        <v>915.928</v>
      </c>
      <c r="E13" s="1744">
        <v>2237.5700000000002</v>
      </c>
      <c r="F13" s="53">
        <v>110.386</v>
      </c>
      <c r="G13" s="1744">
        <f>Motpart!Y32+Motpart!Z32</f>
        <v>14.248999999999999</v>
      </c>
      <c r="H13" s="1188">
        <f t="shared" si="0"/>
        <v>3640.3320000000003</v>
      </c>
      <c r="I13" s="1189">
        <f>IF(C13&gt;0,H13*1000000/M12,"")</f>
        <v>623.14061272073479</v>
      </c>
      <c r="J13" s="1189">
        <v>603.59199999999998</v>
      </c>
      <c r="K13" s="2436">
        <f t="shared" ref="K13:K18" si="1">IF(ISERROR((I13-J13)/J13),"",((I13-J13)/J13))</f>
        <v>3.2387130248139155E-2</v>
      </c>
      <c r="L13" s="2193"/>
      <c r="M13" s="2448"/>
      <c r="N13" s="2460"/>
      <c r="O13" s="2193"/>
      <c r="P13" s="2193"/>
      <c r="Q13" s="2193"/>
      <c r="R13" s="2193"/>
      <c r="S13" s="2193"/>
    </row>
    <row r="14" spans="1:19" s="282" customFormat="1">
      <c r="A14" s="1178">
        <v>556</v>
      </c>
      <c r="B14" s="1755" t="s">
        <v>487</v>
      </c>
      <c r="C14" s="53">
        <v>157.06399999999999</v>
      </c>
      <c r="D14" s="53">
        <v>52.350999999999999</v>
      </c>
      <c r="E14" s="53">
        <v>73.628</v>
      </c>
      <c r="F14" s="53">
        <v>5.5170000000000003</v>
      </c>
      <c r="G14" s="53">
        <v>6.6000000000000003E-2</v>
      </c>
      <c r="H14" s="1188">
        <f t="shared" si="0"/>
        <v>151.48099999999999</v>
      </c>
      <c r="I14" s="1189">
        <f>IF(C14&gt;0,H14*1000000/M12,"")</f>
        <v>25.930042412491392</v>
      </c>
      <c r="J14" s="1189">
        <v>24.469000000000001</v>
      </c>
      <c r="K14" s="2436">
        <f t="shared" si="1"/>
        <v>5.9709935530319634E-2</v>
      </c>
      <c r="L14" s="2193"/>
      <c r="M14" s="2448"/>
      <c r="N14" s="2460"/>
      <c r="O14" s="2193"/>
      <c r="P14" s="2193"/>
      <c r="Q14" s="2193"/>
      <c r="R14" s="2193"/>
      <c r="S14" s="2193"/>
    </row>
    <row r="15" spans="1:19" s="282" customFormat="1">
      <c r="A15" s="1178">
        <v>5581</v>
      </c>
      <c r="B15" s="1755" t="s">
        <v>158</v>
      </c>
      <c r="C15" s="53">
        <v>3400.4380000000001</v>
      </c>
      <c r="D15" s="53">
        <v>1381.4549999999999</v>
      </c>
      <c r="E15" s="53">
        <v>714.13900000000001</v>
      </c>
      <c r="F15" s="53">
        <v>335.07100000000003</v>
      </c>
      <c r="G15" s="53">
        <v>8.8759999999999994</v>
      </c>
      <c r="H15" s="1188">
        <f t="shared" si="0"/>
        <v>3056.491</v>
      </c>
      <c r="I15" s="1190">
        <f>IF(C15&gt;0,H15*1000000/M12,"")</f>
        <v>523.20054174053666</v>
      </c>
      <c r="J15" s="1190">
        <v>491.88799999999998</v>
      </c>
      <c r="K15" s="2436">
        <f t="shared" si="1"/>
        <v>6.3657868743569046E-2</v>
      </c>
      <c r="L15" s="2193"/>
      <c r="M15" s="2448"/>
      <c r="N15" s="2460"/>
      <c r="O15" s="2193"/>
      <c r="P15" s="2193"/>
      <c r="Q15" s="2193"/>
      <c r="R15" s="2193"/>
      <c r="S15" s="2193"/>
    </row>
    <row r="16" spans="1:19" s="282" customFormat="1">
      <c r="A16" s="1178">
        <v>5582</v>
      </c>
      <c r="B16" s="1755" t="s">
        <v>157</v>
      </c>
      <c r="C16" s="53">
        <v>1507.914</v>
      </c>
      <c r="D16" s="53">
        <v>1010.85</v>
      </c>
      <c r="E16" s="53">
        <v>126.01</v>
      </c>
      <c r="F16" s="53">
        <v>57.768000000000001</v>
      </c>
      <c r="G16" s="53">
        <v>6.835</v>
      </c>
      <c r="H16" s="1188">
        <f t="shared" si="0"/>
        <v>1443.3109999999999</v>
      </c>
      <c r="I16" s="1189">
        <f>IF(C16&gt;0,H16*1000000/M12,"")</f>
        <v>247.06144958387762</v>
      </c>
      <c r="J16" s="1189">
        <v>238.602</v>
      </c>
      <c r="K16" s="2436">
        <f t="shared" si="1"/>
        <v>3.5454227474529192E-2</v>
      </c>
      <c r="L16" s="2193"/>
      <c r="M16" s="2448"/>
      <c r="N16" s="2460"/>
      <c r="O16" s="2193"/>
      <c r="P16" s="2193"/>
      <c r="Q16" s="2193"/>
      <c r="R16" s="2193"/>
      <c r="S16" s="2193"/>
    </row>
    <row r="17" spans="1:19" s="282" customFormat="1">
      <c r="A17" s="1178">
        <v>5583</v>
      </c>
      <c r="B17" s="1755" t="s">
        <v>159</v>
      </c>
      <c r="C17" s="53">
        <v>944.55499999999995</v>
      </c>
      <c r="D17" s="53">
        <v>616.49599999999998</v>
      </c>
      <c r="E17" s="53">
        <v>61.353999999999999</v>
      </c>
      <c r="F17" s="53">
        <v>34.036000000000001</v>
      </c>
      <c r="G17" s="53">
        <v>7.0049999999999999</v>
      </c>
      <c r="H17" s="1188">
        <f t="shared" si="0"/>
        <v>903.51400000000001</v>
      </c>
      <c r="I17" s="1189">
        <f>IF(C17&gt;0,H17*1000000/M12,"")</f>
        <v>154.66069236590562</v>
      </c>
      <c r="J17" s="1190">
        <v>137.21700000000001</v>
      </c>
      <c r="K17" s="2436">
        <f t="shared" si="1"/>
        <v>0.12712486328884615</v>
      </c>
      <c r="L17" s="2193"/>
      <c r="M17" s="2448"/>
      <c r="N17" s="2460"/>
      <c r="O17" s="2193"/>
      <c r="P17" s="2193"/>
      <c r="Q17" s="2193"/>
      <c r="R17" s="2193"/>
      <c r="S17" s="2193"/>
    </row>
    <row r="18" spans="1:19" s="282" customFormat="1">
      <c r="A18" s="1179">
        <v>558</v>
      </c>
      <c r="B18" s="1756" t="s">
        <v>194</v>
      </c>
      <c r="C18" s="321">
        <f>SUM(C15:C17)</f>
        <v>5852.9070000000002</v>
      </c>
      <c r="D18" s="321">
        <f>SUM(D15:D17)</f>
        <v>3008.8009999999999</v>
      </c>
      <c r="E18" s="321">
        <f>SUM(E15:E17)</f>
        <v>901.50300000000004</v>
      </c>
      <c r="F18" s="321">
        <f>SUM(F15:F17)</f>
        <v>426.87500000000006</v>
      </c>
      <c r="G18" s="321">
        <f>SUM(G15:G17)</f>
        <v>22.715999999999998</v>
      </c>
      <c r="H18" s="1188">
        <f t="shared" si="0"/>
        <v>5403.3159999999998</v>
      </c>
      <c r="I18" s="1189">
        <f>IF(C18&gt;0,H18*1000000/M12,"")</f>
        <v>924.92268369031979</v>
      </c>
      <c r="J18" s="1189">
        <v>867.70799999999997</v>
      </c>
      <c r="K18" s="2436">
        <f t="shared" si="1"/>
        <v>6.5937716017738471E-2</v>
      </c>
      <c r="L18" s="2193"/>
      <c r="M18" s="2448"/>
      <c r="N18" s="2460"/>
      <c r="O18" s="2193"/>
      <c r="P18" s="2193"/>
      <c r="Q18" s="2193"/>
      <c r="R18" s="2193"/>
      <c r="S18" s="2193"/>
    </row>
    <row r="19" spans="1:19" s="172" customFormat="1">
      <c r="A19" s="1180">
        <v>55999</v>
      </c>
      <c r="B19" s="1756" t="s">
        <v>199</v>
      </c>
      <c r="C19" s="321">
        <f>C13+C14+C15+C16+C17</f>
        <v>9774.9380000000001</v>
      </c>
      <c r="D19" s="321">
        <f>D13+D14+D15+D16+D17</f>
        <v>3977.08</v>
      </c>
      <c r="E19" s="321">
        <f>E13+E14+E15+E16+E17</f>
        <v>3212.7010000000005</v>
      </c>
      <c r="F19" s="321">
        <f>F13+F14+F15+F16+F17</f>
        <v>542.77800000000002</v>
      </c>
      <c r="G19" s="321">
        <f>G13+G14+G15+G16+G17</f>
        <v>37.030999999999999</v>
      </c>
      <c r="H19" s="1191"/>
      <c r="I19" s="1192"/>
      <c r="J19" s="1192"/>
      <c r="K19" s="2437"/>
      <c r="L19" s="2193"/>
      <c r="M19" s="2448"/>
      <c r="N19" s="2460"/>
      <c r="O19" s="2193"/>
      <c r="P19" s="2193"/>
      <c r="Q19" s="2193"/>
      <c r="R19" s="2193"/>
      <c r="S19" s="2193"/>
    </row>
    <row r="20" spans="1:19" s="172" customFormat="1" ht="13.5" thickBot="1">
      <c r="A20" s="2424"/>
      <c r="B20" s="2423"/>
      <c r="C20" s="2423"/>
      <c r="D20" s="2423"/>
      <c r="E20" s="2423"/>
      <c r="F20" s="2423"/>
      <c r="G20" s="2423"/>
      <c r="H20" s="2423"/>
      <c r="I20" s="2423"/>
      <c r="J20" s="2423"/>
      <c r="K20" s="2438"/>
      <c r="L20" s="2193"/>
      <c r="M20" s="2449"/>
      <c r="N20" s="2461"/>
      <c r="O20" s="2193"/>
      <c r="P20" s="2193"/>
      <c r="Q20" s="2193"/>
      <c r="R20" s="2193"/>
      <c r="S20" s="2193"/>
    </row>
    <row r="21" spans="1:19" s="282" customFormat="1">
      <c r="A21" s="2425">
        <v>569</v>
      </c>
      <c r="B21" s="1757" t="s">
        <v>482</v>
      </c>
      <c r="C21" s="1758">
        <f>Drift!P80</f>
        <v>31433.913999999997</v>
      </c>
      <c r="D21" s="1987">
        <f>SUM(Drift!C80:D80)</f>
        <v>15568.278999999999</v>
      </c>
      <c r="E21" s="1758">
        <f>Drift!F80</f>
        <v>9994.9609999999993</v>
      </c>
      <c r="F21" s="1758">
        <f>Drift!V80</f>
        <v>779.76800000000003</v>
      </c>
      <c r="G21" s="1759">
        <f>Motpart!Y33+Motpart!Z33</f>
        <v>190.80500000000001</v>
      </c>
      <c r="H21" s="1194">
        <f t="shared" ref="H21:H26" si="2">C21-F21-G21</f>
        <v>30463.340999999997</v>
      </c>
      <c r="I21" s="1189">
        <f>IF(C21&gt;0,H21*1000000/M21,"")</f>
        <v>12016.88846426334</v>
      </c>
      <c r="J21" s="1189">
        <v>10705.22</v>
      </c>
      <c r="K21" s="2439">
        <f t="shared" ref="K21:K26" si="3">IF(ISERROR((I21-J21)/J21),"",((I21-J21)/J21))</f>
        <v>0.12252606338434342</v>
      </c>
      <c r="L21" s="2193"/>
      <c r="M21" s="2450">
        <v>2535044</v>
      </c>
      <c r="N21" s="2462" t="s">
        <v>506</v>
      </c>
      <c r="O21" s="2193"/>
      <c r="P21" s="2193"/>
      <c r="Q21" s="2193"/>
      <c r="R21" s="2193"/>
      <c r="S21" s="2193"/>
    </row>
    <row r="22" spans="1:19" s="282" customFormat="1" ht="12.6" customHeight="1">
      <c r="A22" s="2426">
        <v>554</v>
      </c>
      <c r="B22" s="1760" t="s">
        <v>195</v>
      </c>
      <c r="C22" s="53">
        <v>10335.799000000001</v>
      </c>
      <c r="D22" s="53">
        <v>2644.902</v>
      </c>
      <c r="E22" s="1744">
        <v>6203.8450000000003</v>
      </c>
      <c r="F22" s="53">
        <v>285.23200000000003</v>
      </c>
      <c r="G22" s="1744">
        <f>Motpart!Y34+Motpart!Z34</f>
        <v>63.638000000000005</v>
      </c>
      <c r="H22" s="1194">
        <f t="shared" si="2"/>
        <v>9986.9290000000001</v>
      </c>
      <c r="I22" s="1189">
        <f>IF(C22&gt;0,H22*1000000/M21,"")</f>
        <v>3939.5485837721158</v>
      </c>
      <c r="J22" s="1189">
        <v>3517.1410000000001</v>
      </c>
      <c r="K22" s="2436">
        <f t="shared" si="3"/>
        <v>0.12009970136884353</v>
      </c>
      <c r="L22" s="2193"/>
      <c r="M22" s="2448"/>
      <c r="N22" s="2460"/>
      <c r="O22" s="2193"/>
      <c r="P22" s="2193"/>
      <c r="Q22" s="2193"/>
      <c r="R22" s="2193"/>
      <c r="S22" s="2193"/>
    </row>
    <row r="23" spans="1:19" s="282" customFormat="1">
      <c r="A23" s="2426">
        <v>557</v>
      </c>
      <c r="B23" s="1760" t="s">
        <v>162</v>
      </c>
      <c r="C23" s="53">
        <v>11773.958000000001</v>
      </c>
      <c r="D23" s="53">
        <v>6627.9120000000003</v>
      </c>
      <c r="E23" s="53">
        <v>3012.569</v>
      </c>
      <c r="F23" s="53">
        <v>104.4</v>
      </c>
      <c r="G23" s="53">
        <v>43.401000000000003</v>
      </c>
      <c r="H23" s="1194">
        <f t="shared" si="2"/>
        <v>11626.157000000001</v>
      </c>
      <c r="I23" s="1189">
        <f>IF(C23&gt;0,H23*1000000/M21,"")</f>
        <v>4586.1756245650968</v>
      </c>
      <c r="J23" s="1189">
        <v>4089.7910000000002</v>
      </c>
      <c r="K23" s="2436">
        <f t="shared" si="3"/>
        <v>0.1213716359992715</v>
      </c>
      <c r="L23" s="2193"/>
      <c r="M23" s="2448"/>
      <c r="N23" s="2460"/>
      <c r="O23" s="2193"/>
      <c r="P23" s="2193"/>
      <c r="Q23" s="2193"/>
      <c r="R23" s="2193"/>
      <c r="S23" s="2193"/>
    </row>
    <row r="24" spans="1:19" s="282" customFormat="1">
      <c r="A24" s="2426">
        <v>5681</v>
      </c>
      <c r="B24" s="1760" t="s">
        <v>157</v>
      </c>
      <c r="C24" s="53">
        <v>5587.8029999999999</v>
      </c>
      <c r="D24" s="53">
        <v>3711.89</v>
      </c>
      <c r="E24" s="53">
        <v>648.24800000000005</v>
      </c>
      <c r="F24" s="53">
        <v>151.05099999999999</v>
      </c>
      <c r="G24" s="53">
        <v>33.976999999999997</v>
      </c>
      <c r="H24" s="1194">
        <f t="shared" si="2"/>
        <v>5402.7749999999996</v>
      </c>
      <c r="I24" s="1189">
        <f>IF(C24&gt;0,H24*1000000/M21,"")</f>
        <v>2131.2351974955859</v>
      </c>
      <c r="J24" s="1189">
        <v>1889.6220000000001</v>
      </c>
      <c r="K24" s="2436">
        <f t="shared" si="3"/>
        <v>0.12786324328124135</v>
      </c>
      <c r="L24" s="2193"/>
      <c r="M24" s="2448"/>
      <c r="N24" s="2460"/>
      <c r="O24" s="2193"/>
      <c r="P24" s="2193"/>
      <c r="Q24" s="2193"/>
      <c r="R24" s="2193"/>
      <c r="S24" s="2193"/>
    </row>
    <row r="25" spans="1:19" s="282" customFormat="1">
      <c r="A25" s="2426">
        <v>5682</v>
      </c>
      <c r="B25" s="1760" t="s">
        <v>159</v>
      </c>
      <c r="C25" s="53">
        <v>3736.3560000000002</v>
      </c>
      <c r="D25" s="53">
        <v>2583.576</v>
      </c>
      <c r="E25" s="53">
        <v>130.29900000000001</v>
      </c>
      <c r="F25" s="53">
        <v>239.08500000000001</v>
      </c>
      <c r="G25" s="54">
        <v>49.789000000000001</v>
      </c>
      <c r="H25" s="1194">
        <f t="shared" si="2"/>
        <v>3447.482</v>
      </c>
      <c r="I25" s="1189">
        <f>IF(C25&gt;0,H25*1000000/M21,"")</f>
        <v>1359.9298473714855</v>
      </c>
      <c r="J25" s="1189">
        <v>1208.6659999999999</v>
      </c>
      <c r="K25" s="2436">
        <f t="shared" si="3"/>
        <v>0.12514941875711369</v>
      </c>
      <c r="L25" s="2193"/>
      <c r="M25" s="2448"/>
      <c r="N25" s="2460"/>
      <c r="O25" s="2193"/>
      <c r="P25" s="2193"/>
      <c r="Q25" s="2193"/>
      <c r="R25" s="2193"/>
      <c r="S25" s="2193"/>
    </row>
    <row r="26" spans="1:19" s="282" customFormat="1">
      <c r="A26" s="2427">
        <v>568</v>
      </c>
      <c r="B26" s="1761" t="s">
        <v>201</v>
      </c>
      <c r="C26" s="321">
        <f>SUM(C24:C25)</f>
        <v>9324.1589999999997</v>
      </c>
      <c r="D26" s="321">
        <f>SUM(D24:D25)</f>
        <v>6295.4660000000003</v>
      </c>
      <c r="E26" s="321">
        <f>SUM(E24:E25)</f>
        <v>778.54700000000003</v>
      </c>
      <c r="F26" s="321">
        <f>SUM(F24:F25)</f>
        <v>390.13599999999997</v>
      </c>
      <c r="G26" s="321">
        <f>SUM(G24:G25)</f>
        <v>83.765999999999991</v>
      </c>
      <c r="H26" s="1194">
        <f t="shared" si="2"/>
        <v>8850.2569999999996</v>
      </c>
      <c r="I26" s="1189">
        <f>IF(C26&gt;0,H26*1000000/M21,"")</f>
        <v>3491.1650448670712</v>
      </c>
      <c r="J26" s="1189">
        <v>3098.288</v>
      </c>
      <c r="K26" s="2436">
        <f t="shared" si="3"/>
        <v>0.12680455944285074</v>
      </c>
      <c r="L26" s="2193"/>
      <c r="M26" s="2448"/>
      <c r="N26" s="2460"/>
      <c r="O26" s="2193"/>
      <c r="P26" s="2193"/>
      <c r="Q26" s="2193"/>
      <c r="R26" s="2193"/>
      <c r="S26" s="2193"/>
    </row>
    <row r="27" spans="1:19" s="282" customFormat="1">
      <c r="A27" s="2427">
        <v>56999</v>
      </c>
      <c r="B27" s="1756" t="s">
        <v>163</v>
      </c>
      <c r="C27" s="321">
        <f>SUM(C22+C23+C24+C25)</f>
        <v>31433.916000000001</v>
      </c>
      <c r="D27" s="321">
        <f>SUM(D22+D23+D24+D25)</f>
        <v>15568.279999999999</v>
      </c>
      <c r="E27" s="321">
        <f>SUM(E22+E23+E24+E25)</f>
        <v>9994.9610000000011</v>
      </c>
      <c r="F27" s="321">
        <f>SUM(F22+F23+F24+F25)</f>
        <v>779.76800000000003</v>
      </c>
      <c r="G27" s="321">
        <f>SUM(G22+G23+G24+G25)</f>
        <v>190.80500000000001</v>
      </c>
      <c r="H27" s="1191"/>
      <c r="I27" s="1192"/>
      <c r="J27" s="1192"/>
      <c r="K27" s="2437"/>
      <c r="L27" s="2193"/>
      <c r="M27" s="2448"/>
      <c r="N27" s="2460"/>
      <c r="O27" s="2193"/>
      <c r="P27" s="2193"/>
      <c r="Q27" s="2193"/>
      <c r="R27" s="2193"/>
      <c r="S27" s="2193"/>
    </row>
    <row r="28" spans="1:19" s="282" customFormat="1" ht="13.5" thickBot="1">
      <c r="A28" s="2428"/>
      <c r="B28" s="2423"/>
      <c r="C28" s="2423"/>
      <c r="D28" s="2423"/>
      <c r="E28" s="2423"/>
      <c r="F28" s="2423"/>
      <c r="G28" s="2423"/>
      <c r="H28" s="2423"/>
      <c r="I28" s="2423"/>
      <c r="J28" s="2423"/>
      <c r="K28" s="2438"/>
      <c r="L28" s="2193"/>
      <c r="M28" s="2448"/>
      <c r="N28" s="2460"/>
      <c r="O28" s="2193"/>
      <c r="P28" s="2193"/>
      <c r="Q28" s="2193"/>
      <c r="R28" s="2193"/>
      <c r="S28" s="2193"/>
    </row>
    <row r="29" spans="1:19" s="282" customFormat="1">
      <c r="A29" s="2429">
        <v>571</v>
      </c>
      <c r="B29" s="1760" t="s">
        <v>164</v>
      </c>
      <c r="C29" s="1758">
        <f>Drift!P81</f>
        <v>3894.1709999999998</v>
      </c>
      <c r="D29" s="1987">
        <f>SUM(Drift!C81:D81)</f>
        <v>1465.42</v>
      </c>
      <c r="E29" s="1758">
        <f>Drift!F81</f>
        <v>1008.876</v>
      </c>
      <c r="F29" s="1758">
        <f>Drift!V81</f>
        <v>147.292</v>
      </c>
      <c r="G29" s="65">
        <v>57.741999999999997</v>
      </c>
      <c r="H29" s="1194">
        <f t="shared" ref="H29:H34" si="4">C29-F29-G29</f>
        <v>3689.1369999999997</v>
      </c>
      <c r="I29" s="1189">
        <f>IF(C29&gt;0,H29*1000000/M12,"")</f>
        <v>631.49489952859597</v>
      </c>
      <c r="J29" s="1189">
        <v>591.428</v>
      </c>
      <c r="K29" s="2439">
        <f t="shared" ref="K29:K34" si="5">IF(ISERROR((I29-J29)/J29),"",((I29-J29)/J29))</f>
        <v>6.7746030841617191E-2</v>
      </c>
      <c r="L29" s="2193"/>
      <c r="M29" s="2468"/>
      <c r="N29" s="2469"/>
      <c r="O29" s="2193"/>
      <c r="P29" s="2193"/>
      <c r="Q29" s="2193"/>
      <c r="R29" s="2193"/>
      <c r="S29" s="2193"/>
    </row>
    <row r="30" spans="1:19" s="282" customFormat="1">
      <c r="A30" s="2426">
        <v>575</v>
      </c>
      <c r="B30" s="1760" t="s">
        <v>104</v>
      </c>
      <c r="C30" s="1744">
        <f>Drift!P82</f>
        <v>14723.304</v>
      </c>
      <c r="D30" s="1988">
        <f>SUM(Drift!C82:D82)</f>
        <v>3405.8620000000001</v>
      </c>
      <c r="E30" s="1744">
        <f>Drift!F82</f>
        <v>46.36</v>
      </c>
      <c r="F30" s="1744">
        <f>Drift!V82</f>
        <v>152.685</v>
      </c>
      <c r="G30" s="53">
        <v>23.12</v>
      </c>
      <c r="H30" s="1194">
        <f t="shared" si="4"/>
        <v>14547.499</v>
      </c>
      <c r="I30" s="1189">
        <f>IF(C30&gt;0,H30*1000000/M30,"")</f>
        <v>1378.6867849912815</v>
      </c>
      <c r="J30" s="1189">
        <v>1385.0329999999999</v>
      </c>
      <c r="K30" s="2436">
        <f t="shared" si="5"/>
        <v>-4.5819955255350922E-3</v>
      </c>
      <c r="L30" s="2193"/>
      <c r="M30" s="2451">
        <v>10551707</v>
      </c>
      <c r="N30" s="2467" t="s">
        <v>507</v>
      </c>
      <c r="O30" s="2193"/>
      <c r="P30" s="2193"/>
      <c r="Q30" s="2193"/>
      <c r="R30" s="2193"/>
      <c r="S30" s="2193"/>
    </row>
    <row r="31" spans="1:19" s="282" customFormat="1" ht="13.5" thickBot="1">
      <c r="A31" s="2430">
        <v>580</v>
      </c>
      <c r="B31" s="1762" t="s">
        <v>167</v>
      </c>
      <c r="C31" s="79">
        <f>C12+C21+C29+C30</f>
        <v>59826.323999999993</v>
      </c>
      <c r="D31" s="79">
        <f>D12+D21+D29+D30</f>
        <v>24416.639000000003</v>
      </c>
      <c r="E31" s="79">
        <f>E12+E21+E29+E30</f>
        <v>14262.9</v>
      </c>
      <c r="F31" s="79">
        <f>F12+F21+F29+F30</f>
        <v>1622.5239999999999</v>
      </c>
      <c r="G31" s="79">
        <f>G12+G21+G29+G30</f>
        <v>308.69900000000001</v>
      </c>
      <c r="H31" s="1195">
        <f t="shared" si="4"/>
        <v>57895.100999999995</v>
      </c>
      <c r="I31" s="1196">
        <f>IF(C31&gt;0,H31*1000000/M30,"")</f>
        <v>5486.7995292136138</v>
      </c>
      <c r="J31" s="1196">
        <v>5133.1239999999998</v>
      </c>
      <c r="K31" s="2440">
        <f t="shared" si="5"/>
        <v>6.8900640080702125E-2</v>
      </c>
      <c r="L31" s="2193"/>
      <c r="M31" s="2449"/>
      <c r="N31" s="2463"/>
      <c r="O31" s="2193"/>
      <c r="P31" s="2193"/>
      <c r="Q31" s="2193"/>
      <c r="R31" s="2193"/>
      <c r="S31" s="2193"/>
    </row>
    <row r="32" spans="1:19" s="282" customFormat="1">
      <c r="A32" s="2427">
        <v>585</v>
      </c>
      <c r="B32" s="1761" t="s">
        <v>483</v>
      </c>
      <c r="C32" s="1744">
        <f>Drift!P84</f>
        <v>1289.0269999999998</v>
      </c>
      <c r="D32" s="1988">
        <f>SUM(Drift!C84:D84)</f>
        <v>841.06499999999994</v>
      </c>
      <c r="E32" s="1744">
        <f>Drift!F84</f>
        <v>180.173</v>
      </c>
      <c r="F32" s="1744">
        <f>Drift!V84</f>
        <v>41.646999999999998</v>
      </c>
      <c r="G32" s="321">
        <f>SUM(G33:G34)</f>
        <v>92.86</v>
      </c>
      <c r="H32" s="1194">
        <f t="shared" si="4"/>
        <v>1154.52</v>
      </c>
      <c r="I32" s="1189">
        <f>IF(C32&gt;0,H32*1000000/M32,"")</f>
        <v>530.51524107812429</v>
      </c>
      <c r="J32" s="1189">
        <v>489.86900000000003</v>
      </c>
      <c r="K32" s="2441">
        <f t="shared" si="5"/>
        <v>8.2973695167737213E-2</v>
      </c>
      <c r="L32" s="2193"/>
      <c r="M32" s="2450">
        <v>2176224</v>
      </c>
      <c r="N32" s="2464" t="s">
        <v>508</v>
      </c>
      <c r="O32" s="2193"/>
      <c r="P32" s="2193"/>
      <c r="Q32" s="2193"/>
      <c r="R32" s="2193"/>
      <c r="S32" s="2193"/>
    </row>
    <row r="33" spans="1:19" s="282" customFormat="1">
      <c r="A33" s="2426">
        <v>5851</v>
      </c>
      <c r="B33" s="1760" t="s">
        <v>165</v>
      </c>
      <c r="C33" s="53">
        <v>910.36599999999999</v>
      </c>
      <c r="D33" s="53">
        <v>641.67700000000002</v>
      </c>
      <c r="E33" s="53">
        <v>76.866</v>
      </c>
      <c r="F33" s="53">
        <v>35.213999999999999</v>
      </c>
      <c r="G33" s="53">
        <v>59.415999999999997</v>
      </c>
      <c r="H33" s="1194">
        <f t="shared" si="4"/>
        <v>815.7360000000001</v>
      </c>
      <c r="I33" s="1189">
        <f>IF(C33&gt;0,H33*1000000/M33,"")</f>
        <v>374.84008999073632</v>
      </c>
      <c r="J33" s="1189">
        <v>349.78199999999998</v>
      </c>
      <c r="K33" s="2436">
        <f t="shared" si="5"/>
        <v>7.1639163795553615E-2</v>
      </c>
      <c r="L33" s="2193"/>
      <c r="M33" s="2450">
        <v>2176224</v>
      </c>
      <c r="N33" s="2464" t="s">
        <v>508</v>
      </c>
      <c r="O33" s="2193"/>
      <c r="P33" s="2193"/>
      <c r="Q33" s="2193"/>
      <c r="R33" s="2193"/>
      <c r="S33" s="2193"/>
    </row>
    <row r="34" spans="1:19" s="282" customFormat="1">
      <c r="A34" s="2426">
        <v>5855</v>
      </c>
      <c r="B34" s="1760" t="s">
        <v>166</v>
      </c>
      <c r="C34" s="53">
        <v>378.66199999999998</v>
      </c>
      <c r="D34" s="53">
        <v>199.38900000000001</v>
      </c>
      <c r="E34" s="53">
        <v>103.30800000000001</v>
      </c>
      <c r="F34" s="53">
        <v>6.431</v>
      </c>
      <c r="G34" s="53">
        <v>33.444000000000003</v>
      </c>
      <c r="H34" s="1194">
        <f t="shared" si="4"/>
        <v>338.78699999999998</v>
      </c>
      <c r="I34" s="1189">
        <f>IF(C34&gt;0,H34*1000000/M34,"")</f>
        <v>50.231968507439447</v>
      </c>
      <c r="J34" s="1189">
        <v>45.737000000000002</v>
      </c>
      <c r="K34" s="2436">
        <f t="shared" si="5"/>
        <v>9.8278603918915644E-2</v>
      </c>
      <c r="L34" s="2193"/>
      <c r="M34" s="2450">
        <v>6744450</v>
      </c>
      <c r="N34" s="2464" t="s">
        <v>509</v>
      </c>
      <c r="O34" s="2193"/>
      <c r="P34" s="2193"/>
      <c r="Q34" s="2193"/>
      <c r="R34" s="2193"/>
      <c r="S34" s="2193"/>
    </row>
    <row r="35" spans="1:19" s="282" customFormat="1" ht="15" customHeight="1">
      <c r="A35" s="2427">
        <v>58599</v>
      </c>
      <c r="B35" s="1756" t="s">
        <v>505</v>
      </c>
      <c r="C35" s="321">
        <f>SUM(C33:C34)</f>
        <v>1289.028</v>
      </c>
      <c r="D35" s="321">
        <f>SUM(D33:D34)</f>
        <v>841.06600000000003</v>
      </c>
      <c r="E35" s="321">
        <f>SUM(E33:E34)</f>
        <v>180.17400000000001</v>
      </c>
      <c r="F35" s="321">
        <f>SUM(F33:F34)</f>
        <v>41.644999999999996</v>
      </c>
      <c r="G35" s="321">
        <f>SUM(G33:G34)</f>
        <v>92.86</v>
      </c>
      <c r="H35" s="2486"/>
      <c r="I35" s="1190"/>
      <c r="J35" s="1190"/>
      <c r="K35" s="2436"/>
      <c r="L35" s="2193"/>
      <c r="M35" s="2452"/>
      <c r="N35" s="2465"/>
      <c r="O35" s="2193"/>
      <c r="P35" s="2193"/>
      <c r="Q35" s="2193"/>
      <c r="R35" s="2193"/>
      <c r="S35" s="2193"/>
    </row>
    <row r="36" spans="1:19" s="282" customFormat="1" ht="15" customHeight="1" thickBot="1">
      <c r="A36" s="2428"/>
      <c r="B36" s="2423"/>
      <c r="C36" s="2423"/>
      <c r="D36" s="2423"/>
      <c r="E36" s="2423"/>
      <c r="F36" s="2423"/>
      <c r="G36" s="2423"/>
      <c r="H36" s="2423"/>
      <c r="I36" s="2423"/>
      <c r="J36" s="2423"/>
      <c r="K36" s="2438"/>
      <c r="L36" s="2193"/>
      <c r="M36" s="2453"/>
      <c r="N36" s="2466"/>
      <c r="O36" s="2193"/>
      <c r="P36" s="2193"/>
      <c r="Q36" s="2193"/>
      <c r="R36" s="2193"/>
      <c r="S36" s="2193"/>
    </row>
    <row r="37" spans="1:19" s="282" customFormat="1" ht="16.5" customHeight="1">
      <c r="A37" s="1763"/>
      <c r="B37" s="1763"/>
      <c r="C37" s="71"/>
      <c r="D37" s="71"/>
      <c r="E37" s="71"/>
      <c r="F37" s="1236"/>
      <c r="G37" s="1943"/>
      <c r="H37" s="280"/>
      <c r="I37" s="1764"/>
      <c r="J37" s="1764"/>
      <c r="K37" s="1764"/>
      <c r="L37" s="280"/>
      <c r="M37" s="280"/>
      <c r="N37" s="280"/>
      <c r="O37" s="2193"/>
      <c r="P37" s="2193"/>
      <c r="Q37" s="2193"/>
      <c r="R37" s="2193"/>
      <c r="S37" s="2193"/>
    </row>
    <row r="38" spans="1:19" ht="20.25" customHeight="1">
      <c r="A38" s="1212"/>
      <c r="D38" s="71"/>
      <c r="E38" s="71"/>
      <c r="O38" s="2193"/>
      <c r="P38" s="2193"/>
      <c r="Q38" s="2193"/>
      <c r="R38" s="2193"/>
      <c r="S38" s="2193"/>
    </row>
  </sheetData>
  <sheetProtection algorithmName="SHA-512" hashValue="YVcK+kxoZMBWE/7cdcw2mvYUD91kk3iK93j2YZ4nNCu1Nf9+dLBCEhLMKbvvCG8Kbn6Rdv3K1i+LlDCQD3YYUw==" saltValue="Ympq6y7OjhzobXIiFXvMrw==" spinCount="100000" sheet="1" objects="1" scenarios="1"/>
  <customSheetViews>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1"/>
      <headerFooter>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3"/>
      <headerFooter alignWithMargins="0">
        <oddHeader>&amp;L&amp;8Statistiska Centralbyrån
Offentlig ekonomi&amp;R&amp;P</oddHeader>
      </headerFooter>
    </customSheetView>
  </customSheetViews>
  <mergeCells count="6">
    <mergeCell ref="K4:K6"/>
    <mergeCell ref="D9:D11"/>
    <mergeCell ref="D6:D8"/>
    <mergeCell ref="E6:E8"/>
    <mergeCell ref="F6:F8"/>
    <mergeCell ref="G6:G8"/>
  </mergeCells>
  <phoneticPr fontId="88" type="noConversion"/>
  <conditionalFormatting sqref="G29:G30 C14:G17 C23:G25 C33:G34 C13:D13 F13 C22:D22 F22">
    <cfRule type="cellIs" dxfId="1" priority="34" stopIfTrue="1" operator="lessThan">
      <formula>-500</formula>
    </cfRule>
    <cfRule type="cellIs" dxfId="0" priority="35" stopIfTrue="1" operator="lessThan">
      <formula>0</formula>
    </cfRule>
  </conditionalFormatting>
  <dataValidations disablePrompts="1"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4"/>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customHeight="1" zeroHeight="1"/>
  <cols>
    <col min="1" max="1" width="4" style="168" customWidth="1"/>
    <col min="2" max="2" width="42.42578125" style="168" customWidth="1"/>
    <col min="3" max="4" width="11.5703125" style="168" customWidth="1"/>
    <col min="5" max="5" width="12.42578125" style="168" customWidth="1"/>
    <col min="6" max="6" width="5.5703125" style="168" customWidth="1"/>
    <col min="7" max="7" width="24" style="168" customWidth="1"/>
    <col min="8" max="8" width="15.85546875" style="168" customWidth="1"/>
    <col min="9" max="10" width="10" style="168" customWidth="1"/>
    <col min="11" max="11" width="10.42578125" style="168" customWidth="1"/>
    <col min="12" max="12" width="0" style="168" hidden="1" customWidth="1"/>
    <col min="13" max="16384" width="9.42578125" style="168" hidden="1"/>
  </cols>
  <sheetData>
    <row r="1" spans="1:11" ht="21.75">
      <c r="A1" s="76" t="str">
        <f>"Resultaträkning "&amp;År&amp;", miljoner kr"</f>
        <v>Resultaträkning 2023, miljoner kr</v>
      </c>
      <c r="B1" s="77"/>
      <c r="C1" s="77"/>
      <c r="D1" s="77"/>
      <c r="E1" s="77"/>
      <c r="F1" s="508" t="s">
        <v>450</v>
      </c>
      <c r="G1" s="509" t="str">
        <f>Information!A2</f>
        <v>RIKSTOTAL</v>
      </c>
      <c r="H1" s="167"/>
      <c r="I1" s="167"/>
      <c r="J1" s="167"/>
      <c r="K1" s="167"/>
    </row>
    <row r="2" spans="1:11" ht="12.75" customHeight="1">
      <c r="A2" s="2193"/>
      <c r="B2" s="2193"/>
      <c r="C2" s="2193"/>
      <c r="D2" s="2193"/>
      <c r="E2" s="2193"/>
      <c r="F2" s="2193"/>
      <c r="G2" s="2193"/>
      <c r="H2" s="2193"/>
      <c r="I2" s="2193"/>
      <c r="J2" s="2193"/>
      <c r="K2" s="2193"/>
    </row>
    <row r="3" spans="1:11" ht="12.75" customHeight="1" thickBot="1">
      <c r="A3" s="2193"/>
      <c r="B3" s="2193"/>
      <c r="C3" s="2193"/>
      <c r="D3" s="2193"/>
      <c r="E3" s="2193"/>
      <c r="F3" s="2193"/>
      <c r="G3" s="2193"/>
      <c r="H3" s="2193"/>
      <c r="I3" s="2193"/>
      <c r="J3" s="2193"/>
      <c r="K3" s="2193"/>
    </row>
    <row r="4" spans="1:11" ht="12.75" customHeight="1">
      <c r="A4" s="596" t="s">
        <v>607</v>
      </c>
      <c r="B4" s="597"/>
      <c r="C4" s="607" t="s">
        <v>609</v>
      </c>
      <c r="D4" s="608" t="s">
        <v>711</v>
      </c>
      <c r="G4" s="4"/>
      <c r="H4" s="4"/>
      <c r="I4" s="2492" t="s">
        <v>454</v>
      </c>
      <c r="J4" s="2498"/>
      <c r="K4" s="169"/>
    </row>
    <row r="5" spans="1:11" ht="12.75" customHeight="1">
      <c r="A5" s="598" t="s">
        <v>610</v>
      </c>
      <c r="B5" s="599"/>
      <c r="C5" s="609"/>
      <c r="D5" s="610"/>
      <c r="E5" s="2"/>
      <c r="F5" s="4"/>
      <c r="G5" s="4"/>
      <c r="H5" s="4"/>
      <c r="I5" s="613" t="s">
        <v>609</v>
      </c>
      <c r="J5" s="614" t="s">
        <v>711</v>
      </c>
      <c r="K5" s="169"/>
    </row>
    <row r="6" spans="1:11" ht="12.75" customHeight="1">
      <c r="A6" s="598"/>
      <c r="B6" s="600"/>
      <c r="C6" s="599"/>
      <c r="D6" s="611"/>
      <c r="E6" s="2"/>
      <c r="F6" s="4"/>
      <c r="G6" s="4"/>
      <c r="H6" s="4"/>
      <c r="I6" s="615"/>
      <c r="J6" s="616"/>
      <c r="K6" s="169"/>
    </row>
    <row r="7" spans="1:11">
      <c r="A7" s="581" t="s">
        <v>276</v>
      </c>
      <c r="B7" s="601" t="s">
        <v>721</v>
      </c>
      <c r="C7" s="173">
        <v>174758.89</v>
      </c>
      <c r="D7" s="174">
        <v>371597.00699999998</v>
      </c>
      <c r="E7" s="177"/>
      <c r="F7" s="66"/>
      <c r="G7" s="66"/>
      <c r="H7" s="4"/>
      <c r="I7" s="617">
        <f>C7*1000/invanare</f>
        <v>16562.143926096505</v>
      </c>
      <c r="J7" s="618">
        <f t="shared" ref="I7:J12" si="0">D7*1000/invanare</f>
        <v>35216.767012200013</v>
      </c>
      <c r="K7" s="169"/>
    </row>
    <row r="8" spans="1:11">
      <c r="A8" s="579" t="s">
        <v>277</v>
      </c>
      <c r="B8" s="601" t="s">
        <v>722</v>
      </c>
      <c r="C8" s="173">
        <v>830802.62100000004</v>
      </c>
      <c r="D8" s="174">
        <v>969430.59699999995</v>
      </c>
      <c r="E8" s="177"/>
      <c r="F8" s="66"/>
      <c r="G8" s="66"/>
      <c r="H8" s="4"/>
      <c r="I8" s="619">
        <f>C8*1000/invanare*-1</f>
        <v>-78736.323990042554</v>
      </c>
      <c r="J8" s="618">
        <f>D8*1000/invanare*-1</f>
        <v>-91874.290766413425</v>
      </c>
      <c r="K8" s="169"/>
    </row>
    <row r="9" spans="1:11" ht="13.5" customHeight="1">
      <c r="A9" s="579" t="s">
        <v>278</v>
      </c>
      <c r="B9" s="601" t="s">
        <v>934</v>
      </c>
      <c r="C9" s="65">
        <v>36601.428</v>
      </c>
      <c r="D9" s="175">
        <v>73673.716</v>
      </c>
      <c r="E9" s="177"/>
      <c r="F9" s="66"/>
      <c r="G9" s="66"/>
      <c r="H9" s="4"/>
      <c r="I9" s="617">
        <f>C9*1000/invanare*-1</f>
        <v>-3468.7684182284438</v>
      </c>
      <c r="J9" s="618">
        <f>D9*1000/invanare*-1</f>
        <v>-6982.1608958626312</v>
      </c>
      <c r="K9" s="169"/>
    </row>
    <row r="10" spans="1:11" ht="13.5" thickBot="1">
      <c r="A10" s="572" t="s">
        <v>279</v>
      </c>
      <c r="B10" s="602" t="s">
        <v>611</v>
      </c>
      <c r="C10" s="335">
        <f>C7-SUM(C8:C9)</f>
        <v>-692645.15899999999</v>
      </c>
      <c r="D10" s="336">
        <f>D7-SUM(D8:D9)</f>
        <v>-671507.30599999998</v>
      </c>
      <c r="E10" s="178"/>
      <c r="F10" s="66"/>
      <c r="G10" s="66"/>
      <c r="H10" s="4"/>
      <c r="I10" s="620">
        <f t="shared" si="0"/>
        <v>-65642.948482174499</v>
      </c>
      <c r="J10" s="618">
        <f t="shared" si="0"/>
        <v>-63639.684650076044</v>
      </c>
      <c r="K10" s="169"/>
    </row>
    <row r="11" spans="1:11">
      <c r="A11" s="603" t="s">
        <v>280</v>
      </c>
      <c r="B11" s="604" t="s">
        <v>612</v>
      </c>
      <c r="C11" s="96">
        <f>'Skatter, bidrag o fin poster'!D14</f>
        <v>578392.57200000004</v>
      </c>
      <c r="D11" s="1197">
        <f>C11</f>
        <v>578392.57200000004</v>
      </c>
      <c r="E11" s="178"/>
      <c r="F11" s="66"/>
      <c r="G11" s="66"/>
      <c r="H11" s="4"/>
      <c r="I11" s="621">
        <f t="shared" si="0"/>
        <v>54815.071343432865</v>
      </c>
      <c r="J11" s="622">
        <f t="shared" si="0"/>
        <v>54815.071343432865</v>
      </c>
      <c r="K11" s="169"/>
    </row>
    <row r="12" spans="1:11">
      <c r="A12" s="579" t="s">
        <v>281</v>
      </c>
      <c r="B12" s="1972" t="s">
        <v>1022</v>
      </c>
      <c r="C12" s="97">
        <f>'Skatter, bidrag o fin poster'!D28-'Skatter, bidrag o fin poster'!D39+'Skatter, bidrag o fin poster'!D41</f>
        <v>134761.47199999998</v>
      </c>
      <c r="D12" s="1198">
        <f>C12</f>
        <v>134761.47199999998</v>
      </c>
      <c r="E12" s="178"/>
      <c r="F12" s="66"/>
      <c r="G12" s="66"/>
      <c r="H12" s="4"/>
      <c r="I12" s="617">
        <f t="shared" si="0"/>
        <v>12771.532795594112</v>
      </c>
      <c r="J12" s="623">
        <f t="shared" si="0"/>
        <v>12771.532795594112</v>
      </c>
      <c r="K12" s="169"/>
    </row>
    <row r="13" spans="1:11" ht="13.5" thickBot="1">
      <c r="A13" s="583" t="s">
        <v>294</v>
      </c>
      <c r="B13" s="1973" t="s">
        <v>1070</v>
      </c>
      <c r="C13" s="335">
        <f>SUM(C10:C12)</f>
        <v>20508.885000000038</v>
      </c>
      <c r="D13" s="336">
        <f>SUM(D10:D12)</f>
        <v>41646.738000000041</v>
      </c>
      <c r="E13" s="178"/>
      <c r="F13" s="66"/>
      <c r="G13" s="66"/>
      <c r="H13" s="4"/>
      <c r="I13" s="620">
        <f t="shared" ref="I13" si="1">C13*1000/invanare</f>
        <v>1943.6556568524918</v>
      </c>
      <c r="J13" s="627">
        <f t="shared" ref="J13" si="2">D13*1000/invanare</f>
        <v>3946.9194889509386</v>
      </c>
      <c r="K13" s="169"/>
    </row>
    <row r="14" spans="1:11">
      <c r="A14" s="579" t="s">
        <v>282</v>
      </c>
      <c r="B14" s="601" t="s">
        <v>613</v>
      </c>
      <c r="C14" s="173">
        <v>26241.405999999999</v>
      </c>
      <c r="D14" s="1812">
        <v>12955.784</v>
      </c>
      <c r="E14" s="177"/>
      <c r="F14" s="74"/>
      <c r="G14" s="66"/>
      <c r="H14" s="4"/>
      <c r="I14" s="2499">
        <f>(C14-C15)*1000/invanare</f>
        <v>452.25165937606096</v>
      </c>
      <c r="J14" s="2501">
        <f>(D14-D15)*1000/invanare</f>
        <v>-1260.8284138291558</v>
      </c>
      <c r="K14" s="169"/>
    </row>
    <row r="15" spans="1:11">
      <c r="A15" s="581" t="s">
        <v>283</v>
      </c>
      <c r="B15" s="605" t="s">
        <v>614</v>
      </c>
      <c r="C15" s="173">
        <v>21469.379000000001</v>
      </c>
      <c r="D15" s="1812">
        <v>26259.675999999999</v>
      </c>
      <c r="E15" s="177"/>
      <c r="F15" s="74"/>
      <c r="G15" s="66"/>
      <c r="H15" s="4"/>
      <c r="I15" s="2500"/>
      <c r="J15" s="2502"/>
      <c r="K15" s="169"/>
    </row>
    <row r="16" spans="1:11" ht="13.5" thickBot="1">
      <c r="A16" s="535" t="s">
        <v>284</v>
      </c>
      <c r="B16" s="606" t="s">
        <v>1023</v>
      </c>
      <c r="C16" s="335">
        <f>SUM(C13:C14)-C15</f>
        <v>25280.91200000004</v>
      </c>
      <c r="D16" s="347">
        <f>SUM(D13:D14)-D15</f>
        <v>28342.846000000041</v>
      </c>
      <c r="E16" s="178"/>
      <c r="G16" s="2193"/>
      <c r="H16" s="4"/>
      <c r="I16" s="620">
        <f>C16*1000/invanare</f>
        <v>2395.9073162285536</v>
      </c>
      <c r="J16" s="627">
        <f>D16*1000/invanare</f>
        <v>2686.0910751217825</v>
      </c>
      <c r="K16" s="169"/>
    </row>
    <row r="17" spans="1:11">
      <c r="A17" s="603" t="s">
        <v>320</v>
      </c>
      <c r="B17" s="604" t="s">
        <v>1024</v>
      </c>
      <c r="C17" s="173">
        <v>1024.5</v>
      </c>
      <c r="D17" s="1812">
        <v>230.47499999999999</v>
      </c>
      <c r="E17" s="2193"/>
      <c r="F17" s="169"/>
      <c r="G17" s="2193"/>
      <c r="H17" s="4"/>
      <c r="I17" s="2069">
        <f>(C17)*1000/invanare</f>
        <v>97.093294952181665</v>
      </c>
      <c r="J17" s="2070">
        <f>(D17)*1000/invanare</f>
        <v>21.84243743690002</v>
      </c>
      <c r="K17" s="169"/>
    </row>
    <row r="18" spans="1:11" ht="13.5" thickBot="1">
      <c r="A18" s="2086" t="s">
        <v>209</v>
      </c>
      <c r="B18" s="1241" t="s">
        <v>615</v>
      </c>
      <c r="C18" s="335">
        <f>SUM(C16:C17)</f>
        <v>26305.41200000004</v>
      </c>
      <c r="D18" s="347">
        <f>SUM(D16:D17)</f>
        <v>28573.32100000004</v>
      </c>
      <c r="E18" s="2193"/>
      <c r="F18" s="169"/>
      <c r="G18" s="2193"/>
      <c r="H18" s="170"/>
      <c r="I18" s="625"/>
      <c r="J18" s="626"/>
      <c r="K18" s="169"/>
    </row>
    <row r="19" spans="1:11" ht="13.5" thickBot="1">
      <c r="A19" s="2084"/>
      <c r="B19" s="2085"/>
      <c r="E19" s="2193"/>
      <c r="F19" s="169"/>
      <c r="G19" s="2193"/>
      <c r="H19" s="4"/>
      <c r="I19" s="620">
        <f>C18*1000/invanare</f>
        <v>2493.0006111807352</v>
      </c>
      <c r="J19" s="627">
        <f>D18*1000/invanare</f>
        <v>2707.9335125586827</v>
      </c>
      <c r="K19" s="169"/>
    </row>
    <row r="20" spans="1:11" ht="15.75" customHeight="1">
      <c r="A20" s="16"/>
      <c r="B20" s="3"/>
      <c r="C20" s="3"/>
      <c r="D20" s="3"/>
      <c r="E20" s="2193"/>
      <c r="F20" s="171"/>
      <c r="G20" s="2193"/>
      <c r="H20" s="4"/>
      <c r="I20" s="4"/>
      <c r="J20" s="4"/>
      <c r="K20" s="169"/>
    </row>
    <row r="21" spans="1:11" ht="15.75" customHeight="1" thickBot="1">
      <c r="A21" s="73" t="s">
        <v>1012</v>
      </c>
      <c r="B21" s="3"/>
      <c r="C21" s="3"/>
      <c r="D21" s="3"/>
      <c r="E21" s="2193"/>
      <c r="F21" s="171"/>
      <c r="G21" s="2193"/>
      <c r="H21" s="4"/>
      <c r="I21" s="4"/>
      <c r="J21" s="4"/>
      <c r="K21" s="169"/>
    </row>
    <row r="22" spans="1:11" ht="15.75" customHeight="1">
      <c r="A22" s="603"/>
      <c r="B22" s="1910"/>
      <c r="C22" s="1911"/>
      <c r="D22" s="3"/>
      <c r="E22" s="2193"/>
      <c r="F22" s="171"/>
      <c r="G22" s="2193"/>
      <c r="H22" s="4"/>
      <c r="I22" s="4"/>
      <c r="J22" s="4"/>
      <c r="K22" s="169"/>
    </row>
    <row r="23" spans="1:11" ht="15.75" customHeight="1">
      <c r="A23" s="581" t="s">
        <v>338</v>
      </c>
      <c r="B23" s="605" t="s">
        <v>1131</v>
      </c>
      <c r="C23" s="1914">
        <v>6699.7060000000001</v>
      </c>
      <c r="D23" s="3"/>
      <c r="E23" s="2193"/>
      <c r="F23" s="171"/>
      <c r="G23" s="2193"/>
      <c r="H23" s="4"/>
      <c r="I23" s="4"/>
      <c r="J23" s="4"/>
      <c r="K23" s="169"/>
    </row>
    <row r="24" spans="1:11" ht="15.75" customHeight="1">
      <c r="A24" s="581" t="s">
        <v>628</v>
      </c>
      <c r="B24" s="605" t="s">
        <v>1132</v>
      </c>
      <c r="C24" s="1914">
        <v>2573.971</v>
      </c>
      <c r="D24" s="3"/>
      <c r="E24" s="2193"/>
      <c r="F24" s="171"/>
      <c r="G24" s="2193"/>
      <c r="H24" s="4"/>
      <c r="I24" s="4"/>
      <c r="J24" s="4"/>
      <c r="K24" s="169"/>
    </row>
    <row r="25" spans="1:11" ht="15.75" customHeight="1">
      <c r="A25" s="581" t="s">
        <v>1013</v>
      </c>
      <c r="B25" s="605" t="s">
        <v>1133</v>
      </c>
      <c r="C25" s="1914">
        <v>1499.1030000000001</v>
      </c>
      <c r="D25" s="3"/>
      <c r="E25" s="2193"/>
      <c r="F25" s="171"/>
      <c r="G25" s="2193"/>
      <c r="H25" s="4"/>
      <c r="I25" s="4"/>
      <c r="J25" s="4"/>
      <c r="K25" s="169"/>
    </row>
    <row r="26" spans="1:11" ht="15.75" customHeight="1">
      <c r="A26" s="581" t="s">
        <v>1014</v>
      </c>
      <c r="B26" s="605" t="s">
        <v>1135</v>
      </c>
      <c r="C26" s="1914">
        <v>2116.0039999999999</v>
      </c>
      <c r="D26" s="3"/>
      <c r="E26" s="2193"/>
      <c r="F26" s="171"/>
      <c r="G26" s="2193"/>
      <c r="H26" s="4"/>
      <c r="I26" s="4"/>
      <c r="J26" s="4"/>
      <c r="K26" s="169"/>
    </row>
    <row r="27" spans="1:11" ht="15.75" customHeight="1" thickBot="1">
      <c r="A27" s="583" t="s">
        <v>1015</v>
      </c>
      <c r="B27" s="2146" t="s">
        <v>1134</v>
      </c>
      <c r="C27" s="1915">
        <v>1053.6130000000001</v>
      </c>
      <c r="D27" s="3"/>
      <c r="E27" s="2193"/>
      <c r="F27" s="171"/>
      <c r="G27" s="2193"/>
      <c r="H27" s="4"/>
      <c r="I27" s="4"/>
      <c r="J27" s="4"/>
      <c r="K27" s="169"/>
    </row>
    <row r="28" spans="1:11" ht="15.75" customHeight="1" thickBot="1">
      <c r="A28" s="16"/>
      <c r="B28" s="3"/>
      <c r="C28" s="3"/>
      <c r="D28" s="3"/>
      <c r="E28" s="2"/>
      <c r="F28" s="171"/>
      <c r="G28" s="2193"/>
      <c r="H28" s="4"/>
      <c r="I28" s="4"/>
      <c r="J28" s="4"/>
      <c r="K28" s="169"/>
    </row>
    <row r="29" spans="1:11" ht="18" customHeight="1" thickBot="1">
      <c r="A29" s="73" t="s">
        <v>144</v>
      </c>
      <c r="B29" s="4"/>
      <c r="C29" s="4"/>
      <c r="D29" s="4"/>
      <c r="E29" s="4"/>
      <c r="F29" s="4"/>
      <c r="G29" s="2193"/>
      <c r="H29" s="4"/>
      <c r="I29" s="628" t="s">
        <v>454</v>
      </c>
      <c r="J29" s="172"/>
      <c r="K29" s="169"/>
    </row>
    <row r="30" spans="1:11">
      <c r="A30" s="122">
        <v>130</v>
      </c>
      <c r="B30" s="1436" t="s">
        <v>145</v>
      </c>
      <c r="C30" s="337">
        <f>C18</f>
        <v>26305.41200000004</v>
      </c>
      <c r="D30" s="4"/>
      <c r="E30" s="4"/>
      <c r="F30" s="4"/>
      <c r="G30" s="2193"/>
      <c r="H30" s="4"/>
      <c r="I30" s="629">
        <f>C30*1000/invanare</f>
        <v>2493.0006111807352</v>
      </c>
      <c r="J30" s="170"/>
      <c r="K30" s="169"/>
    </row>
    <row r="31" spans="1:11">
      <c r="A31" s="123">
        <v>131</v>
      </c>
      <c r="B31" s="612" t="str">
        <f>"- reducering av samtliga realisationsvinster"</f>
        <v>- reducering av samtliga realisationsvinster</v>
      </c>
      <c r="C31" s="98">
        <v>3371.9769999999999</v>
      </c>
      <c r="D31" s="177"/>
      <c r="E31" s="4"/>
      <c r="F31" s="4"/>
      <c r="G31" s="2193"/>
      <c r="H31" s="4"/>
      <c r="I31" s="630"/>
      <c r="J31" s="170"/>
      <c r="K31" s="169"/>
    </row>
    <row r="32" spans="1:11">
      <c r="A32" s="123">
        <v>132</v>
      </c>
      <c r="B32" s="612" t="str">
        <f>"+ justering för realisationsvinster enl. undantagsmöjlighet"</f>
        <v>+ justering för realisationsvinster enl. undantagsmöjlighet</v>
      </c>
      <c r="C32" s="98">
        <v>66.813999999999993</v>
      </c>
      <c r="D32" s="177"/>
      <c r="E32" s="4"/>
      <c r="G32" s="2193"/>
      <c r="H32" s="4"/>
      <c r="I32" s="632"/>
      <c r="J32" s="170"/>
      <c r="K32" s="169"/>
    </row>
    <row r="33" spans="1:11">
      <c r="A33" s="123">
        <v>135</v>
      </c>
      <c r="B33" s="612" t="str">
        <f>"+ justering av realisationsförluster enl. undantagsmöjlighet"</f>
        <v>+ justering av realisationsförluster enl. undantagsmöjlighet</v>
      </c>
      <c r="C33" s="176">
        <v>88.233000000000004</v>
      </c>
      <c r="D33" s="177"/>
      <c r="E33" s="4"/>
      <c r="F33" s="4"/>
      <c r="G33" s="2193"/>
      <c r="H33" s="4"/>
      <c r="I33" s="1248"/>
      <c r="J33" s="170"/>
      <c r="K33" s="169"/>
    </row>
    <row r="34" spans="1:11" ht="13.5" customHeight="1">
      <c r="A34" s="2076">
        <v>136</v>
      </c>
      <c r="B34" s="612" t="str">
        <f>"-/+ orealiserade vinster och förluster i värdepapper"</f>
        <v>-/+ orealiserade vinster och förluster i värdepapper</v>
      </c>
      <c r="C34" s="176">
        <v>-2977.0990000000002</v>
      </c>
      <c r="D34" s="177"/>
      <c r="E34" s="4"/>
      <c r="F34" s="4"/>
      <c r="G34" s="2193"/>
      <c r="H34" s="4"/>
      <c r="I34" s="632"/>
      <c r="J34" s="170"/>
      <c r="K34" s="169"/>
    </row>
    <row r="35" spans="1:11" ht="12.75" customHeight="1">
      <c r="A35" s="556">
        <v>140</v>
      </c>
      <c r="B35" s="605" t="str">
        <f>"+/- återföring av orealiserade vinster och förluster i värdepapper"</f>
        <v>+/- återföring av orealiserade vinster och förluster i värdepapper</v>
      </c>
      <c r="C35" s="176">
        <v>-310.01499999999999</v>
      </c>
      <c r="D35" s="177"/>
      <c r="E35" s="4"/>
      <c r="F35" s="4"/>
      <c r="H35" s="4"/>
      <c r="I35" s="632"/>
      <c r="J35" s="4"/>
      <c r="K35" s="169"/>
    </row>
    <row r="36" spans="1:11" ht="12.75" customHeight="1">
      <c r="A36" s="1378">
        <v>141</v>
      </c>
      <c r="B36" s="1241" t="str">
        <f xml:space="preserve"> " = Årets resultat efter balanskravsjusteringar"</f>
        <v xml:space="preserve"> = Årets resultat efter balanskravsjusteringar</v>
      </c>
      <c r="C36" s="338">
        <f>C30-C31+C32+C33+C34+C35</f>
        <v>19801.368000000039</v>
      </c>
      <c r="D36" s="177"/>
      <c r="E36" s="4"/>
      <c r="F36" s="4"/>
      <c r="G36" s="1213"/>
      <c r="H36" s="4"/>
      <c r="I36" s="632"/>
      <c r="J36" s="4"/>
      <c r="K36" s="169"/>
    </row>
    <row r="37" spans="1:11" ht="13.5" customHeight="1">
      <c r="A37" s="568">
        <v>142</v>
      </c>
      <c r="B37" s="601" t="str">
        <f>"- reservering av medel till resultatutjämningsreserv"</f>
        <v>- reservering av medel till resultatutjämningsreserv</v>
      </c>
      <c r="C37" s="176">
        <v>1520.086</v>
      </c>
      <c r="D37" s="177"/>
      <c r="E37" s="4"/>
      <c r="F37" s="4"/>
      <c r="G37" s="1213"/>
      <c r="H37" s="4"/>
      <c r="I37" s="632"/>
      <c r="J37" s="4"/>
      <c r="K37" s="169"/>
    </row>
    <row r="38" spans="1:11" ht="12.75" customHeight="1">
      <c r="A38" s="556">
        <v>143</v>
      </c>
      <c r="B38" s="605" t="str">
        <f>"+ användning av medel från resultatutjämninsreserv"</f>
        <v>+ användning av medel från resultatutjämninsreserv</v>
      </c>
      <c r="C38" s="176">
        <v>929.22400000000005</v>
      </c>
      <c r="D38" s="177"/>
      <c r="E38" s="4"/>
      <c r="F38" s="4"/>
      <c r="G38" s="1213"/>
      <c r="H38" s="4"/>
      <c r="I38" s="632"/>
      <c r="J38" s="4"/>
      <c r="K38" s="169"/>
    </row>
    <row r="39" spans="1:11" ht="12.75" customHeight="1">
      <c r="A39" s="124">
        <v>133</v>
      </c>
      <c r="B39" s="1241" t="str">
        <f>"= Balanskravsresultat"</f>
        <v>= Balanskravsresultat</v>
      </c>
      <c r="C39" s="338">
        <f>C36-C37+C38</f>
        <v>19210.506000000038</v>
      </c>
      <c r="D39" s="177"/>
      <c r="E39" s="4"/>
      <c r="F39" s="4"/>
      <c r="G39" s="1214"/>
      <c r="H39" s="4"/>
      <c r="I39" s="1652">
        <f>C39*1000/invanare</f>
        <v>1820.6064668020101</v>
      </c>
      <c r="J39" s="4"/>
      <c r="K39" s="169"/>
    </row>
    <row r="40" spans="1:11" ht="33" customHeight="1">
      <c r="A40" s="1588"/>
      <c r="B40" s="1589" t="s">
        <v>921</v>
      </c>
      <c r="C40" s="724"/>
      <c r="D40" s="4"/>
      <c r="E40" s="4"/>
      <c r="F40" s="4"/>
      <c r="G40" s="1214"/>
      <c r="H40" s="4"/>
      <c r="I40" s="632"/>
      <c r="J40" s="4"/>
      <c r="K40" s="169"/>
    </row>
    <row r="41" spans="1:11" ht="12.75" customHeight="1">
      <c r="A41" s="1463">
        <v>144</v>
      </c>
      <c r="B41" s="1437" t="s">
        <v>922</v>
      </c>
      <c r="C41" s="1438">
        <v>412.76100000000002</v>
      </c>
      <c r="D41" s="4"/>
      <c r="E41" s="4"/>
      <c r="F41" s="4"/>
      <c r="G41" s="1214"/>
      <c r="H41" s="4"/>
      <c r="I41" s="632"/>
      <c r="J41" s="4"/>
      <c r="K41" s="169"/>
    </row>
    <row r="42" spans="1:11" ht="12.75" customHeight="1">
      <c r="A42" s="556">
        <v>145</v>
      </c>
      <c r="B42" s="1439" t="s">
        <v>923</v>
      </c>
      <c r="C42" s="176">
        <v>431.69400000000002</v>
      </c>
      <c r="D42" s="177"/>
      <c r="E42" s="4"/>
      <c r="F42" s="4"/>
      <c r="G42" s="1214"/>
      <c r="H42" s="4"/>
      <c r="I42" s="631"/>
      <c r="J42" s="4"/>
      <c r="K42" s="169"/>
    </row>
    <row r="43" spans="1:11" ht="13.5" customHeight="1" thickBot="1">
      <c r="A43" s="565">
        <v>146</v>
      </c>
      <c r="B43" s="1440" t="str">
        <f>"= Resultat efter synnerliga skäl m.m."</f>
        <v>= Resultat efter synnerliga skäl m.m.</v>
      </c>
      <c r="C43" s="336">
        <f>C39-C41+C42</f>
        <v>19229.439000000039</v>
      </c>
      <c r="D43" s="1222"/>
      <c r="E43" s="4"/>
      <c r="F43" s="4"/>
      <c r="G43" s="1214"/>
      <c r="H43" s="4"/>
      <c r="I43" s="633">
        <f>C43*1000/invanare</f>
        <v>1822.4007736378612</v>
      </c>
      <c r="J43" s="4"/>
      <c r="K43" s="169"/>
    </row>
    <row r="44" spans="1:11" ht="21.75" customHeight="1" thickBot="1">
      <c r="A44" s="1481">
        <v>137</v>
      </c>
      <c r="B44" s="1442" t="s">
        <v>924</v>
      </c>
      <c r="C44" s="1441">
        <v>307.029</v>
      </c>
      <c r="D44" s="1349"/>
      <c r="E44" s="4"/>
      <c r="F44" s="4"/>
      <c r="G44" s="4"/>
      <c r="H44" s="4"/>
      <c r="I44" s="4"/>
      <c r="J44" s="4"/>
      <c r="K44" s="169"/>
    </row>
    <row r="45" spans="1:11" ht="12.75" customHeight="1">
      <c r="A45" s="169"/>
      <c r="B45" s="169"/>
      <c r="C45" s="169"/>
      <c r="D45" s="4"/>
      <c r="E45" s="4"/>
      <c r="F45" s="4"/>
      <c r="G45" s="634" t="s">
        <v>510</v>
      </c>
      <c r="H45" s="635"/>
      <c r="I45" s="2492" t="s">
        <v>140</v>
      </c>
      <c r="J45" s="2493"/>
      <c r="K45" s="169"/>
    </row>
    <row r="46" spans="1:11" ht="21.75" customHeight="1">
      <c r="A46" s="169"/>
      <c r="B46" s="169"/>
      <c r="C46" s="169"/>
      <c r="D46" s="4"/>
      <c r="E46" s="4"/>
      <c r="F46" s="169"/>
      <c r="G46" s="636"/>
      <c r="H46" s="637"/>
      <c r="I46" s="638" t="s">
        <v>609</v>
      </c>
      <c r="J46" s="639" t="s">
        <v>711</v>
      </c>
      <c r="K46" s="169"/>
    </row>
    <row r="47" spans="1:11" ht="19.5" customHeight="1">
      <c r="A47" s="169"/>
      <c r="B47" s="169"/>
      <c r="C47" s="169"/>
      <c r="D47" s="169"/>
      <c r="E47" s="169"/>
      <c r="F47" s="169"/>
      <c r="G47" s="2494" t="s">
        <v>1183</v>
      </c>
      <c r="H47" s="2495"/>
      <c r="I47" s="617">
        <f>IF(ISERROR(C10*100/SUM(C11:C12)*-1),0,C10*100/SUM(C11:C12)*-1)</f>
        <v>97.124199859406545</v>
      </c>
      <c r="J47" s="640">
        <f>IF(ISERROR(D10*100/SUM(D11:D12)*-1),0,D10*100/SUM(D11:D12)*-1)</f>
        <v>94.160204467690008</v>
      </c>
      <c r="K47" s="169"/>
    </row>
    <row r="48" spans="1:11" ht="15" customHeight="1">
      <c r="A48" s="4"/>
      <c r="B48" s="4"/>
      <c r="C48" s="4"/>
      <c r="D48" s="169"/>
      <c r="E48" s="169"/>
      <c r="F48" s="169"/>
      <c r="G48" s="641" t="s">
        <v>1184</v>
      </c>
      <c r="H48" s="642"/>
      <c r="I48" s="619">
        <f>IF(ISERROR((C14-C15)*100/SUM(C11:C12)),0,(C14-C15)*100/SUM(C11:C12))</f>
        <v>0.66914393042409759</v>
      </c>
      <c r="J48" s="640">
        <f>IF(ISERROR((D14-D15)*100/SUM(D11:D12)),0,(D14-D15)*100/SUM(D11:D12))</f>
        <v>-1.8655004640203652</v>
      </c>
      <c r="K48" s="169"/>
    </row>
    <row r="49" spans="1:11" ht="19.5" customHeight="1">
      <c r="A49" s="4"/>
      <c r="B49" s="4"/>
      <c r="C49" s="4"/>
      <c r="D49" s="169"/>
      <c r="E49" s="169"/>
      <c r="F49" s="169"/>
      <c r="G49" s="2496" t="s">
        <v>1185</v>
      </c>
      <c r="H49" s="2497"/>
      <c r="I49" s="619">
        <f>IF(ISERROR(C16*100/SUM(C11:C12)),0,C16*100/SUM(C11:C12))</f>
        <v>3.544944071017571</v>
      </c>
      <c r="J49" s="640">
        <f>IF(ISERROR(D16*100/SUM(D11:D12)),0,D16*100/SUM(D11:D12))</f>
        <v>3.9742950682896279</v>
      </c>
      <c r="K49" s="169"/>
    </row>
    <row r="50" spans="1:11" ht="19.5" customHeight="1">
      <c r="A50" s="169"/>
      <c r="B50" s="169"/>
      <c r="C50" s="169"/>
      <c r="D50" s="169"/>
      <c r="E50" s="169"/>
      <c r="F50" s="169"/>
      <c r="G50" s="641" t="s">
        <v>1186</v>
      </c>
      <c r="H50" s="642"/>
      <c r="I50" s="619">
        <f>IF(ISERROR(C18*100/SUM(C11:C12)),0,C18*100/SUM(C11:C12))</f>
        <v>3.6886016732732765</v>
      </c>
      <c r="J50" s="640">
        <f>IF(ISERROR(D18*100/SUM(D11:D12)),0,D18*100/SUM(D11:D12))</f>
        <v>4.0066127704661856</v>
      </c>
      <c r="K50" s="169"/>
    </row>
    <row r="51" spans="1:11" ht="13.5" customHeight="1">
      <c r="A51" s="169"/>
      <c r="B51" s="169"/>
      <c r="C51" s="169"/>
      <c r="D51" s="169"/>
      <c r="E51" s="169"/>
      <c r="F51" s="169"/>
      <c r="G51" s="643" t="s">
        <v>519</v>
      </c>
      <c r="H51" s="2053"/>
      <c r="I51" s="619">
        <f>IF(C8&gt;0,C7*100/(C8+C9),0)</f>
        <v>20.147345427021403</v>
      </c>
      <c r="J51" s="640">
        <f>IF(D8&gt;0,D7*100/(D8+D9),0)</f>
        <v>35.624146345563041</v>
      </c>
      <c r="K51" s="169"/>
    </row>
    <row r="52" spans="1:11" ht="14.25" customHeight="1">
      <c r="A52" s="169"/>
      <c r="B52" s="169"/>
      <c r="C52" s="169"/>
      <c r="D52" s="169"/>
      <c r="E52" s="169"/>
      <c r="F52" s="169"/>
      <c r="G52" s="643" t="s">
        <v>716</v>
      </c>
      <c r="H52" s="644"/>
      <c r="I52" s="619">
        <f>IF(ISERROR((Investeringar!C7+Investeringar!D7+Investeringar!E7-Investeringar!C78)*100/SUM(C11:C12)),0,(Investeringar!C7+Investeringar!D7+Investeringar!E7-Investeringar!C78)*100/SUM(C11:C12))</f>
        <v>11.753417049963474</v>
      </c>
      <c r="J52" s="645"/>
      <c r="K52" s="169"/>
    </row>
    <row r="53" spans="1:11" ht="12.75" customHeight="1">
      <c r="A53" s="169"/>
      <c r="B53" s="169"/>
      <c r="C53" s="169"/>
      <c r="D53" s="169"/>
      <c r="E53" s="169"/>
      <c r="F53" s="169"/>
      <c r="G53" s="643" t="s">
        <v>511</v>
      </c>
      <c r="H53" s="644"/>
      <c r="I53" s="619">
        <f>IF(ISERROR((Investeringar!C8+Investeringar!D8+Investeringar!E8)*100/SUM(C11:C12)*-1),0,(Investeringar!C8+Investeringar!D8+Investeringar!E8)*100/SUM(C11:C12)*-1)</f>
        <v>0.80691500643022374</v>
      </c>
      <c r="J53" s="646"/>
      <c r="K53" s="169"/>
    </row>
    <row r="54" spans="1:11" ht="12.75" customHeight="1">
      <c r="A54" s="169"/>
      <c r="B54" s="169"/>
      <c r="C54" s="169"/>
      <c r="D54" s="169"/>
      <c r="E54" s="169"/>
      <c r="F54" s="169"/>
      <c r="G54" s="643" t="s">
        <v>512</v>
      </c>
      <c r="H54" s="644"/>
      <c r="I54" s="619">
        <f>IF(ISERROR(SUM(Investeringar!C8:E8)/(Investeringar!C66)*-1),0,(SUM(Investeringar!C8:E8)/(Investeringar!C66)*-1)*100)</f>
        <v>6.1147839008177298</v>
      </c>
      <c r="J54" s="646"/>
      <c r="K54" s="169"/>
    </row>
    <row r="55" spans="1:11" ht="12.75" customHeight="1" thickBot="1">
      <c r="A55" s="169"/>
      <c r="B55" s="169"/>
      <c r="C55" s="169"/>
      <c r="D55" s="169"/>
      <c r="E55" s="169"/>
      <c r="F55" s="169"/>
      <c r="G55" s="647" t="s">
        <v>1061</v>
      </c>
      <c r="H55" s="2054"/>
      <c r="I55" s="648">
        <f>IF(ISERROR(BR!D31*100/RR!C8),0,BR!D31*100/RR!C8)</f>
        <v>5.5642772219901309</v>
      </c>
      <c r="J55" s="649"/>
      <c r="K55" s="169"/>
    </row>
    <row r="56" spans="1:11" ht="12.75" customHeight="1">
      <c r="A56" s="169"/>
      <c r="B56" s="169"/>
      <c r="C56" s="169"/>
      <c r="D56" s="169"/>
      <c r="E56" s="169"/>
      <c r="F56" s="169"/>
      <c r="G56" s="145"/>
      <c r="H56" s="1245"/>
      <c r="I56" s="1246"/>
      <c r="J56" s="1247"/>
      <c r="K56" s="197"/>
    </row>
    <row r="57" spans="1:11" ht="12.75" customHeight="1">
      <c r="A57" s="169"/>
      <c r="B57" s="169"/>
      <c r="C57" s="169"/>
      <c r="D57" s="169"/>
      <c r="E57" s="169"/>
      <c r="F57" s="169"/>
      <c r="G57" s="145"/>
      <c r="H57" s="1245"/>
      <c r="I57" s="1246"/>
      <c r="J57" s="1247"/>
      <c r="K57" s="197"/>
    </row>
    <row r="58" spans="1:11" ht="19.5" customHeight="1">
      <c r="A58" s="169"/>
      <c r="B58" s="169"/>
      <c r="C58" s="169"/>
      <c r="D58" s="169"/>
      <c r="E58" s="169"/>
      <c r="F58" s="169"/>
      <c r="G58" s="145"/>
      <c r="H58" s="1245"/>
      <c r="I58" s="1246"/>
      <c r="J58" s="1247"/>
      <c r="K58" s="197"/>
    </row>
    <row r="59" spans="1:11">
      <c r="A59" s="169"/>
      <c r="B59" s="169"/>
      <c r="C59" s="169"/>
      <c r="D59" s="169"/>
      <c r="E59" s="169"/>
      <c r="F59" s="169"/>
      <c r="G59" s="145"/>
      <c r="H59" s="1245"/>
      <c r="I59" s="1246"/>
      <c r="J59" s="1247"/>
      <c r="K59" s="169"/>
    </row>
    <row r="60" spans="1:11" hidden="1">
      <c r="A60" s="169"/>
      <c r="B60" s="169"/>
      <c r="C60" s="169"/>
      <c r="G60" s="819"/>
      <c r="H60" s="1242"/>
      <c r="I60" s="1243"/>
      <c r="J60" s="1244"/>
      <c r="K60" s="169"/>
    </row>
    <row r="61" spans="1:11" hidden="1">
      <c r="A61" s="169"/>
      <c r="B61" s="169"/>
      <c r="C61" s="169"/>
      <c r="G61" s="169"/>
      <c r="H61" s="169"/>
      <c r="I61" s="169"/>
      <c r="J61" s="169"/>
      <c r="K61" s="169"/>
    </row>
    <row r="62" spans="1:11" hidden="1">
      <c r="A62" s="169"/>
      <c r="B62" s="169"/>
      <c r="C62" s="169"/>
    </row>
    <row r="63" spans="1:11" hidden="1"/>
    <row r="64" spans="1:11" hidden="1"/>
    <row r="65" hidden="1"/>
    <row r="66" hidden="1"/>
    <row r="67" hidden="1"/>
    <row r="68" hidden="1"/>
    <row r="69" hidden="1"/>
    <row r="70" hidden="1"/>
    <row r="71" hidden="1"/>
    <row r="72" hidden="1"/>
    <row r="73" hidden="1"/>
    <row r="74" ht="12.75" customHeight="1"/>
  </sheetData>
  <sheetProtection algorithmName="SHA-512" hashValue="NSUKALC3P2TKk17vznma+0faJuIYLgKnufSZKPJDi9Tgy3Lv1FRvEaIN+wYe9U2wlA85iE42FWl5/wU83zU9cQ==" saltValue="AT4lJUPk8JZYvG4zvFxRvw==" spinCount="100000" sheet="1" objects="1" scenarios="1"/>
  <mergeCells count="6">
    <mergeCell ref="I45:J45"/>
    <mergeCell ref="G47:H47"/>
    <mergeCell ref="G49:H49"/>
    <mergeCell ref="I4:J4"/>
    <mergeCell ref="I14:I15"/>
    <mergeCell ref="J14:J15"/>
  </mergeCells>
  <conditionalFormatting sqref="C38">
    <cfRule type="cellIs" dxfId="165" priority="2" stopIfTrue="1" operator="lessThan">
      <formula>-5</formula>
    </cfRule>
  </conditionalFormatting>
  <dataValidations count="10">
    <dataValidation type="decimal" operator="greaterThanOrEqual" allowBlank="1" showInputMessage="1" showErrorMessage="1" error="Belopp anges utan minustecken" sqref="C23: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43:C44"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lessThan" allowBlank="1" showInputMessage="1" showErrorMessage="1" error="Beloppet ska vara i 1000 tal kronor._x000a_Inget minustecken anges." sqref="C33" xr:uid="{00000000-0002-0000-0100-000006000000}">
      <formula1>99999999</formula1>
    </dataValidation>
    <dataValidation type="decimal" allowBlank="1" showInputMessage="1" showErrorMessage="1" error="Beloppet ska vara i 1000 tal kronor_x000a_Inget minustecken ska anges_x000a_" sqref="C37" xr:uid="{00000000-0002-0000-0100-000007000000}">
      <formula1>0</formula1>
      <formula2>99999999</formula2>
    </dataValidation>
    <dataValidation type="decimal" allowBlank="1" showInputMessage="1" showErrorMessage="1" error="Beloppet ska vara i 1000 tal kronor_x000a_Inget minustecken ska anges." sqref="C38" xr:uid="{00000000-0002-0000-0100-000008000000}">
      <formula1>0</formula1>
      <formula2>99999999</formula2>
    </dataValidation>
    <dataValidation type="decimal" allowBlank="1" showInputMessage="1" showErrorMessage="1" error="Beloppet ska vara i 1000 tal kronor_x000a_Inget minustecken anges." sqref="C41:C42" xr:uid="{00000000-0002-0000-0100-000009000000}">
      <formula1>0</formula1>
      <formula2>99999999</formula2>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16"/>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4" style="142" customWidth="1"/>
    <col min="2" max="2" width="10.5703125" style="142" customWidth="1"/>
    <col min="3" max="3" width="36.140625" style="142" customWidth="1"/>
    <col min="4" max="4" width="10.5703125" style="142" customWidth="1"/>
    <col min="5" max="5" width="10.42578125" style="142" customWidth="1"/>
    <col min="6" max="6" width="23" style="168" customWidth="1"/>
    <col min="7" max="7" width="4.5703125" style="168" customWidth="1"/>
    <col min="8" max="8" width="7.42578125" style="168" customWidth="1"/>
    <col min="9" max="9" width="31.5703125" style="168" customWidth="1"/>
    <col min="10" max="10" width="11.42578125" style="168" customWidth="1"/>
    <col min="11" max="11" width="12.42578125" style="168" customWidth="1"/>
    <col min="12" max="12" width="45.85546875" style="168" customWidth="1"/>
    <col min="13" max="14" width="9.5703125" style="168" customWidth="1"/>
    <col min="15" max="15" width="2.42578125" style="168" customWidth="1"/>
    <col min="16" max="16" width="6" style="168" customWidth="1"/>
    <col min="17" max="17" width="10.5703125" style="142" customWidth="1"/>
    <col min="18" max="18" width="3.5703125" style="142" customWidth="1"/>
    <col min="19" max="20" width="6" style="168" customWidth="1"/>
    <col min="21" max="21" width="0" hidden="1" customWidth="1"/>
    <col min="22" max="16384" width="0" style="168" hidden="1"/>
  </cols>
  <sheetData>
    <row r="1" spans="1:20" ht="20.25">
      <c r="A1" s="89" t="str">
        <f>"Balansräkning "&amp;År&amp;", miljoner kr"</f>
        <v>Balansräkning 2023, miljoner kr</v>
      </c>
      <c r="B1" s="90"/>
      <c r="C1" s="90"/>
      <c r="D1" s="91"/>
      <c r="E1" s="510" t="s">
        <v>450</v>
      </c>
      <c r="F1" s="511" t="str">
        <f>Information!A2</f>
        <v>RIKSTOTAL</v>
      </c>
      <c r="G1" s="511"/>
      <c r="H1" s="511"/>
      <c r="I1" s="511"/>
      <c r="J1" s="167"/>
      <c r="K1" s="167"/>
      <c r="L1" s="167"/>
      <c r="M1" s="167"/>
      <c r="N1" s="167"/>
      <c r="O1" s="192"/>
      <c r="P1" s="192"/>
      <c r="Q1" s="1489"/>
      <c r="R1" s="1489"/>
      <c r="S1" s="192"/>
      <c r="T1" s="167"/>
    </row>
    <row r="2" spans="1:20" ht="12.75" customHeight="1">
      <c r="A2" s="2193"/>
      <c r="B2" s="2193"/>
      <c r="C2" s="2193"/>
      <c r="D2" s="2193"/>
      <c r="E2" s="2193"/>
      <c r="F2" s="2193"/>
      <c r="G2" s="2193"/>
      <c r="H2" s="2193"/>
      <c r="I2" s="2193"/>
      <c r="J2" s="2193"/>
      <c r="K2" s="2193"/>
      <c r="L2" s="2193"/>
      <c r="M2" s="2193"/>
      <c r="N2" s="2193"/>
      <c r="O2" s="2193"/>
      <c r="P2" s="2193"/>
      <c r="Q2" s="2193"/>
      <c r="R2" s="2193"/>
      <c r="S2" s="2193"/>
      <c r="T2" s="2193"/>
    </row>
    <row r="3" spans="1:20" ht="12.75" customHeight="1" thickBot="1">
      <c r="A3" s="2193"/>
      <c r="B3" s="2193"/>
      <c r="C3" s="2193"/>
      <c r="D3" s="2193"/>
      <c r="E3" s="2193"/>
      <c r="F3" s="2193"/>
      <c r="G3" s="2193"/>
      <c r="H3" s="2193"/>
      <c r="I3" s="2193"/>
      <c r="J3" s="2193"/>
      <c r="K3" s="2193"/>
      <c r="L3" s="2193"/>
      <c r="M3" s="2193"/>
      <c r="N3" s="2193"/>
      <c r="O3" s="2193"/>
      <c r="P3" s="2193"/>
      <c r="Q3" s="2193"/>
      <c r="R3" s="2193"/>
      <c r="S3" s="2193"/>
      <c r="T3" s="2193"/>
    </row>
    <row r="4" spans="1:20" s="180" customFormat="1">
      <c r="A4" s="650" t="s">
        <v>616</v>
      </c>
      <c r="B4" s="2148" t="str">
        <f>"BAS "&amp;År-2000&amp;""</f>
        <v>BAS 23</v>
      </c>
      <c r="C4" s="651" t="s">
        <v>713</v>
      </c>
      <c r="D4" s="669" t="s">
        <v>609</v>
      </c>
      <c r="E4" s="670" t="s">
        <v>711</v>
      </c>
      <c r="H4" s="179"/>
      <c r="I4" s="179"/>
      <c r="J4" s="179"/>
      <c r="K4" s="179"/>
      <c r="L4" s="179"/>
      <c r="M4" s="2492" t="s">
        <v>454</v>
      </c>
      <c r="N4" s="2505"/>
      <c r="O4" s="1301"/>
      <c r="P4" s="1237"/>
      <c r="Q4" s="1490"/>
      <c r="R4" s="1300"/>
      <c r="S4" s="1238"/>
      <c r="T4" s="1238"/>
    </row>
    <row r="5" spans="1:20" s="180" customFormat="1" ht="32.25" customHeight="1">
      <c r="A5" s="1487" t="s">
        <v>610</v>
      </c>
      <c r="B5" s="2503"/>
      <c r="C5" s="653"/>
      <c r="D5" s="671"/>
      <c r="E5" s="672"/>
      <c r="F5" s="179"/>
      <c r="G5" s="179"/>
      <c r="H5" s="179"/>
      <c r="I5" s="179"/>
      <c r="J5" s="179"/>
      <c r="K5" s="179"/>
      <c r="L5" s="179"/>
      <c r="M5" s="680" t="s">
        <v>609</v>
      </c>
      <c r="N5" s="681" t="s">
        <v>711</v>
      </c>
      <c r="O5" s="1301"/>
      <c r="P5" s="1237"/>
      <c r="Q5" s="1238"/>
      <c r="R5" s="1238"/>
      <c r="S5" s="2513"/>
      <c r="T5" s="2511"/>
    </row>
    <row r="6" spans="1:20" ht="15">
      <c r="A6" s="654"/>
      <c r="B6" s="2504"/>
      <c r="C6" s="655"/>
      <c r="D6" s="673"/>
      <c r="E6" s="674"/>
      <c r="F6" s="4"/>
      <c r="G6" s="4"/>
      <c r="H6" s="4"/>
      <c r="I6" s="4"/>
      <c r="J6" s="4"/>
      <c r="K6" s="4"/>
      <c r="L6" s="4"/>
      <c r="M6" s="682"/>
      <c r="N6" s="683"/>
      <c r="O6" s="1302"/>
      <c r="P6" s="1237"/>
      <c r="Q6" s="1309"/>
      <c r="R6" s="1309"/>
      <c r="S6" s="2513"/>
      <c r="T6" s="2512"/>
    </row>
    <row r="7" spans="1:20" ht="15">
      <c r="A7" s="656"/>
      <c r="B7" s="657"/>
      <c r="C7" s="658" t="s">
        <v>617</v>
      </c>
      <c r="D7" s="675"/>
      <c r="E7" s="676"/>
      <c r="F7" s="68"/>
      <c r="G7" s="4"/>
      <c r="H7" s="4"/>
      <c r="I7" s="4"/>
      <c r="J7" s="4"/>
      <c r="K7" s="4"/>
      <c r="L7" s="4"/>
      <c r="M7" s="684"/>
      <c r="N7" s="685"/>
      <c r="O7" s="71"/>
      <c r="P7" s="237"/>
      <c r="Q7" s="1491"/>
      <c r="R7" s="237"/>
    </row>
    <row r="8" spans="1:20" ht="7.5" customHeight="1">
      <c r="A8" s="656"/>
      <c r="B8" s="657"/>
      <c r="C8" s="659"/>
      <c r="D8" s="677"/>
      <c r="E8" s="678"/>
      <c r="F8" s="68"/>
      <c r="G8" s="4"/>
      <c r="H8" s="4"/>
      <c r="I8" s="4"/>
      <c r="J8" s="4"/>
      <c r="K8" s="4"/>
      <c r="L8" s="4"/>
      <c r="M8" s="684"/>
      <c r="N8" s="685"/>
      <c r="O8" s="71"/>
      <c r="P8" s="237"/>
      <c r="Q8" s="1491"/>
      <c r="R8" s="237"/>
    </row>
    <row r="9" spans="1:20" ht="14.85" customHeight="1">
      <c r="A9" s="2029" t="s">
        <v>285</v>
      </c>
      <c r="B9" s="660">
        <v>10</v>
      </c>
      <c r="C9" s="661" t="s">
        <v>618</v>
      </c>
      <c r="D9" s="184">
        <v>689.90499999999997</v>
      </c>
      <c r="E9" s="438">
        <v>3059.8879999999999</v>
      </c>
      <c r="F9" s="177" t="str">
        <f>IF(OR(D9="",E9=""),"Skriv belopp eller 0","")</f>
        <v/>
      </c>
      <c r="G9" s="4"/>
      <c r="H9" s="4"/>
      <c r="I9" s="4"/>
      <c r="J9" s="4"/>
      <c r="K9" s="4"/>
      <c r="L9" s="4"/>
      <c r="M9" s="686"/>
      <c r="N9" s="687"/>
      <c r="O9" s="1281"/>
      <c r="P9" s="1310"/>
      <c r="Q9" s="1492"/>
      <c r="R9" s="1493"/>
    </row>
    <row r="10" spans="1:20" ht="14.85" customHeight="1">
      <c r="A10" s="2029" t="s">
        <v>286</v>
      </c>
      <c r="B10" s="2030">
        <v>11</v>
      </c>
      <c r="C10" s="550" t="s">
        <v>619</v>
      </c>
      <c r="D10" s="184">
        <v>755898.16700000002</v>
      </c>
      <c r="E10" s="679"/>
      <c r="F10" s="68"/>
      <c r="G10" s="4"/>
      <c r="H10" s="4"/>
      <c r="I10" s="4"/>
      <c r="J10" s="4"/>
      <c r="K10" s="4"/>
      <c r="L10" s="4"/>
      <c r="M10" s="688"/>
      <c r="N10" s="689"/>
      <c r="O10" s="1281"/>
      <c r="P10" s="1310"/>
      <c r="Q10" s="1310"/>
      <c r="R10" s="1310"/>
    </row>
    <row r="11" spans="1:20" ht="14.85" customHeight="1">
      <c r="A11" s="2029" t="s">
        <v>287</v>
      </c>
      <c r="B11" s="2030">
        <v>12</v>
      </c>
      <c r="C11" s="550" t="s">
        <v>620</v>
      </c>
      <c r="D11" s="184">
        <v>39520.610999999997</v>
      </c>
      <c r="E11" s="679"/>
      <c r="F11" s="68"/>
      <c r="G11" s="75" t="s">
        <v>455</v>
      </c>
      <c r="H11" s="4"/>
      <c r="I11" s="4"/>
      <c r="J11" s="4"/>
      <c r="K11" s="4"/>
      <c r="L11" s="4"/>
      <c r="M11" s="688"/>
      <c r="N11" s="689"/>
      <c r="O11" s="1281"/>
      <c r="P11" s="1310"/>
      <c r="Q11" s="1310"/>
      <c r="R11" s="1310"/>
    </row>
    <row r="12" spans="1:20" ht="14.85" customHeight="1">
      <c r="A12" s="2029" t="s">
        <v>278</v>
      </c>
      <c r="B12" s="2031">
        <v>11.12</v>
      </c>
      <c r="C12" s="779" t="s">
        <v>1136</v>
      </c>
      <c r="D12" s="339">
        <f>SUM(D10:D11)</f>
        <v>795418.77800000005</v>
      </c>
      <c r="E12" s="185">
        <v>1727395.635</v>
      </c>
      <c r="F12" s="177" t="str">
        <f>IF(D12&gt;E12,"konc. &lt; kom.",IF(OR(D12=0,E12=0),"Belopp saknas",""))</f>
        <v/>
      </c>
      <c r="G12" s="1460" t="s">
        <v>538</v>
      </c>
      <c r="H12" s="2011" t="str">
        <f>"BAS "&amp;År-2000&amp;""</f>
        <v>BAS 23</v>
      </c>
      <c r="I12" s="1458"/>
      <c r="J12" s="1459"/>
      <c r="K12" s="170"/>
      <c r="L12" s="4"/>
      <c r="M12" s="617">
        <f>(D9+D12)*1000/invanare</f>
        <v>75448.331061505029</v>
      </c>
      <c r="N12" s="618">
        <f>(E9+E12)*1000/invanare</f>
        <v>163997.68520865866</v>
      </c>
      <c r="O12" s="1247"/>
      <c r="P12" s="1310"/>
      <c r="Q12" s="1493"/>
      <c r="R12" s="1493"/>
      <c r="S12" s="145"/>
      <c r="T12" s="145"/>
    </row>
    <row r="13" spans="1:20" ht="14.85" customHeight="1">
      <c r="A13" s="2029" t="s">
        <v>288</v>
      </c>
      <c r="B13" s="2032" t="s">
        <v>804</v>
      </c>
      <c r="C13" s="605" t="s">
        <v>621</v>
      </c>
      <c r="D13" s="186">
        <v>88261.745999999999</v>
      </c>
      <c r="E13" s="679"/>
      <c r="F13" s="68"/>
      <c r="G13" s="696" t="s">
        <v>292</v>
      </c>
      <c r="H13" s="697" t="s">
        <v>537</v>
      </c>
      <c r="I13" s="698" t="s">
        <v>0</v>
      </c>
      <c r="J13" s="283">
        <v>67404.354999999996</v>
      </c>
      <c r="K13" s="2052"/>
      <c r="L13" s="4"/>
      <c r="M13" s="690"/>
      <c r="N13" s="691"/>
      <c r="O13" s="1247"/>
      <c r="P13" s="1310"/>
      <c r="Q13" s="1299"/>
      <c r="R13" s="1310"/>
      <c r="S13" s="296"/>
      <c r="T13" s="296"/>
    </row>
    <row r="14" spans="1:20" ht="14.85" customHeight="1">
      <c r="A14" s="2029" t="s">
        <v>289</v>
      </c>
      <c r="B14" s="2032" t="s">
        <v>803</v>
      </c>
      <c r="C14" s="555" t="s">
        <v>9</v>
      </c>
      <c r="D14" s="186">
        <v>2255.0729999999999</v>
      </c>
      <c r="E14" s="679"/>
      <c r="F14" s="68"/>
      <c r="G14" s="181"/>
      <c r="H14" s="4"/>
      <c r="I14" s="4"/>
      <c r="J14" s="140"/>
      <c r="K14" s="140"/>
      <c r="L14" s="4"/>
      <c r="M14" s="690"/>
      <c r="N14" s="691"/>
      <c r="O14" s="1247"/>
      <c r="P14" s="1310"/>
      <c r="Q14" s="1299"/>
      <c r="R14" s="1310"/>
    </row>
    <row r="15" spans="1:20" ht="14.85" customHeight="1">
      <c r="A15" s="2029" t="s">
        <v>290</v>
      </c>
      <c r="B15" s="2033" t="s">
        <v>2</v>
      </c>
      <c r="C15" s="562" t="s">
        <v>622</v>
      </c>
      <c r="D15" s="184">
        <v>271647.10200000001</v>
      </c>
      <c r="E15" s="679"/>
      <c r="F15" s="68"/>
      <c r="G15" s="696" t="s">
        <v>293</v>
      </c>
      <c r="H15" s="697" t="s">
        <v>714</v>
      </c>
      <c r="I15" s="1258" t="s">
        <v>1</v>
      </c>
      <c r="J15" s="283">
        <v>256178.20499999999</v>
      </c>
      <c r="K15" s="2052"/>
      <c r="L15" s="4"/>
      <c r="M15" s="692"/>
      <c r="N15" s="693"/>
      <c r="O15" s="1967"/>
      <c r="P15" s="1310"/>
      <c r="Q15" s="1310"/>
      <c r="R15" s="1310"/>
      <c r="S15" s="296"/>
      <c r="T15" s="296"/>
    </row>
    <row r="16" spans="1:20" ht="14.85" customHeight="1">
      <c r="A16" s="2029" t="s">
        <v>291</v>
      </c>
      <c r="B16" s="2030" t="s">
        <v>801</v>
      </c>
      <c r="C16" s="550" t="s">
        <v>802</v>
      </c>
      <c r="D16" s="184">
        <v>175.08799999999999</v>
      </c>
      <c r="E16" s="679"/>
      <c r="F16" s="68"/>
      <c r="G16" s="181"/>
      <c r="H16" s="4"/>
      <c r="I16" s="4"/>
      <c r="J16" s="140"/>
      <c r="K16" s="140"/>
      <c r="L16" s="4"/>
      <c r="M16" s="692"/>
      <c r="N16" s="693"/>
      <c r="O16" s="1247"/>
      <c r="P16" s="1310"/>
      <c r="Q16" s="1310"/>
      <c r="R16" s="1494"/>
    </row>
    <row r="17" spans="1:20" ht="14.85" customHeight="1">
      <c r="A17" s="2029" t="s">
        <v>294</v>
      </c>
      <c r="B17" s="2034" t="s">
        <v>5</v>
      </c>
      <c r="C17" s="571" t="s">
        <v>1137</v>
      </c>
      <c r="D17" s="339">
        <f>SUM(D13:D16)</f>
        <v>362339.00900000002</v>
      </c>
      <c r="E17" s="187">
        <v>45453.525999999998</v>
      </c>
      <c r="F17" s="177" t="str">
        <f>IF(OR(D17=0,E17=""),"Belopp saknas","")</f>
        <v/>
      </c>
      <c r="G17" s="181"/>
      <c r="H17" s="4"/>
      <c r="I17" s="4"/>
      <c r="J17" s="4"/>
      <c r="K17" s="4"/>
      <c r="L17" s="4"/>
      <c r="M17" s="617">
        <f>D17*1000/invanare</f>
        <v>34339.373619832317</v>
      </c>
      <c r="N17" s="618">
        <f>E17*1000/invanare</f>
        <v>4307.6941010587198</v>
      </c>
      <c r="O17" s="1247"/>
      <c r="P17" s="1310"/>
      <c r="Q17" s="1494"/>
      <c r="R17" s="1494"/>
    </row>
    <row r="18" spans="1:20" ht="14.85" customHeight="1" thickBot="1">
      <c r="A18" s="2035" t="s">
        <v>295</v>
      </c>
      <c r="B18" s="2036" t="s">
        <v>6</v>
      </c>
      <c r="C18" s="564" t="s">
        <v>623</v>
      </c>
      <c r="D18" s="340">
        <f>SUM(D9,D12,D17)</f>
        <v>1158447.692</v>
      </c>
      <c r="E18" s="341">
        <f>SUM(E9,E12,E17)</f>
        <v>1775909.0490000001</v>
      </c>
      <c r="F18" s="68"/>
      <c r="G18" s="181"/>
      <c r="H18" s="4"/>
      <c r="I18" s="4"/>
      <c r="J18" s="4"/>
      <c r="K18" s="4"/>
      <c r="L18" s="4"/>
      <c r="M18" s="690"/>
      <c r="N18" s="691"/>
      <c r="O18" s="1247"/>
      <c r="P18" s="1310"/>
      <c r="Q18" s="1494"/>
      <c r="R18" s="1494"/>
    </row>
    <row r="19" spans="1:20" ht="14.85" customHeight="1" thickBot="1">
      <c r="A19" s="2037" t="s">
        <v>305</v>
      </c>
      <c r="B19" s="2147" t="s">
        <v>4</v>
      </c>
      <c r="C19" s="536" t="s">
        <v>899</v>
      </c>
      <c r="D19" s="1315">
        <v>5816.5820000000003</v>
      </c>
      <c r="E19" s="288">
        <v>5816.6109999999999</v>
      </c>
      <c r="F19" s="177"/>
      <c r="G19" s="4"/>
      <c r="H19" s="4"/>
      <c r="I19" s="4"/>
      <c r="J19" s="4"/>
      <c r="K19" s="4"/>
      <c r="L19" s="4"/>
      <c r="M19" s="617">
        <f>D19*1000/invanare</f>
        <v>551.2455946701325</v>
      </c>
      <c r="N19" s="624">
        <f>E19*1000/invanare</f>
        <v>551.24834304060948</v>
      </c>
      <c r="O19" s="1247"/>
      <c r="P19" s="1310"/>
      <c r="Q19" s="1310"/>
      <c r="R19" s="1310"/>
    </row>
    <row r="20" spans="1:20" ht="14.85" customHeight="1">
      <c r="A20" s="2038"/>
      <c r="B20" s="2039"/>
      <c r="C20" s="665" t="s">
        <v>606</v>
      </c>
      <c r="D20" s="706"/>
      <c r="E20" s="707"/>
      <c r="F20" s="68"/>
      <c r="G20" s="1380" t="s">
        <v>878</v>
      </c>
      <c r="H20" s="1381" t="s">
        <v>869</v>
      </c>
      <c r="I20" s="1258" t="s">
        <v>1140</v>
      </c>
      <c r="J20" s="2064">
        <v>12910.212</v>
      </c>
      <c r="K20" s="2062"/>
      <c r="L20" s="4"/>
      <c r="M20" s="694"/>
      <c r="N20" s="695"/>
      <c r="O20" s="1303"/>
      <c r="P20" s="296"/>
      <c r="Q20" s="296"/>
      <c r="R20" s="296"/>
      <c r="S20" s="296"/>
    </row>
    <row r="21" spans="1:20" ht="14.85" customHeight="1">
      <c r="A21" s="2029" t="s">
        <v>280</v>
      </c>
      <c r="B21" s="660">
        <v>14</v>
      </c>
      <c r="C21" s="571" t="s">
        <v>1138</v>
      </c>
      <c r="D21" s="65">
        <v>15552.655000000001</v>
      </c>
      <c r="E21" s="188">
        <v>22673.483</v>
      </c>
      <c r="F21" s="227" t="str">
        <f>IF(D21&gt;E21,"konc. &lt; kom.",IF(OR(D21="",E21=""),"Belopp saknas",IF(OR(D21&lt;-100,E21&lt;-100),"Kommentera varför minuspost","")))</f>
        <v/>
      </c>
      <c r="G21" s="1443"/>
      <c r="H21" s="1444"/>
      <c r="I21" s="1445"/>
      <c r="J21" s="140"/>
      <c r="K21" s="140"/>
      <c r="L21" s="183"/>
      <c r="M21" s="694"/>
      <c r="N21" s="695"/>
      <c r="O21" s="1303"/>
      <c r="P21" s="1310"/>
      <c r="Q21" s="1493"/>
      <c r="R21" s="1493"/>
    </row>
    <row r="22" spans="1:20" ht="14.85" customHeight="1">
      <c r="A22" s="2029" t="s">
        <v>296</v>
      </c>
      <c r="B22" s="2030" t="s">
        <v>624</v>
      </c>
      <c r="C22" s="550" t="s">
        <v>625</v>
      </c>
      <c r="D22" s="53">
        <v>11453.436</v>
      </c>
      <c r="E22" s="679"/>
      <c r="F22" s="1220"/>
      <c r="G22" s="2057" t="s">
        <v>297</v>
      </c>
      <c r="H22" s="2058" t="s">
        <v>731</v>
      </c>
      <c r="I22" s="2059" t="s">
        <v>1</v>
      </c>
      <c r="J22" s="2063">
        <v>2150.9340000000002</v>
      </c>
      <c r="K22" s="140"/>
      <c r="L22" s="4"/>
      <c r="M22" s="694"/>
      <c r="N22" s="695"/>
      <c r="O22" s="1303"/>
      <c r="P22" s="1310"/>
      <c r="Q22" s="1310"/>
      <c r="R22" s="1310"/>
      <c r="S22" s="296"/>
      <c r="T22" s="296"/>
    </row>
    <row r="23" spans="1:20" ht="14.85" customHeight="1">
      <c r="A23" s="2029" t="s">
        <v>281</v>
      </c>
      <c r="B23" s="2030" t="s">
        <v>626</v>
      </c>
      <c r="C23" s="550" t="s">
        <v>627</v>
      </c>
      <c r="D23" s="53">
        <v>141897.40900000001</v>
      </c>
      <c r="E23" s="679"/>
      <c r="F23" s="1221"/>
      <c r="G23" s="1443"/>
      <c r="H23" s="1443"/>
      <c r="I23" s="2061"/>
      <c r="J23" s="140"/>
      <c r="K23" s="140"/>
      <c r="L23" s="4"/>
      <c r="M23" s="694"/>
      <c r="N23" s="695"/>
      <c r="O23" s="1303"/>
      <c r="P23" s="1310"/>
      <c r="Q23" s="1310"/>
      <c r="R23" s="1310"/>
    </row>
    <row r="24" spans="1:20" ht="14.85" customHeight="1">
      <c r="A24" s="2029" t="s">
        <v>299</v>
      </c>
      <c r="B24" s="2030" t="s">
        <v>172</v>
      </c>
      <c r="C24" s="550" t="s">
        <v>1139</v>
      </c>
      <c r="D24" s="184">
        <v>27229.656999999999</v>
      </c>
      <c r="E24" s="679"/>
      <c r="F24" s="1221"/>
      <c r="G24" s="2060" t="s">
        <v>298</v>
      </c>
      <c r="H24" s="664" t="s">
        <v>628</v>
      </c>
      <c r="I24" s="2199" t="s">
        <v>1088</v>
      </c>
      <c r="J24" s="1509">
        <v>14696.751</v>
      </c>
      <c r="K24" s="140"/>
      <c r="M24" s="2065"/>
      <c r="N24" s="2066"/>
      <c r="O24" s="4"/>
      <c r="P24" s="1310"/>
      <c r="Q24" s="1310"/>
      <c r="R24" s="1310"/>
      <c r="S24" s="296"/>
      <c r="T24" s="296"/>
    </row>
    <row r="25" spans="1:20" ht="14.85" customHeight="1">
      <c r="A25" s="2029" t="s">
        <v>307</v>
      </c>
      <c r="B25" s="2030" t="s">
        <v>202</v>
      </c>
      <c r="C25" s="550" t="s">
        <v>479</v>
      </c>
      <c r="D25" s="184">
        <v>26104.522000000001</v>
      </c>
      <c r="E25" s="679"/>
      <c r="F25" s="1221"/>
      <c r="G25" s="704" t="s">
        <v>306</v>
      </c>
      <c r="H25" s="1947" t="s">
        <v>1016</v>
      </c>
      <c r="I25" s="705" t="s">
        <v>1</v>
      </c>
      <c r="J25" s="2208">
        <v>115198.606</v>
      </c>
      <c r="L25" s="4"/>
      <c r="M25" s="694"/>
      <c r="N25" s="695"/>
      <c r="O25" s="1303"/>
      <c r="P25" s="1310"/>
      <c r="Q25" s="1310"/>
      <c r="R25" s="1310"/>
      <c r="S25" s="296"/>
      <c r="T25" s="296"/>
    </row>
    <row r="26" spans="1:20" ht="14.85" customHeight="1">
      <c r="A26" s="2029" t="s">
        <v>943</v>
      </c>
      <c r="B26" s="660" t="s">
        <v>944</v>
      </c>
      <c r="C26" s="571" t="s">
        <v>945</v>
      </c>
      <c r="D26" s="339">
        <f>SUM(D22:D25)</f>
        <v>206685.024</v>
      </c>
      <c r="E26" s="1914">
        <v>124209.296</v>
      </c>
      <c r="F26" s="227" t="str">
        <f>IF(OR(D26=0,E26=""),"Belopp saknas","")</f>
        <v/>
      </c>
      <c r="G26" s="1310"/>
      <c r="H26" s="1310"/>
      <c r="I26" s="1237"/>
      <c r="J26" s="1834"/>
      <c r="K26" s="140"/>
      <c r="L26" s="4"/>
      <c r="M26" s="694"/>
      <c r="N26" s="695"/>
      <c r="O26" s="1303"/>
      <c r="P26" s="1310"/>
      <c r="Q26" s="1310"/>
      <c r="R26" s="1310"/>
      <c r="S26" s="296"/>
      <c r="T26" s="296"/>
    </row>
    <row r="27" spans="1:20" ht="14.85" customHeight="1">
      <c r="A27" s="2029" t="s">
        <v>300</v>
      </c>
      <c r="B27" s="2032" t="s">
        <v>629</v>
      </c>
      <c r="C27" s="2200" t="s">
        <v>1108</v>
      </c>
      <c r="D27" s="184">
        <v>39866.07</v>
      </c>
      <c r="E27" s="679"/>
      <c r="F27" s="1221"/>
      <c r="G27" s="1990"/>
      <c r="H27" s="1507"/>
      <c r="I27" s="145"/>
      <c r="J27" s="140"/>
      <c r="K27" s="1435"/>
      <c r="L27" s="4"/>
      <c r="M27" s="694"/>
      <c r="N27" s="695"/>
      <c r="O27" s="1303"/>
      <c r="P27" s="1310"/>
      <c r="Q27" s="1299"/>
      <c r="R27" s="1310"/>
      <c r="S27" s="296"/>
      <c r="T27" s="296"/>
    </row>
    <row r="28" spans="1:20" ht="14.85" customHeight="1">
      <c r="A28" s="2029" t="s">
        <v>301</v>
      </c>
      <c r="B28" s="2032" t="s">
        <v>630</v>
      </c>
      <c r="C28" s="2200" t="s">
        <v>1115</v>
      </c>
      <c r="D28" s="184">
        <v>14653.924999999999</v>
      </c>
      <c r="E28" s="679"/>
      <c r="F28" s="1221"/>
      <c r="G28" s="1507"/>
      <c r="H28" s="1507"/>
      <c r="I28" s="145"/>
      <c r="K28" s="140"/>
      <c r="L28" s="4"/>
      <c r="M28" s="694"/>
      <c r="N28" s="695"/>
      <c r="O28" s="1303"/>
      <c r="P28" s="1310"/>
      <c r="Q28" s="1299"/>
      <c r="R28" s="1310"/>
    </row>
    <row r="29" spans="1:20" ht="14.85" customHeight="1">
      <c r="A29" s="2029" t="s">
        <v>302</v>
      </c>
      <c r="B29" s="2032" t="s">
        <v>631</v>
      </c>
      <c r="C29" s="555" t="s">
        <v>632</v>
      </c>
      <c r="D29" s="184">
        <v>371.58600000000001</v>
      </c>
      <c r="E29" s="679"/>
      <c r="F29" s="1221"/>
      <c r="G29" s="1990"/>
      <c r="H29" s="1507"/>
      <c r="I29" s="145"/>
      <c r="J29" s="140"/>
      <c r="K29" s="4"/>
      <c r="L29" s="4"/>
      <c r="M29" s="694"/>
      <c r="N29" s="695"/>
      <c r="O29" s="1303"/>
      <c r="P29" s="1310"/>
      <c r="Q29" s="1299"/>
      <c r="R29" s="1310"/>
    </row>
    <row r="30" spans="1:20" ht="14.85" customHeight="1">
      <c r="A30" s="2029" t="s">
        <v>282</v>
      </c>
      <c r="B30" s="660" t="s">
        <v>946</v>
      </c>
      <c r="C30" s="571" t="s">
        <v>1031</v>
      </c>
      <c r="D30" s="339">
        <f>SUM(D27:D29)</f>
        <v>54891.580999999998</v>
      </c>
      <c r="E30" s="188">
        <v>56201.675999999999</v>
      </c>
      <c r="F30" s="227" t="str">
        <f>IF(OR(D27="",D28="",D29=""),"Skriv belopp eller 0 på raderna 053-056 för kommunen",IF(E30="","Skriv belopp eller 0 för koncernen",""))</f>
        <v/>
      </c>
      <c r="G30" s="1507"/>
      <c r="H30" s="1507"/>
      <c r="I30" s="145"/>
      <c r="J30" s="1310"/>
      <c r="K30" s="4"/>
      <c r="L30" s="4"/>
      <c r="M30" s="694"/>
      <c r="N30" s="695"/>
      <c r="O30" s="1303"/>
      <c r="P30" s="1310"/>
      <c r="Q30" s="1493"/>
      <c r="R30" s="1493"/>
    </row>
    <row r="31" spans="1:20" ht="14.85" customHeight="1">
      <c r="A31" s="2029" t="s">
        <v>303</v>
      </c>
      <c r="B31" s="660">
        <v>19</v>
      </c>
      <c r="C31" s="571" t="s">
        <v>1032</v>
      </c>
      <c r="D31" s="184">
        <v>46228.161</v>
      </c>
      <c r="E31" s="188">
        <v>60128.347000000002</v>
      </c>
      <c r="F31" s="227" t="str">
        <f>IF(D31&gt;E31,"konc. &lt; kom.",IF(OR(D31&lt;0,E31&lt;0),"Varför minusbelopp?",IF(OR(D31=0,E31=0),"Belopp saknas","")))</f>
        <v/>
      </c>
      <c r="G31" s="1507"/>
      <c r="H31" s="1507"/>
      <c r="I31" s="145"/>
      <c r="K31" s="4"/>
      <c r="L31" s="4"/>
      <c r="M31" s="694"/>
      <c r="N31" s="695"/>
      <c r="O31" s="1303"/>
      <c r="P31" s="1310"/>
      <c r="Q31" s="1493"/>
      <c r="R31" s="1493"/>
    </row>
    <row r="32" spans="1:20" ht="14.85" customHeight="1" thickBot="1">
      <c r="A32" s="2040" t="s">
        <v>304</v>
      </c>
      <c r="B32" s="666" t="s">
        <v>633</v>
      </c>
      <c r="C32" s="536" t="s">
        <v>1141</v>
      </c>
      <c r="D32" s="342">
        <f>SUM(D21,D26,D30,D31)</f>
        <v>323357.42100000003</v>
      </c>
      <c r="E32" s="343">
        <f>SUM(E21,E26,E30,E31)</f>
        <v>263212.80200000003</v>
      </c>
      <c r="F32" s="1221"/>
      <c r="G32" s="170"/>
      <c r="H32" s="170"/>
      <c r="I32" s="170"/>
      <c r="J32" s="170"/>
      <c r="K32" s="4"/>
      <c r="L32" s="4"/>
      <c r="M32" s="620">
        <f>D32*1000/invanare</f>
        <v>30645.034116280905</v>
      </c>
      <c r="N32" s="627">
        <f>E32*1000/invanare</f>
        <v>24945.044626428691</v>
      </c>
      <c r="O32" s="1247"/>
      <c r="P32" s="1310"/>
      <c r="Q32" s="1493"/>
      <c r="R32" s="1493"/>
    </row>
    <row r="33" spans="1:19" ht="14.85" customHeight="1" thickBot="1">
      <c r="A33" s="2041" t="s">
        <v>283</v>
      </c>
      <c r="B33" s="667" t="s">
        <v>634</v>
      </c>
      <c r="C33" s="668" t="s">
        <v>635</v>
      </c>
      <c r="D33" s="345">
        <f>SUM(D18,D19,D32)</f>
        <v>1487621.6950000001</v>
      </c>
      <c r="E33" s="344">
        <f>SUM(E18,E19,E32)</f>
        <v>2044938.4620000003</v>
      </c>
      <c r="F33" s="1221"/>
      <c r="G33" s="170"/>
      <c r="H33" s="170"/>
      <c r="I33" s="170"/>
      <c r="J33" s="170"/>
      <c r="K33" s="4"/>
      <c r="L33" s="4"/>
      <c r="M33" s="4"/>
      <c r="N33" s="4"/>
      <c r="P33" s="1310"/>
      <c r="Q33" s="1493"/>
      <c r="R33" s="1493"/>
    </row>
    <row r="34" spans="1:19" ht="14.85" customHeight="1">
      <c r="A34" s="1310"/>
      <c r="B34" s="1493"/>
      <c r="C34" s="18"/>
      <c r="D34" s="1281"/>
      <c r="E34" s="1281"/>
      <c r="F34" s="1221"/>
      <c r="G34" s="170"/>
      <c r="H34" s="170"/>
      <c r="I34" s="170"/>
      <c r="J34" s="170"/>
      <c r="K34" s="4"/>
      <c r="L34" s="4"/>
      <c r="M34" s="4"/>
      <c r="N34" s="4"/>
      <c r="P34" s="1310"/>
      <c r="Q34" s="1493"/>
      <c r="R34" s="1493"/>
    </row>
    <row r="35" spans="1:19" ht="14.85" customHeight="1">
      <c r="A35" s="6"/>
      <c r="B35" s="7"/>
      <c r="C35" s="8"/>
      <c r="D35" s="9"/>
      <c r="E35" s="9"/>
      <c r="F35" s="1221"/>
      <c r="G35" s="170"/>
      <c r="H35" s="170"/>
      <c r="I35" s="170"/>
      <c r="J35" s="170"/>
      <c r="K35" s="4"/>
      <c r="L35" s="4"/>
      <c r="M35" s="4"/>
      <c r="N35" s="4"/>
      <c r="Q35" s="1309"/>
      <c r="R35" s="1237"/>
    </row>
    <row r="36" spans="1:19" ht="14.85" customHeight="1" thickBot="1">
      <c r="A36" s="1"/>
      <c r="B36" s="7"/>
      <c r="C36" s="8"/>
      <c r="D36" s="9"/>
      <c r="E36" s="9"/>
      <c r="F36" s="1221"/>
      <c r="G36" s="170"/>
      <c r="H36" s="170"/>
      <c r="I36" s="170"/>
      <c r="J36" s="170"/>
      <c r="K36" s="4"/>
      <c r="L36" s="4"/>
      <c r="M36" s="4"/>
      <c r="N36" s="4"/>
      <c r="Q36" s="1309"/>
      <c r="R36" s="1237"/>
    </row>
    <row r="37" spans="1:19" ht="14.85" customHeight="1">
      <c r="A37" s="650" t="s">
        <v>616</v>
      </c>
      <c r="B37" s="2148" t="str">
        <f>"BAS "&amp;År-2000&amp;""</f>
        <v>BAS 23</v>
      </c>
      <c r="C37" s="708" t="s">
        <v>355</v>
      </c>
      <c r="D37" s="669" t="s">
        <v>609</v>
      </c>
      <c r="E37" s="670" t="s">
        <v>711</v>
      </c>
      <c r="F37" s="1221"/>
      <c r="G37" s="170"/>
      <c r="H37" s="170"/>
      <c r="I37" s="170"/>
      <c r="J37" s="170"/>
      <c r="K37" s="4"/>
      <c r="L37" s="4"/>
      <c r="M37" s="2506" t="s">
        <v>454</v>
      </c>
      <c r="N37" s="2507"/>
      <c r="O37" s="1304"/>
      <c r="P37" s="1237"/>
      <c r="Q37" s="1300"/>
      <c r="R37" s="1493"/>
      <c r="S37" s="1300"/>
    </row>
    <row r="38" spans="1:19" ht="14.85" customHeight="1">
      <c r="A38" s="1488" t="s">
        <v>610</v>
      </c>
      <c r="B38" s="709"/>
      <c r="C38" s="710"/>
      <c r="D38" s="711"/>
      <c r="E38" s="712"/>
      <c r="F38" s="1221"/>
      <c r="G38" s="170"/>
      <c r="H38" s="170"/>
      <c r="I38" s="170"/>
      <c r="J38" s="170"/>
      <c r="K38" s="4"/>
      <c r="L38" s="4"/>
      <c r="M38" s="726" t="s">
        <v>609</v>
      </c>
      <c r="N38" s="727" t="s">
        <v>711</v>
      </c>
      <c r="O38" s="1305"/>
      <c r="P38" s="1237"/>
      <c r="Q38" s="1300"/>
      <c r="R38" s="1493"/>
      <c r="S38" s="1495"/>
    </row>
    <row r="39" spans="1:19" ht="14.85" customHeight="1">
      <c r="A39" s="579" t="s">
        <v>308</v>
      </c>
      <c r="B39" s="662">
        <v>201</v>
      </c>
      <c r="C39" s="550" t="s">
        <v>636</v>
      </c>
      <c r="D39" s="346">
        <v>605865.71100000001</v>
      </c>
      <c r="E39" s="343">
        <v>806342.17</v>
      </c>
      <c r="F39" s="1654"/>
      <c r="G39" s="170"/>
      <c r="H39" s="170"/>
      <c r="I39" s="170"/>
      <c r="J39" s="170"/>
      <c r="K39" s="4"/>
      <c r="L39" s="4"/>
      <c r="M39" s="728"/>
      <c r="N39" s="729"/>
      <c r="O39" s="1281"/>
      <c r="P39" s="1310"/>
      <c r="Q39" s="1310"/>
      <c r="R39" s="1310"/>
      <c r="S39" s="1478"/>
    </row>
    <row r="40" spans="1:19" ht="14.85" customHeight="1">
      <c r="A40" s="579" t="s">
        <v>1054</v>
      </c>
      <c r="B40" s="662" t="s">
        <v>1021</v>
      </c>
      <c r="C40" s="550" t="s">
        <v>1144</v>
      </c>
      <c r="D40" s="1969">
        <v>-1240.509</v>
      </c>
      <c r="E40" s="1970">
        <v>-1382.8710000000001</v>
      </c>
      <c r="F40" s="1222"/>
      <c r="G40" s="170"/>
      <c r="H40" s="170"/>
      <c r="I40" s="170"/>
      <c r="J40" s="170"/>
      <c r="K40" s="4"/>
      <c r="L40" s="4"/>
      <c r="M40" s="728"/>
      <c r="N40" s="729"/>
      <c r="O40" s="1281"/>
      <c r="P40" s="1310"/>
      <c r="Q40" s="1310"/>
      <c r="R40" s="1310"/>
      <c r="S40" s="1968"/>
    </row>
    <row r="41" spans="1:19" ht="14.85" customHeight="1">
      <c r="A41" s="579" t="s">
        <v>309</v>
      </c>
      <c r="B41" s="662">
        <v>202</v>
      </c>
      <c r="C41" s="550" t="s">
        <v>615</v>
      </c>
      <c r="D41" s="97">
        <f>RR!C18</f>
        <v>26305.41200000004</v>
      </c>
      <c r="E41" s="1198">
        <f>RR!D18</f>
        <v>28573.32100000004</v>
      </c>
      <c r="F41" s="227"/>
      <c r="G41" s="4"/>
      <c r="H41" s="4"/>
      <c r="I41" s="4"/>
      <c r="J41" s="4"/>
      <c r="K41" s="4"/>
      <c r="L41" s="4"/>
      <c r="M41" s="728"/>
      <c r="N41" s="729"/>
      <c r="O41" s="1281"/>
      <c r="P41" s="1310"/>
      <c r="Q41" s="1310"/>
      <c r="R41" s="1310"/>
    </row>
    <row r="42" spans="1:19" ht="14.85" customHeight="1">
      <c r="A42" s="581" t="s">
        <v>790</v>
      </c>
      <c r="B42" s="1978"/>
      <c r="C42" s="555" t="s">
        <v>1145</v>
      </c>
      <c r="D42" s="53">
        <v>-34.731000000000002</v>
      </c>
      <c r="E42" s="176">
        <v>-84.537999999999997</v>
      </c>
      <c r="F42" s="227"/>
      <c r="G42" s="4"/>
      <c r="H42" s="4"/>
      <c r="I42" s="4"/>
      <c r="J42" s="4"/>
      <c r="K42" s="4"/>
      <c r="L42" s="4"/>
      <c r="M42" s="728"/>
      <c r="N42" s="729"/>
      <c r="O42" s="1281"/>
      <c r="P42" s="1310"/>
      <c r="Q42" s="1310"/>
      <c r="R42" s="1310"/>
    </row>
    <row r="43" spans="1:19" ht="17.25" customHeight="1">
      <c r="A43" s="581" t="s">
        <v>310</v>
      </c>
      <c r="B43" s="718" t="s">
        <v>815</v>
      </c>
      <c r="C43" s="719" t="s">
        <v>1143</v>
      </c>
      <c r="D43" s="346">
        <f>SUM(D39:D42)</f>
        <v>630895.88300000003</v>
      </c>
      <c r="E43" s="343">
        <f>SUM(E39:E42)</f>
        <v>833448.08200000005</v>
      </c>
      <c r="F43" s="227"/>
      <c r="G43" s="4"/>
      <c r="H43" s="4"/>
      <c r="I43" s="4"/>
      <c r="J43" s="4"/>
      <c r="K43" s="4"/>
      <c r="L43" s="4"/>
      <c r="M43" s="730">
        <f>D43*1000/invanare</f>
        <v>59790.883408722395</v>
      </c>
      <c r="N43" s="618">
        <f>E43*1000/invanare</f>
        <v>78987.038021431028</v>
      </c>
      <c r="O43" s="1281"/>
      <c r="P43" s="1310"/>
      <c r="Q43" s="1493"/>
      <c r="R43" s="1310"/>
    </row>
    <row r="44" spans="1:19" ht="15" customHeight="1" thickBot="1">
      <c r="A44" s="582" t="s">
        <v>789</v>
      </c>
      <c r="B44" s="2090"/>
      <c r="C44" s="1030" t="s">
        <v>1146</v>
      </c>
      <c r="D44" s="2095">
        <v>39158.517999999996</v>
      </c>
      <c r="E44" s="2096">
        <v>38960.067999999999</v>
      </c>
      <c r="F44" s="227"/>
      <c r="G44" s="2193"/>
      <c r="H44" s="2193"/>
      <c r="I44" s="2193"/>
      <c r="J44" s="2193"/>
      <c r="K44" s="2193"/>
      <c r="L44" s="4"/>
      <c r="M44" s="728"/>
      <c r="N44" s="729"/>
      <c r="O44" s="1967"/>
      <c r="P44" s="1310"/>
      <c r="Q44" s="1310"/>
      <c r="R44" s="1310"/>
    </row>
    <row r="45" spans="1:19" ht="18.75" customHeight="1">
      <c r="A45" s="603" t="s">
        <v>311</v>
      </c>
      <c r="B45" s="1391" t="s">
        <v>637</v>
      </c>
      <c r="C45" s="782" t="s">
        <v>798</v>
      </c>
      <c r="D45" s="184">
        <v>55794.841999999997</v>
      </c>
      <c r="E45" s="2119"/>
      <c r="F45" s="227" t="str">
        <f>IF(D45=0,"Varför saknas avsättningar för pensioner?","")</f>
        <v/>
      </c>
      <c r="G45" s="2193"/>
      <c r="H45" s="2193"/>
      <c r="I45" s="2193"/>
      <c r="J45" s="2193"/>
      <c r="K45" s="2193"/>
      <c r="L45" s="4"/>
      <c r="M45" s="1359"/>
      <c r="N45" s="623"/>
      <c r="O45" s="1247"/>
      <c r="P45" s="1310"/>
      <c r="Q45" s="1493"/>
      <c r="R45" s="1493"/>
    </row>
    <row r="46" spans="1:19" ht="14.85" customHeight="1">
      <c r="A46" s="579" t="s">
        <v>312</v>
      </c>
      <c r="B46" s="662" t="s">
        <v>638</v>
      </c>
      <c r="C46" s="550" t="s">
        <v>799</v>
      </c>
      <c r="D46" s="184">
        <v>1841.278</v>
      </c>
      <c r="E46" s="713"/>
      <c r="F46" s="227"/>
      <c r="G46" s="179" t="s">
        <v>982</v>
      </c>
      <c r="H46" s="4"/>
      <c r="I46" s="4"/>
      <c r="J46" s="4"/>
      <c r="K46" s="4"/>
      <c r="L46" s="4"/>
      <c r="M46" s="731"/>
      <c r="N46" s="732"/>
      <c r="O46" s="1247"/>
      <c r="P46" s="1310"/>
      <c r="Q46" s="1310"/>
      <c r="R46" s="1310"/>
    </row>
    <row r="47" spans="1:19" ht="14.85" customHeight="1">
      <c r="A47" s="579" t="s">
        <v>313</v>
      </c>
      <c r="B47" s="714" t="s">
        <v>639</v>
      </c>
      <c r="C47" s="715" t="s">
        <v>744</v>
      </c>
      <c r="D47" s="184">
        <v>14277.013000000001</v>
      </c>
      <c r="E47" s="713"/>
      <c r="F47" s="227" t="str">
        <f>IF(D47=0,"Varför saknas avsättningar för särskild löneskatt pens.?","")</f>
        <v/>
      </c>
      <c r="G47" s="75"/>
      <c r="H47" s="4"/>
      <c r="I47" s="4"/>
      <c r="J47" s="203"/>
      <c r="L47" s="4"/>
      <c r="M47" s="617">
        <f>SUM(D45:D47)*1000/invanare</f>
        <v>6815.307987608071</v>
      </c>
      <c r="N47" s="733"/>
      <c r="O47" s="1247"/>
      <c r="P47" s="1310"/>
      <c r="Q47" s="1310"/>
      <c r="R47" s="1310"/>
    </row>
    <row r="48" spans="1:19" ht="14.85" customHeight="1">
      <c r="A48" s="581" t="s">
        <v>314</v>
      </c>
      <c r="B48" s="2088" t="s">
        <v>640</v>
      </c>
      <c r="C48" s="2089" t="s">
        <v>641</v>
      </c>
      <c r="D48" s="184">
        <v>36125.875</v>
      </c>
      <c r="E48" s="713"/>
      <c r="F48" s="227"/>
      <c r="G48" s="4"/>
      <c r="H48" s="4"/>
      <c r="I48" s="15"/>
      <c r="J48" s="1669" t="s">
        <v>609</v>
      </c>
      <c r="L48" s="1664"/>
      <c r="M48" s="734">
        <f>D48*1000/invanare</f>
        <v>3423.6995966624168</v>
      </c>
      <c r="N48" s="2105"/>
      <c r="O48" s="1247"/>
      <c r="P48" s="1310"/>
      <c r="Q48" s="1310"/>
      <c r="R48" s="1310"/>
    </row>
    <row r="49" spans="1:20" ht="14.85" customHeight="1" thickBot="1">
      <c r="A49" s="1839" t="s">
        <v>315</v>
      </c>
      <c r="B49" s="2094" t="s">
        <v>1094</v>
      </c>
      <c r="C49" s="567" t="s">
        <v>643</v>
      </c>
      <c r="D49" s="2087">
        <f>SUM(D45:D48)</f>
        <v>108039.008</v>
      </c>
      <c r="E49" s="2111">
        <v>152634.18400000001</v>
      </c>
      <c r="F49" s="227" t="str">
        <f>IF((D49-E49)&gt;1,"konc. &lt; komm.",IF(OR(D49=0,E49=0),"Belopp saknas",""))</f>
        <v/>
      </c>
      <c r="G49" s="696" t="s">
        <v>284</v>
      </c>
      <c r="H49" s="697" t="s">
        <v>642</v>
      </c>
      <c r="I49" s="1660" t="s">
        <v>1148</v>
      </c>
      <c r="J49" s="1663">
        <v>3382.88</v>
      </c>
      <c r="K49" s="1659"/>
      <c r="L49" s="1810"/>
      <c r="M49" s="617">
        <f>D49*1000/invanare</f>
        <v>10239.007584270488</v>
      </c>
      <c r="N49" s="2103">
        <f>E49*1000/invanare</f>
        <v>14465.354657781911</v>
      </c>
      <c r="O49" s="1247"/>
      <c r="P49" s="1310"/>
      <c r="Q49" s="1310"/>
      <c r="R49" s="1310"/>
      <c r="S49" s="296"/>
      <c r="T49" s="296"/>
    </row>
    <row r="50" spans="1:20" ht="14.85" customHeight="1">
      <c r="A50" s="2194" t="s">
        <v>1101</v>
      </c>
      <c r="B50" s="2196" t="s">
        <v>1095</v>
      </c>
      <c r="C50" s="2201" t="s">
        <v>1096</v>
      </c>
      <c r="D50" s="2091">
        <v>124150.67200000001</v>
      </c>
      <c r="E50" s="2092">
        <v>127945.72500000001</v>
      </c>
      <c r="F50" s="2093" t="str">
        <f>IF(D50&gt;E50,"konc. &lt; komm.",IF(OR(D50="",E50=""),"Skriv belopp eller 0",""))</f>
        <v/>
      </c>
      <c r="G50" s="1380" t="s">
        <v>947</v>
      </c>
      <c r="H50" s="1381" t="s">
        <v>989</v>
      </c>
      <c r="I50" s="1660" t="s">
        <v>1149</v>
      </c>
      <c r="J50" s="1663">
        <v>26714.843000000001</v>
      </c>
      <c r="K50" s="1659"/>
      <c r="M50" s="692"/>
      <c r="N50" s="2104"/>
      <c r="O50" s="2102"/>
      <c r="P50" s="1310"/>
      <c r="Q50" s="1493"/>
      <c r="R50" s="1493"/>
    </row>
    <row r="51" spans="1:20" ht="14.85" customHeight="1">
      <c r="A51" s="581" t="s">
        <v>316</v>
      </c>
      <c r="B51" s="2197" t="s">
        <v>1121</v>
      </c>
      <c r="C51" s="2201" t="s">
        <v>1142</v>
      </c>
      <c r="D51" s="184">
        <v>268719.33899999998</v>
      </c>
      <c r="E51" s="1914">
        <v>513053.23</v>
      </c>
      <c r="F51" s="227" t="str">
        <f>IF(D51&gt;E51,"konc. &lt; komm.",IF(OR(D51="",E51=""),"Skriv belopp eller 0",""))</f>
        <v/>
      </c>
      <c r="G51" s="181"/>
      <c r="H51" s="4"/>
      <c r="I51" s="170"/>
      <c r="J51" s="140"/>
      <c r="K51" s="170"/>
      <c r="L51" s="1810"/>
      <c r="M51" s="731"/>
      <c r="N51" s="732"/>
      <c r="O51" s="1247"/>
      <c r="P51" s="1310"/>
      <c r="Q51" s="1310"/>
      <c r="R51" s="1310"/>
    </row>
    <row r="52" spans="1:20" ht="14.85" customHeight="1">
      <c r="A52" s="579" t="s">
        <v>317</v>
      </c>
      <c r="B52" s="2197" t="s">
        <v>1122</v>
      </c>
      <c r="C52" s="2201" t="s">
        <v>1123</v>
      </c>
      <c r="D52" s="184">
        <v>18789.394</v>
      </c>
      <c r="E52" s="1657">
        <v>19344.239000000001</v>
      </c>
      <c r="F52" s="227" t="str">
        <f>IF(OR(D52="",E52=""),"Skriv belopp eller 0","")</f>
        <v/>
      </c>
      <c r="G52" s="181"/>
      <c r="H52" s="4"/>
      <c r="I52" s="170"/>
      <c r="J52" s="213"/>
      <c r="K52" s="1666"/>
      <c r="L52" s="1810"/>
      <c r="M52" s="731"/>
      <c r="N52" s="732"/>
      <c r="O52" s="1247"/>
      <c r="P52" s="1310"/>
      <c r="Q52" s="1310"/>
      <c r="R52" s="1310"/>
    </row>
    <row r="53" spans="1:20" ht="14.85" customHeight="1">
      <c r="A53" s="579" t="s">
        <v>318</v>
      </c>
      <c r="B53" s="662">
        <v>236</v>
      </c>
      <c r="C53" s="550" t="s">
        <v>644</v>
      </c>
      <c r="D53" s="184">
        <v>4412.6959999999999</v>
      </c>
      <c r="E53" s="713"/>
      <c r="F53" s="1221"/>
      <c r="G53" s="181"/>
      <c r="H53" s="4"/>
      <c r="I53" s="1667"/>
      <c r="J53" s="1661" t="s">
        <v>609</v>
      </c>
      <c r="K53" s="1662" t="s">
        <v>711</v>
      </c>
      <c r="L53" s="197"/>
      <c r="M53" s="731"/>
      <c r="N53" s="732"/>
      <c r="O53" s="1247"/>
      <c r="P53" s="1310"/>
      <c r="Q53" s="1310"/>
      <c r="R53" s="1310"/>
    </row>
    <row r="54" spans="1:20" ht="14.85" customHeight="1">
      <c r="A54" s="579" t="s">
        <v>319</v>
      </c>
      <c r="B54" s="662" t="s">
        <v>767</v>
      </c>
      <c r="C54" s="550" t="s">
        <v>993</v>
      </c>
      <c r="D54" s="189">
        <v>8515.7530000000006</v>
      </c>
      <c r="E54" s="1657">
        <v>23340.383000000002</v>
      </c>
      <c r="F54" s="227" t="str">
        <f>IF(OR(D54="",E54=""),"Skriv belopp eller 0","")</f>
        <v/>
      </c>
      <c r="G54" s="1380" t="s">
        <v>948</v>
      </c>
      <c r="H54" s="2203" t="s">
        <v>987</v>
      </c>
      <c r="I54" s="2205" t="s">
        <v>1150</v>
      </c>
      <c r="J54" s="1663">
        <v>16124.644</v>
      </c>
      <c r="K54" s="1663">
        <v>18365.305</v>
      </c>
      <c r="L54" s="1810"/>
      <c r="M54" s="692"/>
      <c r="N54" s="732"/>
      <c r="O54" s="1247"/>
      <c r="P54" s="1310"/>
      <c r="Q54" s="1310"/>
      <c r="R54" s="1310"/>
      <c r="S54" s="1237"/>
      <c r="T54" s="1237"/>
    </row>
    <row r="55" spans="1:20" ht="19.5" customHeight="1">
      <c r="A55" s="579" t="s">
        <v>788</v>
      </c>
      <c r="B55" s="662" t="s">
        <v>766</v>
      </c>
      <c r="C55" s="587" t="s">
        <v>1064</v>
      </c>
      <c r="D55" s="189">
        <v>32656.074000000001</v>
      </c>
      <c r="E55" s="1657">
        <v>38919.527000000002</v>
      </c>
      <c r="F55" s="227" t="str">
        <f>IF(D55&gt;E55,"konc. &lt; komm.",IF(OR(D55="",E55=""),"Skriv belopp eller 0",""))</f>
        <v/>
      </c>
      <c r="G55" s="1668"/>
      <c r="H55" s="1668"/>
      <c r="I55" s="1445"/>
      <c r="J55" s="140" t="str">
        <f>IF(AND(D55=0,J54=0),"",IF(SUM(J54)&gt;D55,"Däravrad 132 &gt; rad 087",IF(AND(D55&gt;10,J54=""),"Rad 132: skriv belopp eller 0","")))</f>
        <v/>
      </c>
      <c r="K55" s="140" t="str">
        <f>IF(AND(E55=0,K54=0),"",IF(SUM(K54)&gt;E55,"Däravrad 132 &gt; rad 087",IF(AND(E55&gt;10,K54=""),"Rad 132: skriv belopp eller 0",IF(J54&gt;K54,"konc.&lt;kommun",""))))</f>
        <v/>
      </c>
      <c r="L55" s="183"/>
      <c r="M55" s="692"/>
      <c r="N55" s="732"/>
      <c r="O55" s="1247"/>
      <c r="P55" s="1310"/>
      <c r="Q55" s="1310"/>
      <c r="R55" s="1310"/>
      <c r="S55" s="1237"/>
      <c r="T55" s="1237"/>
    </row>
    <row r="56" spans="1:20" ht="14.85" customHeight="1">
      <c r="A56" s="579" t="s">
        <v>320</v>
      </c>
      <c r="B56" s="663" t="s">
        <v>645</v>
      </c>
      <c r="C56" s="605" t="s">
        <v>646</v>
      </c>
      <c r="D56" s="190">
        <v>53762.025999999998</v>
      </c>
      <c r="E56" s="1657">
        <v>21402.919000000002</v>
      </c>
      <c r="F56" s="227"/>
      <c r="G56" s="1383" t="s">
        <v>949</v>
      </c>
      <c r="H56" s="1384" t="s">
        <v>988</v>
      </c>
      <c r="I56" s="2206" t="s">
        <v>1151</v>
      </c>
      <c r="J56" s="1853">
        <v>99948.498000000007</v>
      </c>
      <c r="K56" s="1854">
        <v>102940.808</v>
      </c>
      <c r="L56" s="1222" t="str">
        <f>IF(AND(D57=0,J56=0,E57=0,K56=0),"",IF(SUM(J56)&gt;D57,"Däravrad 133 &gt; rad 089",IF(AND(D57&gt;10,J56=""),"Rad 133,kommun: skriv belopp eller 0",IF(AND(E57=0,K56=0),"",IF(SUM(K56)&gt;E57,"Koncern:Däravrad 133&gt;rad 089",IF(AND(E57&gt;10,K56=""),"Rad 133,koncern:skriv belopp eller 0",""))))))</f>
        <v/>
      </c>
      <c r="M56" s="692"/>
      <c r="N56" s="732"/>
      <c r="O56" s="1247"/>
      <c r="P56" s="1310"/>
      <c r="Q56" s="1299"/>
      <c r="R56" s="1310"/>
      <c r="S56" s="1237"/>
      <c r="T56" s="1237"/>
    </row>
    <row r="57" spans="1:20" ht="14.85" customHeight="1" thickBot="1">
      <c r="A57" s="583" t="s">
        <v>321</v>
      </c>
      <c r="B57" s="716">
        <v>23</v>
      </c>
      <c r="C57" s="567" t="s">
        <v>647</v>
      </c>
      <c r="D57" s="342">
        <f>SUM(D50:D56)</f>
        <v>511005.95400000009</v>
      </c>
      <c r="E57" s="2470">
        <f>SUM(E50:E52,E54:E56)</f>
        <v>744006.02299999993</v>
      </c>
      <c r="F57" s="2093"/>
      <c r="G57" s="1839" t="s">
        <v>339</v>
      </c>
      <c r="H57" s="1843" t="s">
        <v>988</v>
      </c>
      <c r="I57" s="1840" t="s">
        <v>1156</v>
      </c>
      <c r="J57" s="1795">
        <v>191775.56700000001</v>
      </c>
      <c r="K57" s="1860"/>
      <c r="L57" s="1222" t="str">
        <f>IF(AND(D57=0,J57=0),"",IF(SUM(J57)&gt;D57,"Däravrad 088 &gt; rad 089",IF(AND(D57&gt;10,J57=""),"Rad 088,kommun: skriv belopp eller 0","")))</f>
        <v/>
      </c>
      <c r="M57" s="617">
        <f>D57*1000/invanare</f>
        <v>48428.747500285979</v>
      </c>
      <c r="N57" s="618">
        <f>E57*1000/invanare</f>
        <v>70510.489250696584</v>
      </c>
      <c r="O57" s="1247"/>
      <c r="P57" s="1310"/>
      <c r="Q57" s="1493"/>
      <c r="R57" s="1493"/>
    </row>
    <row r="58" spans="1:20" ht="18" customHeight="1">
      <c r="A58" s="579" t="s">
        <v>322</v>
      </c>
      <c r="B58" s="717" t="s">
        <v>648</v>
      </c>
      <c r="C58" s="550" t="s">
        <v>649</v>
      </c>
      <c r="D58" s="184">
        <v>98586.406000000003</v>
      </c>
      <c r="E58" s="713"/>
      <c r="F58" s="227"/>
      <c r="G58" s="1251" t="s">
        <v>324</v>
      </c>
      <c r="H58" s="2012" t="s">
        <v>715</v>
      </c>
      <c r="I58" s="2149" t="s">
        <v>1152</v>
      </c>
      <c r="J58" s="2013">
        <v>21112.124</v>
      </c>
      <c r="K58" s="1844" t="s">
        <v>992</v>
      </c>
      <c r="L58" s="140" t="str">
        <f>IF(AND(D58=0,J58=0),"",IF(SUM(J58)&gt;D58,"Däravrad 091 &gt; rad 090",IF(AND(D58&gt;10,J58=""),"Rad 091: skriv belopp eller 0","")))</f>
        <v/>
      </c>
      <c r="M58" s="731"/>
      <c r="N58" s="732"/>
      <c r="O58" s="1247"/>
      <c r="P58" s="1310"/>
      <c r="Q58" s="1299"/>
      <c r="R58" s="1310"/>
      <c r="S58" s="296"/>
      <c r="T58" s="296"/>
    </row>
    <row r="59" spans="1:20" ht="14.85" customHeight="1">
      <c r="A59" s="579" t="s">
        <v>323</v>
      </c>
      <c r="B59" s="663" t="s">
        <v>650</v>
      </c>
      <c r="C59" s="555" t="s">
        <v>651</v>
      </c>
      <c r="D59" s="184">
        <v>41698.046000000002</v>
      </c>
      <c r="E59" s="713"/>
      <c r="F59" s="1221"/>
      <c r="G59" s="1380" t="s">
        <v>950</v>
      </c>
      <c r="H59" s="2107" t="s">
        <v>951</v>
      </c>
      <c r="I59" s="2108" t="s">
        <v>1153</v>
      </c>
      <c r="J59" s="2109">
        <v>44991.722999999998</v>
      </c>
      <c r="K59" s="1977" t="s">
        <v>991</v>
      </c>
      <c r="L59" s="1645" t="str">
        <f>IF(AND(D58=0,J59=0),"",IF(SUM(J59)&gt;D58,"Däravrad 134 &gt; rad 090",IF(J59="","skriv belopp eller 0","")))</f>
        <v/>
      </c>
      <c r="M59" s="731"/>
      <c r="N59" s="732"/>
      <c r="O59" s="1247"/>
      <c r="P59" s="1310"/>
      <c r="Q59" s="1299"/>
      <c r="R59" s="1310"/>
      <c r="S59" s="296"/>
      <c r="T59" s="296"/>
    </row>
    <row r="60" spans="1:20" ht="14.85" customHeight="1" thickBot="1">
      <c r="A60" s="579" t="s">
        <v>340</v>
      </c>
      <c r="B60" s="663">
        <v>271</v>
      </c>
      <c r="C60" s="555" t="s">
        <v>10</v>
      </c>
      <c r="D60" s="184">
        <v>6435.5110000000004</v>
      </c>
      <c r="E60" s="713"/>
      <c r="F60" s="1221"/>
      <c r="G60" s="2110" t="s">
        <v>2</v>
      </c>
      <c r="H60" s="2204" t="s">
        <v>1089</v>
      </c>
      <c r="I60" s="2207" t="s">
        <v>1155</v>
      </c>
      <c r="J60" s="2472">
        <v>32128.219000000001</v>
      </c>
      <c r="K60" s="1977"/>
      <c r="L60" s="1645" t="str">
        <f>IF(AND(D58=0,J60=0),"",IF(SUM(J60)&gt;D58,"Däravrad 135 &gt; rad 090",IF(J59="","skriv belopp eller 0","")))</f>
        <v/>
      </c>
      <c r="M60" s="731"/>
      <c r="N60" s="732"/>
      <c r="O60" s="1247"/>
      <c r="P60" s="1310"/>
      <c r="Q60" s="1299"/>
      <c r="R60" s="1310"/>
    </row>
    <row r="61" spans="1:20" ht="14.85" customHeight="1">
      <c r="A61" s="2195" t="s">
        <v>1129</v>
      </c>
      <c r="B61" s="2198">
        <v>272</v>
      </c>
      <c r="C61" s="2200" t="s">
        <v>1124</v>
      </c>
      <c r="D61" s="2126">
        <v>8170.7969999999996</v>
      </c>
      <c r="E61" s="2127"/>
      <c r="F61" s="227" t="str">
        <f>IF(D61&lt;&gt;0,"","Belopp saknas för kommunen")</f>
        <v/>
      </c>
      <c r="G61" s="704" t="s">
        <v>325</v>
      </c>
      <c r="H61" s="1379" t="s">
        <v>732</v>
      </c>
      <c r="I61" s="2150" t="s">
        <v>1154</v>
      </c>
      <c r="J61" s="2013">
        <v>4462.4920000000002</v>
      </c>
      <c r="K61" s="2138"/>
      <c r="L61" s="1645" t="str">
        <f>IF(AND(D59=0,J61=0),"",IF(SUM(J61)&gt;D59,"Däravrad 092 &gt; rad 086",IF(J61="","skriv belopp eller 0","")))</f>
        <v/>
      </c>
      <c r="M61" s="731"/>
      <c r="N61" s="732"/>
      <c r="O61" s="1247"/>
      <c r="P61" s="1310"/>
      <c r="Q61" s="1299"/>
      <c r="R61" s="1310"/>
    </row>
    <row r="62" spans="1:20" ht="14.85" customHeight="1">
      <c r="A62" s="579" t="s">
        <v>326</v>
      </c>
      <c r="B62" s="663">
        <v>281</v>
      </c>
      <c r="C62" s="555" t="s">
        <v>1087</v>
      </c>
      <c r="D62" s="191">
        <v>4432.2730000000001</v>
      </c>
      <c r="E62" s="724"/>
      <c r="F62" s="1221"/>
      <c r="J62" s="2137"/>
      <c r="K62" s="2136"/>
      <c r="L62" s="1222"/>
      <c r="M62" s="731"/>
      <c r="N62" s="693"/>
      <c r="O62" s="1247"/>
      <c r="P62" s="1310"/>
      <c r="Q62" s="1299"/>
      <c r="R62" s="1310"/>
    </row>
    <row r="63" spans="1:20" ht="14.85" customHeight="1">
      <c r="A63" s="579" t="s">
        <v>327</v>
      </c>
      <c r="B63" s="663" t="s">
        <v>652</v>
      </c>
      <c r="C63" s="555" t="s">
        <v>653</v>
      </c>
      <c r="D63" s="190">
        <v>19240.887999999999</v>
      </c>
      <c r="E63" s="725"/>
      <c r="F63" s="227" t="str">
        <f>IF(D63&lt;&gt;0,"","Belopp saknas för kommunen")</f>
        <v/>
      </c>
      <c r="G63" s="4"/>
      <c r="H63" s="11"/>
      <c r="I63" s="170"/>
      <c r="J63" s="1669" t="s">
        <v>609</v>
      </c>
      <c r="K63" s="1647"/>
      <c r="L63" s="197"/>
      <c r="M63" s="731"/>
      <c r="N63" s="693"/>
      <c r="O63" s="1247"/>
      <c r="P63" s="1310"/>
      <c r="Q63" s="1299"/>
      <c r="R63" s="1310"/>
    </row>
    <row r="64" spans="1:20" ht="14.85" customHeight="1">
      <c r="A64" s="579" t="s">
        <v>805</v>
      </c>
      <c r="B64" s="663">
        <v>293</v>
      </c>
      <c r="C64" s="555" t="s">
        <v>768</v>
      </c>
      <c r="D64" s="189">
        <v>11972.404</v>
      </c>
      <c r="E64" s="723"/>
      <c r="F64" s="227" t="str">
        <f>IF(D64&lt;&gt;0,"","Belopp saknas för kommunen")</f>
        <v/>
      </c>
      <c r="G64" s="1380" t="s">
        <v>328</v>
      </c>
      <c r="H64" s="1381" t="s">
        <v>654</v>
      </c>
      <c r="I64" s="1660" t="s">
        <v>1157</v>
      </c>
      <c r="J64" s="1663">
        <v>4447.9849999999997</v>
      </c>
      <c r="K64" s="170"/>
      <c r="L64" s="197"/>
      <c r="M64" s="731"/>
      <c r="N64" s="693"/>
      <c r="O64" s="1247"/>
      <c r="P64" s="1310"/>
      <c r="Q64" s="1299"/>
      <c r="R64" s="1310"/>
      <c r="S64" s="296"/>
    </row>
    <row r="65" spans="1:19" ht="14.85" customHeight="1">
      <c r="A65" s="579" t="s">
        <v>329</v>
      </c>
      <c r="B65" s="663" t="s">
        <v>655</v>
      </c>
      <c r="C65" s="555" t="s">
        <v>745</v>
      </c>
      <c r="D65" s="189">
        <v>12266.950999999999</v>
      </c>
      <c r="E65" s="723"/>
      <c r="F65" s="227" t="str">
        <f>IF(D65&lt;&gt;0,"","Belopp saknas för kommunen")</f>
        <v/>
      </c>
      <c r="J65" s="2139" t="str">
        <f>IF(AND(D64=0,J64=0),"",IF(SUM(J64)&gt;D64,"Däravrad 095 &gt; rad 104",IF(J64="","skriv belopp eller 0","")))</f>
        <v/>
      </c>
      <c r="K65" s="1435"/>
      <c r="L65" s="1645"/>
      <c r="M65" s="731"/>
      <c r="N65" s="693"/>
      <c r="O65" s="1247"/>
      <c r="P65" s="1310"/>
      <c r="Q65" s="1299"/>
      <c r="R65" s="1310"/>
    </row>
    <row r="66" spans="1:19" ht="14.85" customHeight="1">
      <c r="A66" s="579" t="s">
        <v>442</v>
      </c>
      <c r="B66" s="663" t="s">
        <v>11</v>
      </c>
      <c r="C66" s="555" t="s">
        <v>12</v>
      </c>
      <c r="D66" s="189">
        <v>185.58099999999999</v>
      </c>
      <c r="E66" s="723"/>
      <c r="F66" s="1221"/>
      <c r="G66" s="4"/>
      <c r="H66" s="4"/>
      <c r="I66" s="4"/>
      <c r="J66" s="140"/>
      <c r="K66" s="140"/>
      <c r="L66" s="197"/>
      <c r="M66" s="731"/>
      <c r="N66" s="693"/>
      <c r="O66" s="1247"/>
      <c r="P66" s="1310"/>
      <c r="Q66" s="1299"/>
      <c r="R66" s="1310"/>
    </row>
    <row r="67" spans="1:19" ht="14.85" customHeight="1">
      <c r="A67" s="579" t="s">
        <v>330</v>
      </c>
      <c r="B67" s="662" t="s">
        <v>656</v>
      </c>
      <c r="C67" s="550" t="s">
        <v>658</v>
      </c>
      <c r="D67" s="189">
        <v>34692.218999999997</v>
      </c>
      <c r="E67" s="723"/>
      <c r="F67" s="1221"/>
      <c r="G67" s="4"/>
      <c r="H67" s="182"/>
      <c r="I67" s="4"/>
      <c r="J67" s="180"/>
      <c r="K67" s="1669" t="s">
        <v>711</v>
      </c>
      <c r="L67" s="197"/>
      <c r="M67" s="731"/>
      <c r="N67" s="693"/>
      <c r="O67" s="1247"/>
      <c r="P67" s="1310"/>
      <c r="Q67" s="1310"/>
      <c r="R67" s="1310"/>
    </row>
    <row r="68" spans="1:19" ht="14.85" customHeight="1" thickBot="1">
      <c r="A68" s="581" t="s">
        <v>331</v>
      </c>
      <c r="B68" s="718" t="s">
        <v>659</v>
      </c>
      <c r="C68" s="719" t="s">
        <v>660</v>
      </c>
      <c r="D68" s="346">
        <f>SUM(D58:D67)</f>
        <v>237681.076</v>
      </c>
      <c r="E68" s="187">
        <v>314850.402</v>
      </c>
      <c r="F68" s="227" t="str">
        <f>IF(E68="","Skriv belopp eller 0 för koncernen","")</f>
        <v/>
      </c>
      <c r="G68" s="696" t="s">
        <v>322</v>
      </c>
      <c r="H68" s="2151">
        <v>24</v>
      </c>
      <c r="I68" s="1981" t="s">
        <v>1159</v>
      </c>
      <c r="J68" s="1982"/>
      <c r="K68" s="1851">
        <v>100937.442</v>
      </c>
      <c r="L68" s="1645" t="str">
        <f>IF(AND(E68=0,K68=0),"",IF(SUM(K68)&gt;E68,"Därav-rad 090&gt;rad 098 (Excel K68&gt;E68)",IF(AND(E68&gt;100,K68=""),"Rad 090: skriv belopp eller 0","")))</f>
        <v/>
      </c>
      <c r="M68" s="735">
        <f>D68*1000/invanare</f>
        <v>22525.367317344957</v>
      </c>
      <c r="N68" s="736">
        <f>E68*1000/invanare</f>
        <v>29838.812051926761</v>
      </c>
      <c r="O68" s="1247"/>
      <c r="P68" s="1310"/>
      <c r="Q68" s="1493"/>
      <c r="R68" s="1493"/>
    </row>
    <row r="69" spans="1:19" ht="14.25" customHeight="1" thickBot="1">
      <c r="A69" s="572" t="s">
        <v>332</v>
      </c>
      <c r="B69" s="666" t="s">
        <v>661</v>
      </c>
      <c r="C69" s="536" t="s">
        <v>662</v>
      </c>
      <c r="D69" s="335">
        <f>SUM(D57,D68)</f>
        <v>748687.03</v>
      </c>
      <c r="E69" s="347">
        <f>SUM(E57,E68)</f>
        <v>1058856.4249999998</v>
      </c>
      <c r="F69" s="1221"/>
      <c r="G69" s="1380" t="s">
        <v>950</v>
      </c>
      <c r="H69" s="1880" t="s">
        <v>951</v>
      </c>
      <c r="I69" s="1842" t="s">
        <v>1158</v>
      </c>
      <c r="J69" s="1841"/>
      <c r="K69" s="1852">
        <v>75585.774000000005</v>
      </c>
      <c r="L69" s="1645" t="str">
        <f>IF(AND(K68=0,K69=0),"",IF(SUM(K69)&gt;K68,"Varav-rad 134&gt;rad 090",IF(AND(K68&gt;100,K69=""),"Rad 134, skriv belopp eller 0","")))</f>
        <v/>
      </c>
      <c r="M69" s="1247"/>
      <c r="N69" s="1247"/>
      <c r="O69" s="1247"/>
      <c r="P69" s="1310"/>
      <c r="Q69" s="1493"/>
      <c r="R69" s="1493"/>
    </row>
    <row r="70" spans="1:19" ht="14.85" customHeight="1" thickBot="1">
      <c r="A70" s="720">
        <v>100</v>
      </c>
      <c r="B70" s="721" t="s">
        <v>663</v>
      </c>
      <c r="C70" s="722" t="s">
        <v>1147</v>
      </c>
      <c r="D70" s="348">
        <f>SUM(D43,D49,D57,D68)</f>
        <v>1487621.9210000001</v>
      </c>
      <c r="E70" s="344">
        <f>SUM(E43,E49,E57,E68)</f>
        <v>2044938.6909999999</v>
      </c>
      <c r="F70" s="1221"/>
      <c r="G70" s="4"/>
      <c r="H70" s="183"/>
      <c r="I70" s="4"/>
      <c r="J70" s="1645"/>
      <c r="K70" s="1645"/>
      <c r="L70" s="1645"/>
      <c r="M70" s="66"/>
      <c r="N70" s="66"/>
      <c r="O70" s="215"/>
      <c r="P70" s="1310"/>
      <c r="Q70" s="1493"/>
      <c r="R70" s="1493"/>
    </row>
    <row r="71" spans="1:19">
      <c r="A71" s="1316" t="s">
        <v>1125</v>
      </c>
      <c r="B71" s="143"/>
      <c r="C71" s="145"/>
      <c r="D71" s="12"/>
      <c r="E71" s="12"/>
      <c r="F71" s="1221"/>
      <c r="G71" s="738" t="s">
        <v>522</v>
      </c>
      <c r="H71" s="739"/>
      <c r="I71" s="739"/>
      <c r="J71" s="740"/>
      <c r="L71" s="197"/>
      <c r="M71" s="621">
        <f>J57*1000/invanare</f>
        <v>18174.838156518181</v>
      </c>
      <c r="N71" s="737"/>
      <c r="O71" s="1281"/>
      <c r="P71" s="1496"/>
      <c r="Q71" s="1497"/>
      <c r="R71" s="1497"/>
    </row>
    <row r="72" spans="1:19">
      <c r="A72" s="1316"/>
      <c r="B72" s="143"/>
      <c r="C72" s="145"/>
      <c r="D72" s="12"/>
      <c r="E72" s="12"/>
      <c r="F72" s="1221"/>
      <c r="G72" s="741" t="s">
        <v>518</v>
      </c>
      <c r="H72" s="742"/>
      <c r="I72" s="742"/>
      <c r="J72" s="743"/>
      <c r="L72" s="197"/>
      <c r="M72" s="1809">
        <f>SUM(D57-J57)*1000/invanare</f>
        <v>30253.909343767802</v>
      </c>
      <c r="N72" s="689"/>
      <c r="O72" s="1281"/>
      <c r="Q72" s="2514"/>
      <c r="R72" s="2514"/>
      <c r="S72" s="2514"/>
    </row>
    <row r="73" spans="1:19" ht="15" customHeight="1">
      <c r="A73" s="169"/>
      <c r="B73" s="10"/>
      <c r="C73" s="8"/>
      <c r="D73" s="12"/>
      <c r="E73" s="12"/>
      <c r="F73" s="1221"/>
      <c r="G73" s="744" t="s">
        <v>516</v>
      </c>
      <c r="H73" s="745"/>
      <c r="I73" s="745"/>
      <c r="J73" s="743"/>
      <c r="M73" s="617">
        <f>IF(D33=0,"",D43*100/D33)</f>
        <v>42.409698992726774</v>
      </c>
      <c r="N73" s="618">
        <f>IF(E33=0,"",E43*100/E33)</f>
        <v>40.756633878599324</v>
      </c>
      <c r="O73" s="1247"/>
      <c r="Q73" s="2514"/>
      <c r="R73" s="2514"/>
      <c r="S73" s="2514"/>
    </row>
    <row r="74" spans="1:19" ht="18" customHeight="1" thickBot="1">
      <c r="A74" s="1996" t="s">
        <v>726</v>
      </c>
      <c r="D74" s="12"/>
      <c r="E74" s="12"/>
      <c r="F74" s="1221"/>
      <c r="G74" s="2508" t="s">
        <v>517</v>
      </c>
      <c r="H74" s="2509"/>
      <c r="I74" s="2509"/>
      <c r="J74" s="2510"/>
      <c r="K74" s="281"/>
      <c r="L74" s="169"/>
      <c r="M74" s="620">
        <f>IF(D33=0,"",(D43-E80)*100/D33)</f>
        <v>31.303917895604503</v>
      </c>
      <c r="N74" s="736">
        <f>IF(E33=0,"",(E43-E80)*100/E33)</f>
        <v>32.677563917813387</v>
      </c>
      <c r="O74" s="1247"/>
      <c r="Q74" s="143"/>
      <c r="R74" s="143"/>
    </row>
    <row r="75" spans="1:19" ht="27">
      <c r="A75" s="2129" t="s">
        <v>1128</v>
      </c>
      <c r="B75" s="1991" t="s">
        <v>608</v>
      </c>
      <c r="C75" s="1992"/>
      <c r="D75" s="2130" t="str">
        <f>"Kommunen  "&amp;År-1&amp;"  "</f>
        <v xml:space="preserve">Kommunen  2022  </v>
      </c>
      <c r="E75" s="2471" t="s">
        <v>1220</v>
      </c>
      <c r="F75" s="1221"/>
      <c r="G75" s="4"/>
      <c r="H75" s="4"/>
      <c r="I75" s="4"/>
      <c r="J75" s="4"/>
      <c r="K75" s="4"/>
      <c r="L75" s="169"/>
      <c r="M75" s="746" t="str">
        <f>"Föränd. %  "&amp;År-1&amp;" - "&amp;År&amp;" "</f>
        <v xml:space="preserve">Föränd. %  2022 - 2023 </v>
      </c>
      <c r="N75" s="746" t="s">
        <v>1127</v>
      </c>
    </row>
    <row r="76" spans="1:19" ht="17.25" customHeight="1">
      <c r="A76" s="579" t="s">
        <v>334</v>
      </c>
      <c r="B76" s="751" t="s">
        <v>664</v>
      </c>
      <c r="C76" s="1993"/>
      <c r="D76" s="752">
        <v>153579.12599999999</v>
      </c>
      <c r="E76" s="1438">
        <v>153961.99799999999</v>
      </c>
      <c r="F76" s="1847"/>
      <c r="G76" s="4"/>
      <c r="H76" s="4"/>
      <c r="I76" s="4"/>
      <c r="J76" s="4"/>
      <c r="K76" s="4"/>
      <c r="L76" s="4"/>
      <c r="M76" s="747">
        <f t="shared" ref="M76:M81" si="0">IF(AND(D76=0,E76=0),"",IF(E76=0,1,IF(D76=0,-1,E76/D76-1)))</f>
        <v>2.4929950441312521E-3</v>
      </c>
      <c r="N76" s="748">
        <f t="shared" ref="N76:N81" si="1">E76*1000/invanare</f>
        <v>14591.193443866476</v>
      </c>
      <c r="O76" s="1306"/>
      <c r="Q76" s="1237"/>
      <c r="R76" s="1237"/>
    </row>
    <row r="77" spans="1:19" ht="15.75" customHeight="1">
      <c r="A77" s="579" t="s">
        <v>335</v>
      </c>
      <c r="B77" s="2199" t="s">
        <v>1160</v>
      </c>
      <c r="C77" s="2202"/>
      <c r="D77" s="754">
        <v>6031.0420000000004</v>
      </c>
      <c r="E77" s="98">
        <v>5262.0379999999996</v>
      </c>
      <c r="F77" s="1847"/>
      <c r="G77" s="4"/>
      <c r="H77" s="4"/>
      <c r="I77" s="4"/>
      <c r="J77" s="4"/>
      <c r="K77" s="4"/>
      <c r="L77" s="4"/>
      <c r="M77" s="749">
        <f t="shared" si="0"/>
        <v>-0.12750765124832508</v>
      </c>
      <c r="N77" s="748">
        <f t="shared" si="1"/>
        <v>498.69068578193082</v>
      </c>
      <c r="O77" s="1247"/>
      <c r="Q77" s="1237"/>
      <c r="R77" s="1237"/>
    </row>
    <row r="78" spans="1:19" ht="18.75" customHeight="1">
      <c r="A78" s="579" t="s">
        <v>210</v>
      </c>
      <c r="B78" s="753" t="s">
        <v>665</v>
      </c>
      <c r="C78" s="562"/>
      <c r="D78" s="754">
        <v>138625.82199999999</v>
      </c>
      <c r="E78" s="98">
        <v>140277.92800000001</v>
      </c>
      <c r="F78" s="1847"/>
      <c r="G78" s="4"/>
      <c r="H78" s="4"/>
      <c r="I78" s="4"/>
      <c r="J78" s="4"/>
      <c r="K78" s="4"/>
      <c r="L78" s="4"/>
      <c r="M78" s="749">
        <f t="shared" si="0"/>
        <v>1.1917736365163023E-2</v>
      </c>
      <c r="N78" s="748">
        <f t="shared" si="1"/>
        <v>13294.335030341535</v>
      </c>
      <c r="O78" s="1247"/>
      <c r="Q78" s="1237"/>
      <c r="R78" s="1237"/>
    </row>
    <row r="79" spans="1:19" ht="18">
      <c r="A79" s="579" t="s">
        <v>336</v>
      </c>
      <c r="B79" s="1994" t="s">
        <v>1161</v>
      </c>
      <c r="C79" s="1995" t="s">
        <v>935</v>
      </c>
      <c r="D79" s="754">
        <v>20322.388999999999</v>
      </c>
      <c r="E79" s="98">
        <v>19706.670999999998</v>
      </c>
      <c r="F79" s="1847"/>
      <c r="G79" s="4"/>
      <c r="H79" s="4"/>
      <c r="I79" s="4"/>
      <c r="J79" s="4"/>
      <c r="K79" s="4"/>
      <c r="L79" s="4"/>
      <c r="M79" s="749">
        <f t="shared" si="0"/>
        <v>-3.0297520631063612E-2</v>
      </c>
      <c r="N79" s="748">
        <f t="shared" si="1"/>
        <v>1867.6287163773595</v>
      </c>
      <c r="O79" s="1247"/>
      <c r="Q79" s="1237"/>
      <c r="R79" s="1237"/>
    </row>
    <row r="80" spans="1:19" ht="18.75" customHeight="1">
      <c r="A80" s="579" t="s">
        <v>337</v>
      </c>
      <c r="B80" s="1979" t="s">
        <v>936</v>
      </c>
      <c r="C80" s="1980" t="s">
        <v>937</v>
      </c>
      <c r="D80" s="754">
        <v>164795.20699999999</v>
      </c>
      <c r="E80" s="185">
        <v>165212.00899999999</v>
      </c>
      <c r="F80" s="227"/>
      <c r="G80" s="4"/>
      <c r="H80" s="4"/>
      <c r="I80" s="4"/>
      <c r="J80" s="4"/>
      <c r="K80" s="197"/>
      <c r="L80" s="4"/>
      <c r="M80" s="749">
        <f t="shared" si="0"/>
        <v>2.5292119084507902E-3</v>
      </c>
      <c r="N80" s="748">
        <f t="shared" si="1"/>
        <v>15657.372688608582</v>
      </c>
      <c r="O80" s="1247"/>
      <c r="Q80" s="1237"/>
      <c r="R80" s="1237"/>
    </row>
    <row r="81" spans="1:18" ht="15" customHeight="1" thickBot="1">
      <c r="A81" s="583" t="s">
        <v>338</v>
      </c>
      <c r="B81" s="755" t="s">
        <v>666</v>
      </c>
      <c r="C81" s="756"/>
      <c r="D81" s="757">
        <f>SUM(D76:D80)</f>
        <v>483353.58600000001</v>
      </c>
      <c r="E81" s="349">
        <f>SUM(E76:E80)</f>
        <v>484420.64399999997</v>
      </c>
      <c r="F81" s="227"/>
      <c r="G81" s="1383" t="s">
        <v>881</v>
      </c>
      <c r="H81" s="1384"/>
      <c r="I81" s="751" t="s">
        <v>876</v>
      </c>
      <c r="J81" s="285">
        <v>297309.13500000001</v>
      </c>
      <c r="K81" s="140"/>
      <c r="L81" s="4"/>
      <c r="M81" s="750">
        <f t="shared" si="0"/>
        <v>2.2076137033149035E-3</v>
      </c>
      <c r="N81" s="633">
        <f t="shared" si="1"/>
        <v>45909.220564975883</v>
      </c>
      <c r="O81" s="1247"/>
      <c r="Q81" s="1237"/>
      <c r="R81" s="1237"/>
    </row>
    <row r="82" spans="1:18">
      <c r="A82" s="13"/>
      <c r="B82" s="1"/>
      <c r="C82" s="1"/>
      <c r="D82" s="1"/>
      <c r="E82" s="1"/>
      <c r="F82" s="1221"/>
      <c r="G82" s="1482" t="s">
        <v>882</v>
      </c>
      <c r="H82" s="1379"/>
      <c r="I82" s="1450" t="s">
        <v>879</v>
      </c>
      <c r="J82" s="284">
        <v>198783.524</v>
      </c>
      <c r="K82" s="140"/>
      <c r="L82" s="4"/>
      <c r="M82" s="4"/>
      <c r="N82" s="4"/>
      <c r="O82" s="1247"/>
      <c r="Q82" s="141"/>
      <c r="R82" s="141"/>
    </row>
    <row r="83" spans="1:18">
      <c r="A83" s="13"/>
      <c r="B83" s="1"/>
      <c r="C83" s="1"/>
      <c r="D83" s="1"/>
      <c r="E83" s="1"/>
      <c r="F83" s="1221"/>
      <c r="G83" s="1310"/>
      <c r="H83" s="1502"/>
      <c r="I83" s="1237"/>
      <c r="J83" s="1435"/>
      <c r="K83" s="140"/>
      <c r="L83" s="4"/>
      <c r="M83" s="4"/>
      <c r="N83" s="4"/>
      <c r="O83" s="1247"/>
      <c r="Q83" s="141"/>
      <c r="R83" s="141"/>
    </row>
    <row r="84" spans="1:18" ht="16.5" thickBot="1">
      <c r="A84" s="73" t="s">
        <v>187</v>
      </c>
      <c r="B84" s="4"/>
      <c r="C84" s="4"/>
      <c r="D84" s="4"/>
      <c r="E84" s="4"/>
      <c r="F84" s="1221"/>
      <c r="G84" s="4"/>
      <c r="H84" s="4"/>
      <c r="I84" s="4"/>
      <c r="J84" s="140"/>
      <c r="K84" s="1659"/>
      <c r="L84" s="322"/>
      <c r="M84" s="4"/>
      <c r="N84" s="4"/>
    </row>
    <row r="85" spans="1:18" ht="13.5" thickBot="1">
      <c r="A85" s="2131" t="s">
        <v>333</v>
      </c>
      <c r="B85" s="2132" t="str">
        <f>"Ackumulerat  ej återställt negativt balanskravsresultat inkl. "&amp;År&amp;" års balanskravsresultat"</f>
        <v>Ackumulerat  ej återställt negativt balanskravsresultat inkl. 2023 års balanskravsresultat</v>
      </c>
      <c r="C85" s="2133"/>
      <c r="D85" s="2134"/>
      <c r="E85" s="2135">
        <v>465.161</v>
      </c>
      <c r="F85" s="227" t="str">
        <f>IF(E85="","Skriv belopp eller 0 på rad 108",IF(E85&lt;0,"Inga minustecken ska anges på rad 108",""))</f>
        <v/>
      </c>
      <c r="G85" s="4"/>
      <c r="H85" s="4"/>
      <c r="I85" s="4"/>
      <c r="J85" s="4"/>
      <c r="K85" s="140"/>
      <c r="L85" s="4"/>
      <c r="M85" s="4"/>
      <c r="N85" s="4"/>
      <c r="Q85" s="1237"/>
      <c r="R85" s="1237"/>
    </row>
    <row r="86" spans="1:18">
      <c r="A86" s="1899"/>
      <c r="B86" s="1900"/>
      <c r="C86" s="1900"/>
      <c r="D86" s="1901"/>
      <c r="E86" s="1898"/>
      <c r="F86" s="227"/>
      <c r="G86" s="4"/>
      <c r="H86" s="4"/>
      <c r="I86" s="4"/>
      <c r="J86" s="4"/>
      <c r="K86" s="4"/>
      <c r="L86" s="4"/>
      <c r="M86" s="4"/>
      <c r="N86" s="4"/>
      <c r="Q86" s="1237"/>
      <c r="R86" s="1237"/>
    </row>
    <row r="87" spans="1:18">
      <c r="A87" s="2193"/>
      <c r="B87" s="2193"/>
      <c r="C87" s="2193"/>
      <c r="D87" s="2193"/>
      <c r="E87" s="2193"/>
      <c r="F87" s="197"/>
      <c r="G87" s="4"/>
      <c r="H87" s="4"/>
      <c r="I87" s="4"/>
      <c r="J87" s="4"/>
      <c r="K87" s="4"/>
      <c r="L87" s="4"/>
      <c r="M87" s="4"/>
      <c r="N87" s="4"/>
      <c r="Q87" s="168"/>
      <c r="R87" s="168"/>
    </row>
    <row r="88" spans="1:18">
      <c r="A88" s="2193"/>
      <c r="B88" s="2193"/>
      <c r="C88" s="2193"/>
      <c r="D88" s="2193"/>
      <c r="E88" s="2193"/>
      <c r="F88" s="197"/>
      <c r="G88" s="4"/>
      <c r="H88" s="4"/>
      <c r="I88" s="4"/>
      <c r="J88" s="4"/>
      <c r="K88" s="4"/>
      <c r="L88" s="4"/>
      <c r="M88" s="4"/>
      <c r="N88" s="4"/>
    </row>
    <row r="89" spans="1:18">
      <c r="A89" s="2193"/>
      <c r="B89" s="2193"/>
      <c r="C89" s="2193"/>
      <c r="D89" s="2193"/>
      <c r="E89" s="2193"/>
      <c r="F89" s="197"/>
      <c r="G89" s="4"/>
      <c r="H89" s="4"/>
      <c r="I89" s="4"/>
      <c r="J89" s="4"/>
      <c r="K89" s="4"/>
      <c r="L89" s="4"/>
      <c r="M89" s="4"/>
      <c r="N89" s="4"/>
      <c r="P89" s="170"/>
      <c r="Q89" s="168"/>
      <c r="R89" s="168"/>
    </row>
    <row r="90" spans="1:18">
      <c r="A90" s="2193"/>
      <c r="B90" s="2193"/>
      <c r="C90" s="2193"/>
      <c r="D90" s="2193"/>
      <c r="E90" s="2193"/>
      <c r="F90" s="197"/>
      <c r="G90" s="4"/>
      <c r="H90" s="4"/>
      <c r="I90" s="4"/>
      <c r="J90" s="4"/>
      <c r="K90" s="4"/>
      <c r="L90" s="4"/>
      <c r="M90" s="4"/>
      <c r="N90" s="4"/>
      <c r="P90" s="170"/>
      <c r="Q90" s="168"/>
      <c r="R90" s="168"/>
    </row>
    <row r="91" spans="1:18">
      <c r="A91" s="2193"/>
      <c r="B91" s="2193"/>
      <c r="C91" s="2193"/>
      <c r="D91" s="2193"/>
      <c r="E91" s="2193"/>
      <c r="K91" s="4"/>
      <c r="L91" s="4"/>
      <c r="P91" s="170"/>
      <c r="Q91" s="168"/>
      <c r="R91" s="168"/>
    </row>
    <row r="92" spans="1:18">
      <c r="A92" s="2193"/>
      <c r="B92" s="2193"/>
      <c r="C92" s="2193"/>
      <c r="D92" s="2193"/>
      <c r="E92" s="2193"/>
      <c r="L92" s="4"/>
      <c r="Q92" s="168"/>
      <c r="R92" s="168"/>
    </row>
    <row r="93" spans="1:18"/>
    <row r="96" spans="1:18"/>
    <row r="97"/>
    <row r="112"/>
    <row r="114"/>
    <row r="115"/>
    <row r="116"/>
  </sheetData>
  <sheetProtection algorithmName="SHA-512" hashValue="XS1qxcYRQY+Thkkj30N1lQTy6wR9GO307bdIumuOHrEAjH2M+i5Q3NBSd/pZLgg7J+NKZnfryYJf8eYzOKoqIQ==" saltValue="DNfXKJSjC0hhoQklqUSCmA==" spinCount="100000" sheet="1" objects="1" scenarios="1"/>
  <customSheetViews>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1"/>
      <headerFooter>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3"/>
      <headerFooter alignWithMargins="0">
        <oddHeader>&amp;L&amp;8Statistiska Centralbyrån
Offentlig ekonomi&amp;R&amp;P</oddHeader>
      </headerFooter>
    </customSheetView>
  </customSheetViews>
  <mergeCells count="7">
    <mergeCell ref="B5:B6"/>
    <mergeCell ref="M4:N4"/>
    <mergeCell ref="M37:N37"/>
    <mergeCell ref="G74:J74"/>
    <mergeCell ref="T5:T6"/>
    <mergeCell ref="S5:S6"/>
    <mergeCell ref="Q72:S73"/>
  </mergeCells>
  <phoneticPr fontId="88" type="noConversion"/>
  <conditionalFormatting sqref="D19:E19 D9:D11 D13:D15 E9 E12 E17 E30:E31 D31 E86 D46:D48 E50 J13:K13 J15:K15 J22 M24:N24 J27:K27 J49:K49 E68 E76:E80 J56:K56 D58:D67 D21:E21 D23:D25 D27:D29 J58:K61 D51:D56 K65 J64">
    <cfRule type="cellIs" dxfId="164" priority="25" stopIfTrue="1" operator="lessThan">
      <formula>-500</formula>
    </cfRule>
  </conditionalFormatting>
  <conditionalFormatting sqref="D22">
    <cfRule type="cellIs" dxfId="163" priority="23" stopIfTrue="1" operator="lessThan">
      <formula>-500</formula>
    </cfRule>
  </conditionalFormatting>
  <conditionalFormatting sqref="K84 J81:J83">
    <cfRule type="cellIs" dxfId="162" priority="18" stopIfTrue="1" operator="lessThan">
      <formula>0</formula>
    </cfRule>
    <cfRule type="cellIs" dxfId="161" priority="22" stopIfTrue="1" operator="lessThan">
      <formula>-500</formula>
    </cfRule>
  </conditionalFormatting>
  <conditionalFormatting sqref="J20:K20">
    <cfRule type="cellIs" dxfId="160" priority="21" stopIfTrue="1" operator="lessThan">
      <formula>-500</formula>
    </cfRule>
  </conditionalFormatting>
  <conditionalFormatting sqref="D19:E19">
    <cfRule type="cellIs" dxfId="159" priority="20" stopIfTrue="1" operator="lessThan">
      <formula>0</formula>
    </cfRule>
  </conditionalFormatting>
  <conditionalFormatting sqref="E86">
    <cfRule type="cellIs" dxfId="158" priority="19" stopIfTrue="1" operator="lessThan">
      <formula>0</formula>
    </cfRule>
  </conditionalFormatting>
  <conditionalFormatting sqref="J50:K50">
    <cfRule type="cellIs" dxfId="157" priority="17" stopIfTrue="1" operator="lessThan">
      <formula>-500</formula>
    </cfRule>
  </conditionalFormatting>
  <conditionalFormatting sqref="J25">
    <cfRule type="cellIs" dxfId="156" priority="16" stopIfTrue="1" operator="lessThan">
      <formula>-500</formula>
    </cfRule>
  </conditionalFormatting>
  <conditionalFormatting sqref="J57:K57">
    <cfRule type="cellIs" dxfId="155" priority="15" stopIfTrue="1" operator="lessThan">
      <formula>-500</formula>
    </cfRule>
  </conditionalFormatting>
  <conditionalFormatting sqref="J54:K54">
    <cfRule type="cellIs" dxfId="154" priority="14" stopIfTrue="1" operator="lessThan">
      <formula>-500</formula>
    </cfRule>
  </conditionalFormatting>
  <conditionalFormatting sqref="J62:K62">
    <cfRule type="cellIs" dxfId="153" priority="12" stopIfTrue="1" operator="lessThan">
      <formula>-500</formula>
    </cfRule>
  </conditionalFormatting>
  <conditionalFormatting sqref="J26">
    <cfRule type="cellIs" dxfId="152" priority="10" stopIfTrue="1" operator="lessThan">
      <formula>-500</formula>
    </cfRule>
  </conditionalFormatting>
  <conditionalFormatting sqref="M24">
    <cfRule type="cellIs" dxfId="151" priority="8" stopIfTrue="1" operator="lessThan">
      <formula>-500</formula>
    </cfRule>
  </conditionalFormatting>
  <conditionalFormatting sqref="J26">
    <cfRule type="cellIs" dxfId="150" priority="7" stopIfTrue="1" operator="lessThan">
      <formula>-500</formula>
    </cfRule>
  </conditionalFormatting>
  <conditionalFormatting sqref="J25">
    <cfRule type="cellIs" dxfId="149" priority="6" stopIfTrue="1" operator="lessThan">
      <formula>-500</formula>
    </cfRule>
  </conditionalFormatting>
  <conditionalFormatting sqref="J24">
    <cfRule type="cellIs" dxfId="148" priority="5" stopIfTrue="1" operator="lessThan">
      <formula>-500</formula>
    </cfRule>
  </conditionalFormatting>
  <conditionalFormatting sqref="D50">
    <cfRule type="cellIs" dxfId="147" priority="4" stopIfTrue="1" operator="lessThan">
      <formula>-500</formula>
    </cfRule>
  </conditionalFormatting>
  <conditionalFormatting sqref="D45">
    <cfRule type="cellIs" dxfId="146" priority="3" stopIfTrue="1" operator="lessThan">
      <formula>-500</formula>
    </cfRule>
  </conditionalFormatting>
  <conditionalFormatting sqref="E45">
    <cfRule type="cellIs" dxfId="145" priority="1" stopIfTrue="1" operator="lessThan">
      <formula>-500</formula>
    </cfRule>
  </conditionalFormatting>
  <dataValidations disablePrompts="1" count="5">
    <dataValidation type="decimal" operator="lessThan" allowBlank="1" showInputMessage="1" showErrorMessage="1" error="Beloppet ska vara i 1000 tal kronor" sqref="D9:E9 E76:E80 J49:K50 J13 J20 E68 J15 D50:D56 E50:E52 J22 D58:D67 D31 E30:E31 D46:D48 D21:E21 D19:E19 E17 D13:D16 E12 D10:D11 D39:E42 D22:D29 K56:K57 K62 K68:K69 J81:J83 E26 E54:E56 J56:J62 M24 J24 D44:E45 E85:E86 J64 K65" xr:uid="{00000000-0002-0000-0200-000000000000}">
      <formula1>999999999</formula1>
    </dataValidation>
    <dataValidation type="decimal" operator="lessThan" allowBlank="1" showInputMessage="1" showErrorMessage="1" error="Beloppet ska vara i 1000-tal kronor" sqref="J54:K54"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1"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0" max="16383" man="1"/>
  </rowBreaks>
  <ignoredErrors>
    <ignoredError sqref="B15:B16 A22:B23 A9:A21 B19 B25 B27:B30 A24:A33 H13 G15:H15 G20:H20 G22 A39:A44 B40 B43 A51:A60 B55:B56 B58:B59 A62:A69 B63 B65:B66 G49:H49 G54 H58:H59 G68:G69 H69 A76:A81 A85 G56:G60"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Normal="100" workbookViewId="0">
      <pane ySplit="1" topLeftCell="A2" activePane="bottomLeft" state="frozen"/>
      <selection activeCell="F36" sqref="F36"/>
      <selection pane="bottomLeft" activeCell="A2" sqref="A2"/>
    </sheetView>
  </sheetViews>
  <sheetFormatPr defaultColWidth="0" defaultRowHeight="0" customHeight="1" zeroHeight="1"/>
  <cols>
    <col min="1" max="1" width="4" style="168" customWidth="1"/>
    <col min="2" max="2" width="14.42578125" style="168" customWidth="1"/>
    <col min="3" max="3" width="40.42578125" style="168" customWidth="1"/>
    <col min="4" max="4" width="11.5703125" style="168" customWidth="1"/>
    <col min="5" max="5" width="26.28515625" style="168" customWidth="1"/>
    <col min="6" max="6" width="4" style="168" customWidth="1"/>
    <col min="7" max="7" width="8.42578125" style="168" customWidth="1"/>
    <col min="8" max="8" width="30.5703125" style="168" customWidth="1"/>
    <col min="9" max="9" width="9.42578125" style="168" customWidth="1"/>
    <col min="10" max="10" width="29.42578125" style="168" customWidth="1"/>
    <col min="11" max="11" width="1.5703125" style="168" customWidth="1"/>
    <col min="12" max="12" width="4.42578125" style="168" customWidth="1"/>
    <col min="13" max="13" width="9.42578125" style="168" customWidth="1"/>
    <col min="14" max="14" width="9.140625" style="168" customWidth="1"/>
    <col min="15" max="15" width="15" style="168" customWidth="1"/>
    <col min="16" max="16" width="1.5703125" style="168" customWidth="1"/>
    <col min="17" max="17" width="3.5703125" style="168" customWidth="1"/>
    <col min="18" max="18" width="13.5703125" style="417" customWidth="1"/>
    <col min="19" max="19" width="4.42578125" style="417" customWidth="1"/>
    <col min="20" max="20" width="8.42578125" style="168" customWidth="1"/>
    <col min="21" max="21" width="8" style="168" customWidth="1"/>
    <col min="22" max="22" width="16" style="168" customWidth="1"/>
    <col min="23" max="25" width="9.42578125" style="168" customWidth="1"/>
    <col min="26" max="16384" width="0" style="168" hidden="1"/>
  </cols>
  <sheetData>
    <row r="1" spans="1:20" s="197" customFormat="1" ht="20.25">
      <c r="A1" s="92" t="str">
        <f>"Verksamhetens intäkter och kostnader "&amp;År&amp;", miljoner kr"</f>
        <v>Verksamhetens intäkter och kostnader 2023, miljoner kr</v>
      </c>
      <c r="B1" s="167"/>
      <c r="C1" s="167"/>
      <c r="D1" s="167"/>
      <c r="E1" s="167"/>
      <c r="F1" s="167"/>
      <c r="G1" s="167"/>
      <c r="H1" s="512"/>
      <c r="I1" s="508" t="s">
        <v>450</v>
      </c>
      <c r="J1" s="509" t="str">
        <f>Information!A2</f>
        <v>RIKSTOTAL</v>
      </c>
      <c r="K1" s="509"/>
      <c r="L1" s="509"/>
      <c r="M1" s="509"/>
      <c r="N1" s="509"/>
      <c r="O1" s="509"/>
      <c r="P1" s="1295"/>
      <c r="Q1" s="168"/>
      <c r="R1" s="168"/>
      <c r="S1" s="168"/>
      <c r="T1" s="168"/>
    </row>
    <row r="2" spans="1:20" s="197" customFormat="1" ht="12.75" customHeight="1">
      <c r="A2" s="2193"/>
      <c r="B2" s="2193"/>
      <c r="C2" s="2193"/>
      <c r="D2" s="2193"/>
      <c r="E2" s="2193"/>
      <c r="F2" s="2193"/>
      <c r="G2" s="2193"/>
      <c r="H2" s="2193"/>
      <c r="I2" s="2193"/>
      <c r="J2" s="2193"/>
      <c r="K2" s="2193"/>
      <c r="L2" s="2193"/>
      <c r="M2" s="2193"/>
      <c r="N2" s="2193"/>
      <c r="O2" s="2193"/>
      <c r="Q2" s="168"/>
      <c r="R2" s="168"/>
      <c r="S2" s="168"/>
      <c r="T2" s="168"/>
    </row>
    <row r="3" spans="1:20" s="197" customFormat="1" ht="12.75" customHeight="1">
      <c r="A3" s="2193"/>
      <c r="B3" s="2193"/>
      <c r="C3" s="2193"/>
      <c r="D3" s="2193"/>
      <c r="E3" s="2193"/>
      <c r="F3" s="2193"/>
      <c r="G3" s="2193"/>
      <c r="H3" s="2193"/>
      <c r="I3" s="2193"/>
      <c r="J3" s="2193"/>
      <c r="K3" s="2193"/>
      <c r="L3" s="2193"/>
      <c r="M3" s="2193"/>
      <c r="N3" s="2193"/>
      <c r="O3" s="2193"/>
      <c r="Q3" s="168"/>
      <c r="R3" s="168"/>
      <c r="S3" s="168"/>
      <c r="T3" s="168"/>
    </row>
    <row r="4" spans="1:20" s="197" customFormat="1" ht="16.5" customHeight="1" thickBot="1">
      <c r="A4" s="73" t="s">
        <v>356</v>
      </c>
      <c r="B4" s="4"/>
      <c r="C4" s="4"/>
      <c r="D4" s="4"/>
      <c r="E4" s="78"/>
      <c r="H4" s="4"/>
      <c r="I4" s="4"/>
      <c r="J4" s="4"/>
      <c r="K4" s="4"/>
      <c r="L4" s="1239" t="str">
        <f>"Kontroller av förändring mellan "&amp;År-1&amp;" och "&amp;År&amp;""</f>
        <v>Kontroller av förändring mellan 2022 och 2023</v>
      </c>
      <c r="O4" s="2193"/>
      <c r="Q4" s="168"/>
      <c r="R4" s="168"/>
      <c r="S4" s="168"/>
      <c r="T4" s="168"/>
    </row>
    <row r="5" spans="1:20" s="197" customFormat="1" ht="12.75" customHeight="1">
      <c r="A5" s="596" t="s">
        <v>607</v>
      </c>
      <c r="B5" s="2156" t="str">
        <f>"BAS "&amp;År-2000&amp;""</f>
        <v>BAS 23</v>
      </c>
      <c r="C5" s="595"/>
      <c r="D5" s="772"/>
      <c r="E5" s="4"/>
      <c r="H5" s="4"/>
      <c r="I5" s="4"/>
      <c r="J5" s="4"/>
      <c r="K5" s="4"/>
      <c r="L5" s="596" t="s">
        <v>607</v>
      </c>
      <c r="M5" s="2211" t="s">
        <v>1217</v>
      </c>
      <c r="N5" s="2220" t="s">
        <v>724</v>
      </c>
      <c r="O5" s="2193"/>
      <c r="P5" s="1296"/>
      <c r="Q5" s="88"/>
      <c r="R5" s="424"/>
      <c r="S5" s="88"/>
      <c r="T5" s="1238"/>
    </row>
    <row r="6" spans="1:20" s="197" customFormat="1" ht="15.75" customHeight="1">
      <c r="A6" s="758" t="s">
        <v>610</v>
      </c>
      <c r="B6" s="2515"/>
      <c r="C6" s="760"/>
      <c r="D6" s="773"/>
      <c r="E6" s="4"/>
      <c r="H6" s="66"/>
      <c r="I6" s="66"/>
      <c r="J6" s="4"/>
      <c r="K6" s="4"/>
      <c r="L6" s="758" t="s">
        <v>610</v>
      </c>
      <c r="M6" s="2212">
        <f>År-1</f>
        <v>2022</v>
      </c>
      <c r="N6" s="2221" t="str">
        <f>År-1&amp;-År</f>
        <v>2022-2023</v>
      </c>
      <c r="O6" s="2193"/>
      <c r="P6" s="1296"/>
      <c r="Q6" s="1498"/>
      <c r="R6" s="1299"/>
      <c r="S6" s="257"/>
      <c r="T6" s="1997"/>
    </row>
    <row r="7" spans="1:20" s="197" customFormat="1" ht="15" customHeight="1">
      <c r="A7" s="761"/>
      <c r="B7" s="2516"/>
      <c r="C7" s="762"/>
      <c r="D7" s="683"/>
      <c r="E7" s="4"/>
      <c r="H7" s="66"/>
      <c r="I7" s="66"/>
      <c r="J7" s="4"/>
      <c r="K7" s="4"/>
      <c r="L7" s="761"/>
      <c r="M7" s="2213"/>
      <c r="N7" s="2222" t="s">
        <v>725</v>
      </c>
      <c r="O7" s="2193"/>
      <c r="P7" s="1296"/>
      <c r="Q7" s="86"/>
      <c r="R7" s="1499"/>
      <c r="S7" s="1273"/>
      <c r="T7" s="1500"/>
    </row>
    <row r="8" spans="1:20" s="197" customFormat="1" ht="13.5" thickBot="1">
      <c r="A8" s="545">
        <v>130</v>
      </c>
      <c r="B8" s="2153" t="s">
        <v>733</v>
      </c>
      <c r="C8" s="2152" t="s">
        <v>1166</v>
      </c>
      <c r="D8" s="216">
        <v>11404.305</v>
      </c>
      <c r="E8" s="177"/>
      <c r="F8" s="4"/>
      <c r="G8" s="4"/>
      <c r="H8" s="66"/>
      <c r="I8" s="66"/>
      <c r="J8" s="4"/>
      <c r="K8" s="4"/>
      <c r="L8" s="545">
        <v>130</v>
      </c>
      <c r="M8" s="2214">
        <v>10502.41</v>
      </c>
      <c r="N8" s="2223">
        <f>IF(ISERROR((D8-M8)/M8),0,((D8-M8)/M8))</f>
        <v>8.5875051535790406E-2</v>
      </c>
      <c r="O8" s="2193"/>
      <c r="P8" s="1297"/>
      <c r="Q8" s="1299"/>
      <c r="R8" s="1299"/>
      <c r="S8" s="1299"/>
      <c r="T8" s="168"/>
    </row>
    <row r="9" spans="1:20" s="197" customFormat="1" ht="12.75">
      <c r="A9" s="764">
        <v>200</v>
      </c>
      <c r="B9" s="765">
        <v>311</v>
      </c>
      <c r="C9" s="766" t="s">
        <v>667</v>
      </c>
      <c r="D9" s="175">
        <v>3652.5149999999999</v>
      </c>
      <c r="E9" s="177"/>
      <c r="F9" s="4"/>
      <c r="G9" s="4"/>
      <c r="H9" s="66"/>
      <c r="I9" s="66"/>
      <c r="J9" s="4"/>
      <c r="K9" s="4"/>
      <c r="L9" s="1201"/>
      <c r="M9" s="2215"/>
      <c r="N9" s="2224"/>
      <c r="O9" s="2193"/>
      <c r="P9" s="1297"/>
      <c r="Q9" s="1259"/>
      <c r="R9" s="1259"/>
      <c r="S9" s="1259"/>
      <c r="T9" s="168"/>
    </row>
    <row r="10" spans="1:20" s="197" customFormat="1" ht="12.75">
      <c r="A10" s="767">
        <v>210</v>
      </c>
      <c r="B10" s="663">
        <v>312</v>
      </c>
      <c r="C10" s="770" t="s">
        <v>1065</v>
      </c>
      <c r="D10" s="175">
        <v>1268.81</v>
      </c>
      <c r="E10" s="177"/>
      <c r="F10" s="4"/>
      <c r="G10" s="4"/>
      <c r="H10" s="66"/>
      <c r="I10" s="66"/>
      <c r="J10" s="4"/>
      <c r="K10" s="4"/>
      <c r="L10" s="1202"/>
      <c r="M10" s="2216"/>
      <c r="N10" s="2225"/>
      <c r="O10" s="2193"/>
      <c r="P10" s="1297"/>
      <c r="Q10" s="1259"/>
      <c r="R10" s="1259"/>
      <c r="S10" s="1259"/>
      <c r="T10" s="168"/>
    </row>
    <row r="11" spans="1:20" s="197" customFormat="1" ht="19.5" customHeight="1">
      <c r="A11" s="767">
        <v>280</v>
      </c>
      <c r="B11" s="2237">
        <v>313</v>
      </c>
      <c r="C11" s="766" t="s">
        <v>668</v>
      </c>
      <c r="D11" s="175">
        <v>39756.574000000001</v>
      </c>
      <c r="E11" s="177"/>
      <c r="F11" s="4"/>
      <c r="G11" s="4"/>
      <c r="H11" s="66"/>
      <c r="I11" s="66"/>
      <c r="J11" s="4"/>
      <c r="K11" s="4"/>
      <c r="L11" s="764"/>
      <c r="M11" s="2217"/>
      <c r="N11" s="2226"/>
      <c r="O11" s="2193"/>
      <c r="P11" s="1297"/>
      <c r="Q11" s="1259"/>
      <c r="R11" s="1501"/>
      <c r="S11" s="1501"/>
      <c r="T11" s="168"/>
    </row>
    <row r="12" spans="1:20" s="197" customFormat="1" ht="13.5" thickBot="1">
      <c r="A12" s="768">
        <v>290</v>
      </c>
      <c r="B12" s="2154"/>
      <c r="C12" s="769" t="s">
        <v>669</v>
      </c>
      <c r="D12" s="351">
        <f>SUM(D9:D11)</f>
        <v>44677.898999999998</v>
      </c>
      <c r="E12" s="177"/>
      <c r="F12" s="169"/>
      <c r="G12" s="4"/>
      <c r="H12" s="66"/>
      <c r="I12" s="66"/>
      <c r="J12" s="4"/>
      <c r="K12" s="4"/>
      <c r="L12" s="768">
        <v>290</v>
      </c>
      <c r="M12" s="2218">
        <v>41632.75</v>
      </c>
      <c r="N12" s="2227">
        <f>IF(ISERROR((D12-M12)/M12),0,((D12-M12)/M12))</f>
        <v>7.314311449519903E-2</v>
      </c>
      <c r="O12" s="2193"/>
      <c r="P12" s="1297"/>
      <c r="Q12" s="1259"/>
      <c r="R12" s="1259"/>
      <c r="S12" s="1259"/>
      <c r="T12" s="168"/>
    </row>
    <row r="13" spans="1:20" s="197" customFormat="1" ht="12.75">
      <c r="A13" s="549">
        <v>400</v>
      </c>
      <c r="B13" s="544">
        <v>341</v>
      </c>
      <c r="C13" s="770" t="s">
        <v>670</v>
      </c>
      <c r="D13" s="175">
        <v>14918.887000000001</v>
      </c>
      <c r="E13" s="177"/>
      <c r="F13" s="4"/>
      <c r="G13" s="4"/>
      <c r="H13" s="66"/>
      <c r="I13" s="66"/>
      <c r="J13" s="4"/>
      <c r="K13" s="4"/>
      <c r="L13" s="549">
        <v>400</v>
      </c>
      <c r="M13" s="2217">
        <v>14389.698</v>
      </c>
      <c r="N13" s="2226">
        <f>IF(ISERROR((D13-M13)/M13),0,((D13-M13)/M13))</f>
        <v>3.6775545949609245E-2</v>
      </c>
      <c r="O13" s="2193"/>
      <c r="P13" s="1297"/>
      <c r="Q13" s="1299"/>
      <c r="R13" s="1299"/>
      <c r="S13" s="1299"/>
      <c r="T13" s="168"/>
    </row>
    <row r="14" spans="1:20" s="197" customFormat="1" ht="12.75">
      <c r="A14" s="547">
        <v>420</v>
      </c>
      <c r="B14" s="663">
        <v>342</v>
      </c>
      <c r="C14" s="770" t="s">
        <v>671</v>
      </c>
      <c r="D14" s="175">
        <v>6530.0020000000004</v>
      </c>
      <c r="E14" s="177"/>
      <c r="F14" s="4"/>
      <c r="G14" s="4"/>
      <c r="H14" s="66"/>
      <c r="I14" s="66"/>
      <c r="J14" s="4"/>
      <c r="K14" s="4"/>
      <c r="L14" s="551"/>
      <c r="M14" s="1191"/>
      <c r="N14" s="2228"/>
      <c r="O14" s="2193"/>
      <c r="P14" s="1297"/>
      <c r="Q14" s="1299"/>
      <c r="R14" s="1299"/>
      <c r="S14" s="1299"/>
      <c r="T14" s="168"/>
    </row>
    <row r="15" spans="1:20" s="197" customFormat="1" ht="12.75">
      <c r="A15" s="547">
        <v>480</v>
      </c>
      <c r="B15" s="663" t="s">
        <v>672</v>
      </c>
      <c r="C15" s="770" t="s">
        <v>734</v>
      </c>
      <c r="D15" s="175">
        <v>2118.777</v>
      </c>
      <c r="E15" s="177"/>
      <c r="G15" s="170"/>
      <c r="H15" s="212"/>
      <c r="I15" s="212"/>
      <c r="J15" s="4"/>
      <c r="K15" s="4"/>
      <c r="L15" s="781"/>
      <c r="M15" s="2216"/>
      <c r="N15" s="2225"/>
      <c r="O15" s="2193"/>
      <c r="P15" s="1297"/>
      <c r="Q15" s="1299"/>
      <c r="R15" s="1299"/>
      <c r="S15" s="1299"/>
      <c r="T15" s="168"/>
    </row>
    <row r="16" spans="1:20" s="197" customFormat="1" ht="13.5" thickBot="1">
      <c r="A16" s="558">
        <v>490</v>
      </c>
      <c r="B16" s="763"/>
      <c r="C16" s="771" t="s">
        <v>673</v>
      </c>
      <c r="D16" s="351">
        <f>SUM(D13:D15)</f>
        <v>23567.666000000005</v>
      </c>
      <c r="E16" s="177"/>
      <c r="F16" s="74" t="s">
        <v>735</v>
      </c>
      <c r="G16" s="45"/>
      <c r="H16" s="295"/>
      <c r="I16" s="212"/>
      <c r="J16" s="4"/>
      <c r="K16" s="4"/>
      <c r="L16" s="545">
        <v>490</v>
      </c>
      <c r="M16" s="1193">
        <v>22712.057000000001</v>
      </c>
      <c r="N16" s="2229">
        <f>IF(ISERROR((D16-M16)/M16),0,((D16-M16)/M16))</f>
        <v>3.767201711408192E-2</v>
      </c>
      <c r="O16" s="2193"/>
      <c r="P16" s="1297"/>
      <c r="Q16" s="1299"/>
      <c r="R16" s="1299"/>
      <c r="S16" s="1299"/>
      <c r="T16" s="168"/>
    </row>
    <row r="17" spans="1:22" s="197" customFormat="1" ht="12.75">
      <c r="A17" s="764">
        <v>500</v>
      </c>
      <c r="B17" s="765">
        <v>351</v>
      </c>
      <c r="C17" s="770" t="s">
        <v>1082</v>
      </c>
      <c r="D17" s="175">
        <v>40732.419000000002</v>
      </c>
      <c r="E17" s="226"/>
      <c r="F17" s="1310"/>
      <c r="G17" s="1310"/>
      <c r="H17" s="1311"/>
      <c r="I17" s="71"/>
      <c r="J17" s="277"/>
      <c r="K17" s="4"/>
      <c r="L17" s="1201"/>
      <c r="M17" s="2215"/>
      <c r="N17" s="2224"/>
      <c r="O17" s="2193"/>
      <c r="P17" s="1297"/>
      <c r="Q17" s="1259"/>
      <c r="R17" s="1259"/>
      <c r="S17" s="1259"/>
      <c r="T17" s="168"/>
    </row>
    <row r="18" spans="1:22" s="197" customFormat="1" ht="12.75">
      <c r="A18" s="767">
        <v>510</v>
      </c>
      <c r="B18" s="540">
        <v>351</v>
      </c>
      <c r="C18" s="770" t="s">
        <v>1080</v>
      </c>
      <c r="D18" s="175">
        <v>4012.9920000000002</v>
      </c>
      <c r="E18" s="177"/>
      <c r="G18" s="1308"/>
      <c r="H18" s="88"/>
      <c r="I18" s="146"/>
      <c r="J18" s="4"/>
      <c r="K18" s="4"/>
      <c r="L18" s="1202"/>
      <c r="M18" s="2216"/>
      <c r="N18" s="2225"/>
      <c r="O18" s="2193"/>
      <c r="P18" s="1297"/>
      <c r="Q18" s="1259"/>
      <c r="R18" s="1259"/>
      <c r="S18" s="1259"/>
      <c r="T18" s="168"/>
    </row>
    <row r="19" spans="1:22" s="197" customFormat="1" ht="12.75">
      <c r="A19" s="767">
        <v>520</v>
      </c>
      <c r="B19" s="540">
        <v>351</v>
      </c>
      <c r="C19" s="770" t="s">
        <v>1081</v>
      </c>
      <c r="D19" s="175">
        <v>2220.7069999999999</v>
      </c>
      <c r="E19" s="177" t="str">
        <f>IF((D19-I19)&gt;10000, "Vad ingår på rad 520? Kommentera beloppet", "")</f>
        <v/>
      </c>
      <c r="F19" s="1380" t="s">
        <v>1055</v>
      </c>
      <c r="G19" s="1381" t="s">
        <v>373</v>
      </c>
      <c r="H19" s="1258" t="s">
        <v>1177</v>
      </c>
      <c r="I19" s="283">
        <v>1037.0419999999999</v>
      </c>
      <c r="J19" s="1222"/>
      <c r="K19" s="4"/>
      <c r="L19" s="1202"/>
      <c r="M19" s="2216"/>
      <c r="N19" s="2225"/>
      <c r="O19" s="2193"/>
      <c r="P19" s="1297"/>
      <c r="Q19" s="1259"/>
      <c r="R19" s="1259"/>
      <c r="S19" s="1259"/>
      <c r="T19" s="168"/>
    </row>
    <row r="20" spans="1:22" s="197" customFormat="1" ht="12.75">
      <c r="A20" s="2235">
        <v>521</v>
      </c>
      <c r="B20" s="2238">
        <v>351</v>
      </c>
      <c r="C20" s="2241" t="s">
        <v>1130</v>
      </c>
      <c r="D20" s="2209">
        <v>201.96899999999999</v>
      </c>
      <c r="E20" s="177"/>
      <c r="F20" s="1310"/>
      <c r="G20" s="1310"/>
      <c r="H20" s="1237"/>
      <c r="I20" s="1435"/>
      <c r="J20" s="1222"/>
      <c r="K20" s="4"/>
      <c r="L20" s="1202"/>
      <c r="M20" s="2216"/>
      <c r="N20" s="2225"/>
      <c r="O20" s="2193"/>
      <c r="P20" s="1297"/>
      <c r="Q20" s="1259"/>
      <c r="R20" s="1259"/>
      <c r="S20" s="1259"/>
      <c r="T20" s="168"/>
    </row>
    <row r="21" spans="1:22" s="197" customFormat="1" ht="12.75">
      <c r="A21" s="767">
        <v>525</v>
      </c>
      <c r="B21" s="540">
        <v>354</v>
      </c>
      <c r="C21" s="770" t="s">
        <v>1109</v>
      </c>
      <c r="D21" s="350">
        <v>5023.1729999999998</v>
      </c>
      <c r="E21" s="177"/>
      <c r="F21" s="1299"/>
      <c r="G21" s="1308"/>
      <c r="H21" s="1309"/>
      <c r="I21" s="146"/>
      <c r="J21" s="4"/>
      <c r="K21" s="4"/>
      <c r="L21" s="764"/>
      <c r="M21" s="2217"/>
      <c r="N21" s="2226"/>
      <c r="O21" s="2193"/>
      <c r="P21" s="1297"/>
      <c r="Q21" s="1259"/>
      <c r="R21" s="1259"/>
      <c r="S21" s="1259"/>
      <c r="T21" s="168"/>
      <c r="V21" s="168"/>
    </row>
    <row r="22" spans="1:22" s="197" customFormat="1" ht="12.75">
      <c r="A22" s="767">
        <v>527</v>
      </c>
      <c r="B22" s="540">
        <v>356</v>
      </c>
      <c r="C22" s="770" t="s">
        <v>1167</v>
      </c>
      <c r="D22" s="217">
        <v>8099.1220000000003</v>
      </c>
      <c r="E22" s="177" t="str">
        <f>IF(D22&lt;&gt;0,"","Belopp saknas")</f>
        <v/>
      </c>
      <c r="F22" s="4"/>
      <c r="G22" s="66"/>
      <c r="H22" s="66"/>
      <c r="I22" s="66"/>
      <c r="J22" s="4"/>
      <c r="K22" s="4"/>
      <c r="L22" s="767">
        <v>527</v>
      </c>
      <c r="M22" s="2219">
        <v>7657.817</v>
      </c>
      <c r="N22" s="2230">
        <f>IF(ISERROR((D22-M22)/M22),0,((D22-M22)/M22))</f>
        <v>5.7628042038612347E-2</v>
      </c>
      <c r="O22" s="2193"/>
      <c r="P22" s="1297"/>
      <c r="Q22" s="1259"/>
      <c r="R22" s="1259"/>
      <c r="S22" s="1259"/>
      <c r="T22" s="168"/>
      <c r="V22" s="168"/>
    </row>
    <row r="23" spans="1:22" s="197" customFormat="1" ht="12.75">
      <c r="A23" s="767">
        <v>550</v>
      </c>
      <c r="B23" s="540">
        <v>358</v>
      </c>
      <c r="C23" s="770" t="s">
        <v>188</v>
      </c>
      <c r="D23" s="217">
        <v>586.37099999999998</v>
      </c>
      <c r="E23" s="227"/>
      <c r="F23" s="4"/>
      <c r="G23" s="4"/>
      <c r="H23" s="66"/>
      <c r="I23" s="66"/>
      <c r="J23" s="4"/>
      <c r="K23" s="4"/>
      <c r="L23" s="1203"/>
      <c r="M23" s="1191"/>
      <c r="N23" s="2228"/>
      <c r="O23" s="2193"/>
      <c r="P23" s="1297"/>
      <c r="Q23" s="1259"/>
      <c r="R23" s="1259"/>
      <c r="S23" s="1259"/>
      <c r="T23" s="168"/>
      <c r="V23" s="168"/>
    </row>
    <row r="24" spans="1:22" s="197" customFormat="1" ht="15" customHeight="1">
      <c r="A24" s="767">
        <v>560</v>
      </c>
      <c r="B24" s="2238">
        <v>357</v>
      </c>
      <c r="C24" s="2242" t="s">
        <v>1066</v>
      </c>
      <c r="D24" s="217">
        <v>675.94299999999998</v>
      </c>
      <c r="E24" s="227"/>
      <c r="F24" s="1310"/>
      <c r="G24" s="2246"/>
      <c r="H24" s="2250"/>
      <c r="I24" s="146"/>
      <c r="J24" s="1240"/>
      <c r="K24" s="4"/>
      <c r="L24" s="764"/>
      <c r="M24" s="2217"/>
      <c r="N24" s="2226"/>
      <c r="O24" s="2193"/>
      <c r="P24" s="1297"/>
      <c r="Q24" s="1259"/>
      <c r="R24" s="1502"/>
      <c r="S24" s="1503"/>
      <c r="T24" s="1504"/>
      <c r="V24" s="1299"/>
    </row>
    <row r="25" spans="1:22" s="197" customFormat="1" ht="12.75">
      <c r="A25" s="1203">
        <v>570</v>
      </c>
      <c r="B25" s="663" t="s">
        <v>1091</v>
      </c>
      <c r="C25" s="2114" t="s">
        <v>1162</v>
      </c>
      <c r="D25" s="100">
        <v>1768.587</v>
      </c>
      <c r="E25" s="2067"/>
      <c r="F25" s="1380" t="s">
        <v>1060</v>
      </c>
      <c r="G25" s="1381" t="s">
        <v>1090</v>
      </c>
      <c r="H25" s="1258" t="s">
        <v>1103</v>
      </c>
      <c r="I25" s="2106">
        <v>760.93799999999999</v>
      </c>
      <c r="J25" s="1222" t="str">
        <f>IF(SUM(I25)&gt;D25,"Däravrad 577 &gt; rad 570",IF(D25=0,"",IF(I25="","Skriv belopp eller 0","")))</f>
        <v/>
      </c>
      <c r="K25" s="4"/>
      <c r="L25" s="1202"/>
      <c r="M25" s="2216"/>
      <c r="N25" s="2225"/>
      <c r="O25" s="2193"/>
      <c r="P25" s="1297"/>
      <c r="Q25" s="1259"/>
      <c r="R25" s="1502"/>
      <c r="S25" s="1503"/>
      <c r="T25" s="1504"/>
      <c r="V25" s="1299"/>
    </row>
    <row r="26" spans="1:22" s="197" customFormat="1" ht="15.75" customHeight="1" thickBot="1">
      <c r="A26" s="768">
        <v>590</v>
      </c>
      <c r="B26" s="546"/>
      <c r="C26" s="2140" t="s">
        <v>674</v>
      </c>
      <c r="D26" s="351">
        <f>SUM(D17:D25)</f>
        <v>63321.283000000003</v>
      </c>
      <c r="E26" s="2067" t="str">
        <f>IF(D25=0,"",IF(OR(SUM(D25-I25)&gt;2000,SUM(D25-I25)/D26&gt;2%),"OBS! Kostn.ers./bidrag från stat. myndigheter, t.ex. Migrationsverket eller Skolverket redovisas på rad 500!",""))</f>
        <v/>
      </c>
      <c r="F26" s="4"/>
      <c r="G26" s="45"/>
      <c r="H26" s="66"/>
      <c r="I26" s="66"/>
      <c r="J26" s="4"/>
      <c r="K26" s="4"/>
      <c r="L26" s="768">
        <v>590</v>
      </c>
      <c r="M26" s="2218">
        <v>63606.858999999997</v>
      </c>
      <c r="N26" s="2227">
        <f>IF(ISERROR((D26-M26)/M26),0,((D26-M26)/M26))</f>
        <v>-4.4897044829708332E-3</v>
      </c>
      <c r="O26" s="2193"/>
      <c r="P26" s="1297"/>
      <c r="Q26" s="1259"/>
      <c r="R26" s="1259"/>
      <c r="S26" s="1259"/>
      <c r="T26" s="168"/>
      <c r="V26" s="1299"/>
    </row>
    <row r="27" spans="1:22" s="197" customFormat="1" ht="12.75">
      <c r="A27" s="549">
        <v>310</v>
      </c>
      <c r="B27" s="544" t="s">
        <v>780</v>
      </c>
      <c r="C27" s="770" t="s">
        <v>1028</v>
      </c>
      <c r="D27" s="217">
        <v>14829.475</v>
      </c>
      <c r="E27" s="227"/>
      <c r="F27" s="1383" t="s">
        <v>786</v>
      </c>
      <c r="G27" s="1384" t="s">
        <v>781</v>
      </c>
      <c r="H27" s="751" t="s">
        <v>736</v>
      </c>
      <c r="I27" s="285">
        <v>14362.949000000001</v>
      </c>
      <c r="J27" s="1222"/>
      <c r="K27" s="4"/>
      <c r="L27" s="1204"/>
      <c r="M27" s="2215"/>
      <c r="N27" s="2224"/>
      <c r="O27" s="2193"/>
      <c r="P27" s="1297"/>
      <c r="Q27" s="1299"/>
      <c r="R27" s="1299"/>
      <c r="S27" s="1299"/>
      <c r="T27" s="1308"/>
      <c r="V27" s="1299"/>
    </row>
    <row r="28" spans="1:22" s="197" customFormat="1" ht="12.75">
      <c r="A28" s="549">
        <v>320</v>
      </c>
      <c r="B28" s="717" t="s">
        <v>780</v>
      </c>
      <c r="C28" s="770" t="s">
        <v>1057</v>
      </c>
      <c r="D28" s="217">
        <v>536.55999999999995</v>
      </c>
      <c r="E28" s="227"/>
      <c r="F28" s="2007" t="s">
        <v>787</v>
      </c>
      <c r="G28" s="554">
        <v>361</v>
      </c>
      <c r="H28" s="2008" t="s">
        <v>1030</v>
      </c>
      <c r="I28" s="1975">
        <v>484.93799999999999</v>
      </c>
      <c r="J28" s="1222"/>
      <c r="K28" s="4"/>
      <c r="L28" s="781"/>
      <c r="M28" s="2216"/>
      <c r="N28" s="2225"/>
      <c r="O28" s="2193"/>
      <c r="P28" s="1297"/>
      <c r="Q28" s="1299"/>
      <c r="R28" s="1299"/>
      <c r="S28" s="1299"/>
      <c r="T28" s="1308"/>
      <c r="V28" s="1299"/>
    </row>
    <row r="29" spans="1:22" s="197" customFormat="1" ht="12.75">
      <c r="A29" s="549">
        <v>321</v>
      </c>
      <c r="B29" s="717" t="s">
        <v>780</v>
      </c>
      <c r="C29" s="770" t="s">
        <v>1029</v>
      </c>
      <c r="D29" s="217">
        <v>488.59399999999999</v>
      </c>
      <c r="E29" s="227"/>
      <c r="F29" s="2244" t="s">
        <v>1056</v>
      </c>
      <c r="G29" s="2247">
        <v>361</v>
      </c>
      <c r="H29" s="2251" t="s">
        <v>1165</v>
      </c>
      <c r="I29" s="2100">
        <v>349.44600000000003</v>
      </c>
      <c r="J29" s="1222" t="str">
        <f>IF(SUM(I29)&gt;D29,"Däravrad 328 &gt; rad 321",IF(D29=0,"",IF(I29="","Skriv belopp eller 0","")))</f>
        <v/>
      </c>
      <c r="K29" s="4"/>
      <c r="L29" s="781"/>
      <c r="M29" s="2216"/>
      <c r="N29" s="2225"/>
      <c r="O29" s="2193"/>
      <c r="P29" s="1297"/>
      <c r="Q29" s="1299"/>
      <c r="R29" s="1299"/>
      <c r="S29" s="1299"/>
      <c r="T29" s="1308"/>
      <c r="V29" s="168"/>
    </row>
    <row r="30" spans="1:22" s="197" customFormat="1" ht="16.5" customHeight="1">
      <c r="A30" s="547">
        <v>380</v>
      </c>
      <c r="B30" s="1382" t="s">
        <v>770</v>
      </c>
      <c r="C30" s="770" t="s">
        <v>1168</v>
      </c>
      <c r="D30" s="217">
        <v>5333.2209999999995</v>
      </c>
      <c r="E30" s="227"/>
      <c r="F30" s="1483" t="s">
        <v>1100</v>
      </c>
      <c r="G30" s="2115">
        <v>365</v>
      </c>
      <c r="H30" s="2116" t="s">
        <v>1092</v>
      </c>
      <c r="I30" s="2101">
        <v>137.67099999999999</v>
      </c>
      <c r="J30" s="1240" t="str">
        <f>IF(SUM(I30)&gt;D30,"Däravrad 329 &gt; rad 380",IF(D30=0,"",IF(I30="","Skriv belopp eller 0","")))</f>
        <v/>
      </c>
      <c r="K30" s="4"/>
      <c r="L30" s="549"/>
      <c r="M30" s="2217"/>
      <c r="N30" s="2226"/>
      <c r="O30" s="2193"/>
      <c r="P30" s="1297"/>
      <c r="Q30" s="1299"/>
      <c r="R30" s="1299"/>
      <c r="S30" s="1299"/>
      <c r="T30" s="168"/>
    </row>
    <row r="31" spans="1:22" s="197" customFormat="1" ht="13.5" thickBot="1">
      <c r="A31" s="551">
        <v>390</v>
      </c>
      <c r="B31" s="541"/>
      <c r="C31" s="2243" t="s">
        <v>739</v>
      </c>
      <c r="D31" s="352">
        <f>SUM(D27:D30)</f>
        <v>21187.85</v>
      </c>
      <c r="E31" s="227"/>
      <c r="F31" s="2245"/>
      <c r="G31" s="2248"/>
      <c r="H31" s="2252"/>
      <c r="I31" s="2099"/>
      <c r="J31" s="4"/>
      <c r="K31" s="4"/>
      <c r="L31" s="558">
        <v>390</v>
      </c>
      <c r="M31" s="2218">
        <v>20184.821</v>
      </c>
      <c r="N31" s="2227">
        <f>IF(ISERROR((D31-M31)/M31),0,((D31-M31)/M31))</f>
        <v>4.9692241511579353E-2</v>
      </c>
      <c r="O31" s="2193"/>
      <c r="P31" s="1297"/>
      <c r="Q31" s="1299"/>
      <c r="R31" s="1299"/>
      <c r="S31" s="1299"/>
      <c r="T31" s="168"/>
    </row>
    <row r="32" spans="1:22" s="197" customFormat="1" ht="13.5" customHeight="1" thickBot="1">
      <c r="A32" s="538">
        <v>891</v>
      </c>
      <c r="B32" s="2239">
        <v>37</v>
      </c>
      <c r="C32" s="2118" t="s">
        <v>1093</v>
      </c>
      <c r="D32" s="218">
        <v>8920.4220000000005</v>
      </c>
      <c r="E32" s="227"/>
      <c r="F32" s="1380" t="s">
        <v>226</v>
      </c>
      <c r="G32" s="2117">
        <v>373</v>
      </c>
      <c r="H32" s="943" t="s">
        <v>1097</v>
      </c>
      <c r="I32" s="2063">
        <v>2025.0419999999999</v>
      </c>
      <c r="J32" s="1240" t="str">
        <f>IF(SUM(I32)&gt;D32,"Däravrad 330 &gt; rad 891",IF(D32=0,"",IF(I32="","Skriv belopp eller 0","")))</f>
        <v/>
      </c>
      <c r="K32" s="4"/>
      <c r="L32" s="1204"/>
      <c r="M32" s="2215"/>
      <c r="N32" s="2224"/>
      <c r="O32" s="2193"/>
      <c r="P32" s="1297"/>
      <c r="Q32" s="1502"/>
      <c r="R32" s="1505"/>
      <c r="S32" s="1505"/>
      <c r="T32" s="168"/>
    </row>
    <row r="33" spans="1:25" s="197" customFormat="1" ht="19.5" customHeight="1">
      <c r="A33" s="539">
        <v>892</v>
      </c>
      <c r="B33" s="2125">
        <v>38</v>
      </c>
      <c r="C33" s="770" t="s">
        <v>871</v>
      </c>
      <c r="D33" s="218">
        <v>1679.5609999999999</v>
      </c>
      <c r="E33" s="227"/>
      <c r="F33" s="2098"/>
      <c r="G33" s="2098"/>
      <c r="H33" s="2097"/>
      <c r="I33" s="66"/>
      <c r="J33" s="4"/>
      <c r="K33" s="4"/>
      <c r="L33" s="781"/>
      <c r="M33" s="2216"/>
      <c r="N33" s="2225"/>
      <c r="O33" s="2193"/>
      <c r="P33" s="1297"/>
      <c r="Q33" s="1502"/>
      <c r="R33" s="1506"/>
      <c r="S33" s="1506"/>
      <c r="T33" s="168"/>
    </row>
    <row r="34" spans="1:25" s="197" customFormat="1" ht="13.5" thickBot="1">
      <c r="A34" s="537">
        <v>894</v>
      </c>
      <c r="B34" s="546"/>
      <c r="C34" s="542" t="s">
        <v>446</v>
      </c>
      <c r="D34" s="297">
        <v>-9.5000000000000001E-2</v>
      </c>
      <c r="E34" s="227" t="str">
        <f>IF(D34&lt;50,"","Vad avser övr.periodiseringar?")</f>
        <v/>
      </c>
      <c r="F34" s="2193"/>
      <c r="G34" s="2193"/>
      <c r="H34" s="2193"/>
      <c r="I34" s="2193"/>
      <c r="J34" s="2193"/>
      <c r="K34" s="4"/>
      <c r="L34" s="781"/>
      <c r="M34" s="2216"/>
      <c r="N34" s="2225"/>
      <c r="O34" s="2193"/>
      <c r="P34" s="1297"/>
      <c r="Q34" s="1502"/>
      <c r="R34" s="1299"/>
      <c r="S34" s="1299"/>
      <c r="T34" s="168"/>
    </row>
    <row r="35" spans="1:25" s="197" customFormat="1" ht="16.5" customHeight="1" thickBot="1">
      <c r="A35" s="543">
        <v>886</v>
      </c>
      <c r="B35" s="544"/>
      <c r="C35" s="2155" t="s">
        <v>1163</v>
      </c>
      <c r="D35" s="353">
        <f>SUM(D8+D12+D16+D26+D31+D32+D33+D34)</f>
        <v>174758.89099999997</v>
      </c>
      <c r="E35" s="1974"/>
      <c r="F35" s="2193"/>
      <c r="G35" s="2193"/>
      <c r="H35" s="2193"/>
      <c r="I35" s="2193"/>
      <c r="J35" s="2193"/>
      <c r="K35" s="4"/>
      <c r="L35" s="545"/>
      <c r="M35" s="1226"/>
      <c r="N35" s="2473"/>
      <c r="O35" s="2474"/>
      <c r="P35" s="1297"/>
      <c r="Q35" s="1299"/>
      <c r="R35" s="1299"/>
      <c r="S35" s="1299"/>
      <c r="T35" s="168"/>
    </row>
    <row r="36" spans="1:25" s="197" customFormat="1" ht="13.5" thickBot="1">
      <c r="A36" s="545">
        <v>896</v>
      </c>
      <c r="B36" s="546"/>
      <c r="C36" s="602" t="s">
        <v>89</v>
      </c>
      <c r="D36" s="298">
        <f>RR!C7</f>
        <v>174758.89</v>
      </c>
      <c r="F36" s="2193"/>
      <c r="G36" s="2193"/>
      <c r="H36" s="2193"/>
      <c r="I36" s="2193"/>
      <c r="J36" s="2193"/>
      <c r="K36" s="4"/>
      <c r="M36" s="19"/>
      <c r="N36" s="168"/>
      <c r="O36" s="2193"/>
      <c r="Q36" s="1299"/>
      <c r="R36" s="1259"/>
      <c r="S36" s="1259"/>
      <c r="T36" s="168"/>
    </row>
    <row r="37" spans="1:25" s="197" customFormat="1" ht="45" customHeight="1" thickBot="1">
      <c r="A37" s="1976" t="s">
        <v>357</v>
      </c>
      <c r="B37" s="4"/>
      <c r="C37" s="4"/>
      <c r="D37" s="2014" t="str">
        <f>IF(ABS(D35-D36)&lt;50,"",IF(OR(D35=0,D36=0),"",IF((SUM(D35)/(D36))&lt;&gt;1,(ROUND(D35-D36,0))&amp;" Mnkr diff. mellan verks. intäkter i RR och verks.intäkter här - måste rättas!","")))</f>
        <v/>
      </c>
      <c r="E37" s="227"/>
      <c r="F37" s="169"/>
      <c r="G37" s="170"/>
      <c r="H37" s="212"/>
      <c r="I37" s="66"/>
      <c r="J37" s="4"/>
      <c r="K37" s="4"/>
      <c r="L37" s="1239" t="str">
        <f>"Kontroller av förändring mellan "&amp;År-1&amp;" och "&amp;År&amp;""</f>
        <v>Kontroller av förändring mellan 2022 och 2023</v>
      </c>
      <c r="N37" s="2232"/>
      <c r="O37" s="2193"/>
      <c r="Q37" s="168"/>
      <c r="R37" s="168"/>
      <c r="S37" s="168"/>
      <c r="T37" s="168"/>
    </row>
    <row r="38" spans="1:25" s="197" customFormat="1" ht="45" customHeight="1" thickBot="1">
      <c r="A38" s="2159" t="s">
        <v>955</v>
      </c>
      <c r="B38" s="2156" t="str">
        <f>"BAS "&amp;År-2000&amp;""</f>
        <v>BAS 23</v>
      </c>
      <c r="C38" s="2157"/>
      <c r="D38" s="772"/>
      <c r="E38" s="227"/>
      <c r="F38" s="74" t="s">
        <v>723</v>
      </c>
      <c r="G38" s="203"/>
      <c r="H38" s="204"/>
      <c r="I38" s="214"/>
      <c r="J38" s="179"/>
      <c r="K38" s="179"/>
      <c r="L38" s="2172" t="s">
        <v>955</v>
      </c>
      <c r="M38" s="2171" t="str">
        <f>"Värde Mnkr "&amp;År-1&amp;""</f>
        <v>Värde Mnkr 2022</v>
      </c>
      <c r="N38" s="2233" t="str">
        <f>"Förändring "&amp;År-1&amp;" - "&amp;År&amp;" procent"</f>
        <v>Förändring 2022 - 2023 procent</v>
      </c>
      <c r="O38" s="2193"/>
      <c r="P38" s="1296"/>
      <c r="Q38" s="88"/>
      <c r="R38" s="1300"/>
      <c r="S38" s="88"/>
      <c r="T38" s="1238"/>
      <c r="U38" s="196"/>
      <c r="V38" s="196"/>
      <c r="W38" s="196"/>
      <c r="X38" s="196"/>
      <c r="Y38" s="196"/>
    </row>
    <row r="39" spans="1:25" s="196" customFormat="1" ht="13.5" hidden="1" thickBot="1">
      <c r="A39" s="777" t="s">
        <v>610</v>
      </c>
      <c r="B39" s="2124"/>
      <c r="C39" s="779"/>
      <c r="D39" s="773"/>
      <c r="E39" s="227"/>
      <c r="F39" s="205"/>
      <c r="G39" s="7"/>
      <c r="H39" s="1983"/>
      <c r="I39" s="212"/>
      <c r="J39" s="179"/>
      <c r="K39" s="179"/>
      <c r="L39" s="783" t="s">
        <v>610</v>
      </c>
      <c r="M39" s="784">
        <f>År-1</f>
        <v>2022</v>
      </c>
      <c r="N39" s="2234" t="str">
        <f>År-1&amp;-År</f>
        <v>2022-2023</v>
      </c>
      <c r="O39" s="2193"/>
      <c r="P39" s="1296"/>
      <c r="Q39" s="257"/>
      <c r="R39" s="1309"/>
      <c r="S39" s="1273"/>
      <c r="T39" s="1500"/>
    </row>
    <row r="40" spans="1:25" s="197" customFormat="1" ht="18" customHeight="1" thickBot="1">
      <c r="A40" s="781">
        <v>600</v>
      </c>
      <c r="B40" s="2158">
        <v>451</v>
      </c>
      <c r="C40" s="1989" t="s">
        <v>675</v>
      </c>
      <c r="D40" s="1438">
        <v>11606.062</v>
      </c>
      <c r="E40" s="227"/>
      <c r="F40" s="699">
        <v>602</v>
      </c>
      <c r="G40" s="700">
        <v>4513</v>
      </c>
      <c r="H40" s="701" t="s">
        <v>150</v>
      </c>
      <c r="I40" s="2128">
        <v>117.578</v>
      </c>
      <c r="J40" s="140"/>
      <c r="K40" s="140"/>
      <c r="L40" s="1204"/>
      <c r="M40" s="1200"/>
      <c r="N40" s="2224"/>
      <c r="O40" s="2193"/>
      <c r="P40" s="1294"/>
      <c r="Q40" s="1299"/>
      <c r="R40" s="1308"/>
      <c r="S40" s="1308"/>
      <c r="T40" s="1299"/>
    </row>
    <row r="41" spans="1:25" s="197" customFormat="1" ht="12.75">
      <c r="A41" s="556">
        <v>610</v>
      </c>
      <c r="B41" s="557">
        <v>452</v>
      </c>
      <c r="C41" s="550" t="s">
        <v>676</v>
      </c>
      <c r="D41" s="98">
        <v>1054.9690000000001</v>
      </c>
      <c r="E41" s="227"/>
      <c r="F41" s="785">
        <v>630</v>
      </c>
      <c r="G41" s="786">
        <v>4538</v>
      </c>
      <c r="H41" s="2253" t="s">
        <v>1111</v>
      </c>
      <c r="I41" s="2210">
        <v>4432.3410000000003</v>
      </c>
      <c r="J41" s="289"/>
      <c r="K41" s="289"/>
      <c r="L41" s="781"/>
      <c r="M41" s="759"/>
      <c r="N41" s="2225"/>
      <c r="O41" s="2193"/>
      <c r="P41" s="1294"/>
      <c r="Q41" s="1299"/>
      <c r="R41" s="1308"/>
      <c r="S41" s="1308"/>
      <c r="T41" s="1299"/>
    </row>
    <row r="42" spans="1:25" s="197" customFormat="1" ht="18" customHeight="1" thickBot="1">
      <c r="A42" s="556">
        <v>620</v>
      </c>
      <c r="B42" s="554">
        <v>453</v>
      </c>
      <c r="C42" s="2200" t="s">
        <v>1110</v>
      </c>
      <c r="D42" s="176">
        <v>15099.322</v>
      </c>
      <c r="E42" s="227"/>
      <c r="F42" s="573">
        <v>631</v>
      </c>
      <c r="G42" s="1766" t="s">
        <v>980</v>
      </c>
      <c r="H42" s="2001" t="s">
        <v>984</v>
      </c>
      <c r="I42" s="225">
        <v>1253.441</v>
      </c>
      <c r="J42" s="140"/>
      <c r="K42" s="140"/>
      <c r="L42" s="549"/>
      <c r="M42" s="774"/>
      <c r="N42" s="2226"/>
      <c r="O42" s="2193"/>
      <c r="P42" s="1294"/>
      <c r="Q42" s="1299"/>
      <c r="R42" s="1308"/>
      <c r="S42" s="1308"/>
      <c r="T42" s="1299"/>
    </row>
    <row r="43" spans="1:25" s="197" customFormat="1" ht="20.25" customHeight="1">
      <c r="A43" s="663">
        <v>650</v>
      </c>
      <c r="B43" s="554">
        <v>454</v>
      </c>
      <c r="C43" s="555" t="s">
        <v>899</v>
      </c>
      <c r="D43" s="176">
        <v>1250.576</v>
      </c>
      <c r="E43" s="227"/>
      <c r="F43" s="1390" t="s">
        <v>785</v>
      </c>
      <c r="G43" s="1391" t="s">
        <v>737</v>
      </c>
      <c r="H43" s="1307" t="s">
        <v>900</v>
      </c>
      <c r="I43" s="1249">
        <v>954.05700000000002</v>
      </c>
      <c r="J43" s="2178"/>
      <c r="K43" s="140"/>
      <c r="L43" s="781"/>
      <c r="M43" s="759"/>
      <c r="N43" s="2225"/>
      <c r="O43" s="2193"/>
      <c r="P43" s="1294"/>
      <c r="Q43" s="1299"/>
      <c r="R43" s="1308"/>
      <c r="S43" s="1308"/>
      <c r="T43" s="1299"/>
    </row>
    <row r="44" spans="1:25" s="197" customFormat="1" ht="13.5" thickBot="1">
      <c r="A44" s="545">
        <v>690</v>
      </c>
      <c r="B44" s="559"/>
      <c r="C44" s="536" t="s">
        <v>740</v>
      </c>
      <c r="D44" s="354">
        <f>SUM(D40,D41,D42,D43)</f>
        <v>29010.929</v>
      </c>
      <c r="E44" s="227"/>
      <c r="F44" s="1392">
        <v>652</v>
      </c>
      <c r="G44" s="1393">
        <v>4542</v>
      </c>
      <c r="H44" s="1317" t="s">
        <v>901</v>
      </c>
      <c r="I44" s="1250">
        <v>279.06700000000001</v>
      </c>
      <c r="J44" s="2178"/>
      <c r="L44" s="558">
        <v>690</v>
      </c>
      <c r="M44" s="1195">
        <v>33521.271000000001</v>
      </c>
      <c r="N44" s="2227">
        <f>IF(ISERROR((D44-M44)/M44),0,((D44-M44)/M44))</f>
        <v>-0.13455164035993744</v>
      </c>
      <c r="O44" s="2193"/>
      <c r="P44" s="1298"/>
      <c r="Q44" s="1299"/>
      <c r="R44" s="1300"/>
      <c r="S44" s="1308"/>
      <c r="T44" s="1299"/>
      <c r="V44" s="1293"/>
    </row>
    <row r="45" spans="1:25" s="197" customFormat="1" ht="23.25" customHeight="1">
      <c r="A45" s="560">
        <v>100</v>
      </c>
      <c r="B45" s="1386" t="s">
        <v>1067</v>
      </c>
      <c r="C45" s="562" t="s">
        <v>677</v>
      </c>
      <c r="D45" s="98">
        <v>323091.09700000001</v>
      </c>
      <c r="E45" s="227"/>
      <c r="F45" s="1251">
        <v>102</v>
      </c>
      <c r="G45" s="1252">
        <v>512</v>
      </c>
      <c r="H45" s="1253" t="s">
        <v>151</v>
      </c>
      <c r="I45" s="1254">
        <v>7183.3239999999996</v>
      </c>
      <c r="J45" s="140"/>
      <c r="K45" s="140"/>
      <c r="L45" s="764">
        <v>100</v>
      </c>
      <c r="M45" s="1194">
        <v>309154.49</v>
      </c>
      <c r="N45" s="2226">
        <f>IF(ISERROR((D45-M45)/M45),0,((D45-M45)/M45))</f>
        <v>4.5079749609976613E-2</v>
      </c>
      <c r="O45" s="2193"/>
      <c r="P45" s="1294"/>
      <c r="Q45" s="1259"/>
      <c r="R45" s="1998"/>
      <c r="S45" s="1507"/>
      <c r="T45" s="1299"/>
    </row>
    <row r="46" spans="1:25" s="197" customFormat="1" ht="21" customHeight="1">
      <c r="A46" s="547">
        <v>110</v>
      </c>
      <c r="B46" s="2017" t="s">
        <v>1068</v>
      </c>
      <c r="C46" s="548" t="str">
        <f>"Sociala avg. enl. lag o. avtal (inkl. lönesk för "&amp;År&amp;"), exkl särskild löneskatt på avsättning för pensioner"</f>
        <v>Sociala avg. enl. lag o. avtal (inkl. lönesk för 2023), exkl särskild löneskatt på avsättning för pensioner</v>
      </c>
      <c r="D46" s="304">
        <v>110108.254</v>
      </c>
      <c r="E46" s="227"/>
      <c r="F46" s="575">
        <v>111</v>
      </c>
      <c r="G46" s="1235" t="s">
        <v>730</v>
      </c>
      <c r="H46" s="576" t="s">
        <v>1187</v>
      </c>
      <c r="I46" s="287">
        <v>9394.5480000000007</v>
      </c>
      <c r="J46" s="140"/>
      <c r="K46" s="140"/>
      <c r="L46" s="1202"/>
      <c r="M46" s="1043"/>
      <c r="N46" s="2225"/>
      <c r="O46" s="2193"/>
      <c r="P46" s="1294"/>
      <c r="Q46" s="1259"/>
      <c r="R46" s="2020"/>
      <c r="S46" s="1507"/>
      <c r="T46" s="1299"/>
    </row>
    <row r="47" spans="1:25" s="197" customFormat="1" ht="13.5" customHeight="1">
      <c r="A47" s="2077">
        <v>103</v>
      </c>
      <c r="B47" s="2021">
        <v>591</v>
      </c>
      <c r="C47" s="550" t="s">
        <v>1169</v>
      </c>
      <c r="D47" s="98">
        <v>-1734.174</v>
      </c>
      <c r="E47" s="227"/>
      <c r="F47" s="2023"/>
      <c r="G47" s="2024"/>
      <c r="H47" s="2025"/>
      <c r="I47" s="2055"/>
      <c r="J47" s="140"/>
      <c r="K47" s="140"/>
      <c r="L47" s="1202"/>
      <c r="M47" s="1043"/>
      <c r="N47" s="2225"/>
      <c r="O47" s="2193"/>
      <c r="P47" s="1294"/>
      <c r="Q47" s="1259"/>
      <c r="R47" s="2020"/>
      <c r="S47" s="1507"/>
      <c r="T47" s="1299"/>
    </row>
    <row r="48" spans="1:25" s="197" customFormat="1" ht="18.75" customHeight="1">
      <c r="A48" s="549">
        <v>115</v>
      </c>
      <c r="B48" s="2018" t="s">
        <v>1069</v>
      </c>
      <c r="C48" s="550" t="s">
        <v>1170</v>
      </c>
      <c r="D48" s="98">
        <v>8289.6129999999994</v>
      </c>
      <c r="E48" s="227"/>
      <c r="F48" s="2026"/>
      <c r="G48" s="2027"/>
      <c r="H48" s="2028"/>
      <c r="I48" s="2022"/>
      <c r="J48" s="140"/>
      <c r="L48" s="549">
        <v>115</v>
      </c>
      <c r="M48" s="1194">
        <v>2235.4690000000001</v>
      </c>
      <c r="N48" s="2226">
        <f>IF(ISERROR((D48-M48)/M48),0,((D48-M48)/M48))</f>
        <v>2.708220959449672</v>
      </c>
      <c r="O48" s="2193"/>
      <c r="P48" s="1294"/>
      <c r="Q48" s="1299"/>
      <c r="R48" s="1299"/>
      <c r="S48" s="1299"/>
      <c r="T48" s="1299"/>
    </row>
    <row r="49" spans="1:20" s="197" customFormat="1" ht="13.5" customHeight="1">
      <c r="A49" s="551">
        <v>120</v>
      </c>
      <c r="B49" s="552">
        <v>573</v>
      </c>
      <c r="C49" s="550" t="s">
        <v>894</v>
      </c>
      <c r="D49" s="220">
        <v>11534.183000000001</v>
      </c>
      <c r="E49" s="227"/>
      <c r="F49" s="699">
        <v>121</v>
      </c>
      <c r="G49" s="700" t="s">
        <v>539</v>
      </c>
      <c r="H49" s="751" t="s">
        <v>773</v>
      </c>
      <c r="I49" s="285">
        <v>1814.9590000000001</v>
      </c>
      <c r="J49" s="1222"/>
      <c r="L49" s="547">
        <v>120</v>
      </c>
      <c r="M49" s="1188">
        <v>10902.84</v>
      </c>
      <c r="N49" s="2230">
        <f>IF(ISERROR((D49-M49)/M49),0,((D49-M49)/M49))</f>
        <v>5.7906288636722245E-2</v>
      </c>
      <c r="O49" s="2193"/>
      <c r="P49" s="1297"/>
      <c r="Q49" s="1299"/>
      <c r="R49" s="1308"/>
      <c r="S49" s="1308"/>
      <c r="T49" s="1299"/>
    </row>
    <row r="50" spans="1:20" s="197" customFormat="1" ht="12.75">
      <c r="A50" s="551">
        <v>180</v>
      </c>
      <c r="B50" s="554">
        <v>571</v>
      </c>
      <c r="C50" s="550" t="s">
        <v>741</v>
      </c>
      <c r="D50" s="176">
        <v>6143.6229999999996</v>
      </c>
      <c r="E50" s="227"/>
      <c r="F50" s="702">
        <v>122</v>
      </c>
      <c r="G50" s="664" t="s">
        <v>540</v>
      </c>
      <c r="H50" s="753" t="s">
        <v>1178</v>
      </c>
      <c r="I50" s="286">
        <v>9459.8019999999997</v>
      </c>
      <c r="J50" s="1957"/>
      <c r="K50" s="4"/>
      <c r="L50" s="551"/>
      <c r="M50" s="1052"/>
      <c r="N50" s="2228"/>
      <c r="O50" s="2193"/>
      <c r="P50" s="1294"/>
      <c r="Q50" s="1299"/>
      <c r="R50" s="1308"/>
      <c r="S50" s="1308"/>
      <c r="T50" s="1299"/>
    </row>
    <row r="51" spans="1:20" s="197" customFormat="1" ht="12.75">
      <c r="A51" s="556">
        <v>186</v>
      </c>
      <c r="B51" s="557">
        <v>574</v>
      </c>
      <c r="C51" s="550" t="s">
        <v>3</v>
      </c>
      <c r="D51" s="98">
        <v>94.358000000000004</v>
      </c>
      <c r="E51" s="227"/>
      <c r="F51" s="704">
        <v>123</v>
      </c>
      <c r="G51" s="789">
        <v>5733</v>
      </c>
      <c r="H51" s="574" t="s">
        <v>1179</v>
      </c>
      <c r="I51" s="287">
        <v>259.41500000000002</v>
      </c>
      <c r="J51" s="1957"/>
      <c r="K51" s="155"/>
      <c r="L51" s="781"/>
      <c r="M51" s="1043"/>
      <c r="N51" s="2225"/>
      <c r="O51" s="2193"/>
      <c r="P51" s="1294"/>
      <c r="Q51" s="1299"/>
      <c r="R51" s="1308"/>
      <c r="S51" s="1308"/>
      <c r="T51" s="1299"/>
    </row>
    <row r="52" spans="1:20" s="197" customFormat="1" ht="12.75">
      <c r="A52" s="556">
        <v>185</v>
      </c>
      <c r="B52" s="554">
        <v>575</v>
      </c>
      <c r="C52" s="555" t="str">
        <f>"Pensionskostnad, avgiftsbestämd ålderspension"</f>
        <v>Pensionskostnad, avgiftsbestämd ålderspension</v>
      </c>
      <c r="D52" s="176">
        <v>21905.123</v>
      </c>
      <c r="E52" s="1928"/>
      <c r="F52" s="4"/>
      <c r="G52" s="4"/>
      <c r="H52" s="66"/>
      <c r="K52" s="4"/>
      <c r="L52" s="781"/>
      <c r="M52" s="1043"/>
      <c r="N52" s="2225"/>
      <c r="O52" s="2193"/>
      <c r="P52" s="1294"/>
      <c r="Q52" s="1299"/>
      <c r="R52" s="1308"/>
      <c r="S52" s="1308"/>
      <c r="T52" s="168"/>
    </row>
    <row r="53" spans="1:20" s="197" customFormat="1" ht="13.5" thickBot="1">
      <c r="A53" s="558">
        <v>189</v>
      </c>
      <c r="B53" s="559"/>
      <c r="C53" s="536" t="s">
        <v>678</v>
      </c>
      <c r="D53" s="354">
        <f>SUM(D45:D52)</f>
        <v>479432.07700000011</v>
      </c>
      <c r="E53" s="227"/>
      <c r="F53" s="4"/>
      <c r="G53" s="4"/>
      <c r="H53" s="66"/>
      <c r="I53" s="66"/>
      <c r="L53" s="558"/>
      <c r="M53" s="1195"/>
      <c r="N53" s="2227"/>
      <c r="O53" s="2193"/>
      <c r="P53" s="1298"/>
      <c r="Q53" s="1299"/>
      <c r="R53" s="1300"/>
      <c r="S53" s="1300"/>
      <c r="T53" s="168"/>
    </row>
    <row r="54" spans="1:20" s="197" customFormat="1" ht="12.75">
      <c r="A54" s="560">
        <v>300</v>
      </c>
      <c r="B54" s="557" t="s">
        <v>769</v>
      </c>
      <c r="C54" s="550" t="s">
        <v>1171</v>
      </c>
      <c r="D54" s="98">
        <v>12403.873</v>
      </c>
      <c r="E54" s="227"/>
      <c r="F54" s="696">
        <v>318</v>
      </c>
      <c r="G54" s="787">
        <v>628</v>
      </c>
      <c r="H54" s="788" t="s">
        <v>152</v>
      </c>
      <c r="I54" s="224">
        <v>732.00099999999998</v>
      </c>
      <c r="J54" s="140"/>
      <c r="K54" s="140"/>
      <c r="L54" s="1204"/>
      <c r="M54" s="1225"/>
      <c r="N54" s="2224"/>
      <c r="O54" s="2193"/>
      <c r="P54" s="1294"/>
      <c r="Q54" s="1259"/>
      <c r="R54" s="1324"/>
      <c r="S54" s="1308"/>
      <c r="T54" s="1299"/>
    </row>
    <row r="55" spans="1:20" s="197" customFormat="1" ht="12.75">
      <c r="A55" s="556">
        <v>325</v>
      </c>
      <c r="B55" s="557">
        <v>644</v>
      </c>
      <c r="C55" s="550" t="s">
        <v>679</v>
      </c>
      <c r="D55" s="98">
        <v>9489.3529999999992</v>
      </c>
      <c r="E55" s="227"/>
      <c r="F55" s="4"/>
      <c r="G55" s="4"/>
      <c r="H55" s="66"/>
      <c r="K55" s="4"/>
      <c r="L55" s="781"/>
      <c r="M55" s="1043"/>
      <c r="N55" s="2225"/>
      <c r="O55" s="2193"/>
      <c r="P55" s="1294"/>
      <c r="Q55" s="1299"/>
      <c r="R55" s="1308"/>
      <c r="S55" s="1308"/>
      <c r="T55" s="168"/>
    </row>
    <row r="56" spans="1:20" s="197" customFormat="1" ht="12.75">
      <c r="A56" s="556">
        <v>330</v>
      </c>
      <c r="B56" s="557">
        <v>651</v>
      </c>
      <c r="C56" s="550" t="s">
        <v>680</v>
      </c>
      <c r="D56" s="98">
        <v>405.37299999999999</v>
      </c>
      <c r="E56" s="227"/>
      <c r="F56" s="4"/>
      <c r="G56" s="4"/>
      <c r="H56" s="66"/>
      <c r="I56" s="66"/>
      <c r="L56" s="781"/>
      <c r="M56" s="1043"/>
      <c r="N56" s="2225"/>
      <c r="O56" s="2193"/>
      <c r="P56" s="1294"/>
      <c r="Q56" s="1299"/>
      <c r="R56" s="1308"/>
      <c r="S56" s="1308"/>
      <c r="T56" s="168"/>
    </row>
    <row r="57" spans="1:20" s="197" customFormat="1" ht="12.75">
      <c r="A57" s="556">
        <v>340</v>
      </c>
      <c r="B57" s="561" t="s">
        <v>656</v>
      </c>
      <c r="C57" s="562" t="s">
        <v>681</v>
      </c>
      <c r="D57" s="98">
        <v>19758.494999999999</v>
      </c>
      <c r="E57" s="227"/>
      <c r="F57" s="1383" t="s">
        <v>784</v>
      </c>
      <c r="G57" s="1642">
        <v>641</v>
      </c>
      <c r="H57" s="1643" t="s">
        <v>748</v>
      </c>
      <c r="I57" s="1644">
        <v>3898.77</v>
      </c>
      <c r="J57" s="140"/>
      <c r="K57" s="4"/>
      <c r="L57" s="549"/>
      <c r="M57" s="1194"/>
      <c r="N57" s="2226"/>
      <c r="O57" s="2193"/>
      <c r="P57" s="1294"/>
      <c r="Q57" s="1299"/>
      <c r="R57" s="1324"/>
      <c r="S57" s="1308"/>
      <c r="T57" s="1324"/>
    </row>
    <row r="58" spans="1:20" s="197" customFormat="1" ht="13.5" thickBot="1">
      <c r="A58" s="558">
        <v>360</v>
      </c>
      <c r="B58" s="563"/>
      <c r="C58" s="564" t="s">
        <v>682</v>
      </c>
      <c r="D58" s="354">
        <f>SUM(D54,D55,D56,D57)</f>
        <v>42057.093999999997</v>
      </c>
      <c r="E58" s="227"/>
      <c r="F58" s="1385" t="s">
        <v>933</v>
      </c>
      <c r="G58" s="2249">
        <v>418</v>
      </c>
      <c r="H58" s="2254" t="s">
        <v>1112</v>
      </c>
      <c r="I58" s="1282">
        <v>1324.6489999999999</v>
      </c>
      <c r="J58" s="140"/>
      <c r="K58" s="4"/>
      <c r="L58" s="558">
        <v>360</v>
      </c>
      <c r="M58" s="1195">
        <v>41898.216999999997</v>
      </c>
      <c r="N58" s="2227">
        <f>IF(ISERROR((D58-M58)/M58),0,((D58-M58)/M58))</f>
        <v>3.7919752050546785E-3</v>
      </c>
      <c r="O58" s="2193"/>
      <c r="P58" s="1298"/>
      <c r="Q58" s="1299"/>
      <c r="R58" s="17"/>
      <c r="S58" s="1308"/>
      <c r="T58" s="1324"/>
    </row>
    <row r="59" spans="1:20" s="197" customFormat="1" ht="12.75" customHeight="1">
      <c r="A59" s="556">
        <v>345</v>
      </c>
      <c r="B59" s="557" t="s">
        <v>778</v>
      </c>
      <c r="C59" s="550" t="s">
        <v>1172</v>
      </c>
      <c r="D59" s="98">
        <v>9351.7369999999992</v>
      </c>
      <c r="E59" s="227"/>
      <c r="F59" s="4"/>
      <c r="G59" s="4"/>
      <c r="H59" s="66"/>
      <c r="I59" s="66"/>
      <c r="K59" s="4"/>
      <c r="L59" s="1204"/>
      <c r="M59" s="1225"/>
      <c r="N59" s="2224"/>
      <c r="O59" s="2193"/>
      <c r="P59" s="1294"/>
      <c r="Q59" s="1299"/>
      <c r="R59" s="1308"/>
      <c r="S59" s="1308"/>
      <c r="T59" s="168"/>
    </row>
    <row r="60" spans="1:20" s="197" customFormat="1" ht="12.75">
      <c r="A60" s="556">
        <v>401</v>
      </c>
      <c r="B60" s="557">
        <v>46</v>
      </c>
      <c r="C60" s="550" t="s">
        <v>742</v>
      </c>
      <c r="D60" s="98">
        <v>159724.08100000001</v>
      </c>
      <c r="E60" s="227"/>
      <c r="F60" s="4"/>
      <c r="G60" s="4"/>
      <c r="H60" s="66"/>
      <c r="I60" s="66"/>
      <c r="K60" s="4"/>
      <c r="L60" s="547">
        <v>401</v>
      </c>
      <c r="M60" s="1188">
        <v>150198.533</v>
      </c>
      <c r="N60" s="2230">
        <f>IF(ISERROR((D60-M60)/M60),0,((D60-M60)/M60))</f>
        <v>6.3419713959523227E-2</v>
      </c>
      <c r="O60" s="2193"/>
      <c r="P60" s="1294"/>
      <c r="Q60" s="1299"/>
      <c r="R60" s="1308"/>
      <c r="S60" s="1308"/>
      <c r="T60" s="168"/>
    </row>
    <row r="61" spans="1:20" s="197" customFormat="1" ht="12.75">
      <c r="A61" s="556">
        <v>410</v>
      </c>
      <c r="B61" s="557">
        <v>74</v>
      </c>
      <c r="C61" s="550" t="s">
        <v>771</v>
      </c>
      <c r="D61" s="98">
        <v>27356.314999999999</v>
      </c>
      <c r="E61" s="227"/>
      <c r="F61" s="4"/>
      <c r="G61" s="4"/>
      <c r="H61" s="66"/>
      <c r="I61" s="66"/>
      <c r="K61" s="4"/>
      <c r="L61" s="781"/>
      <c r="M61" s="1043"/>
      <c r="N61" s="2225"/>
      <c r="O61" s="2193"/>
      <c r="P61" s="1294"/>
      <c r="Q61" s="1299"/>
      <c r="R61" s="1500"/>
      <c r="S61" s="1308"/>
      <c r="T61" s="168"/>
    </row>
    <row r="62" spans="1:20" s="197" customFormat="1" ht="17.25" customHeight="1">
      <c r="A62" s="556">
        <v>411</v>
      </c>
      <c r="B62" s="557">
        <v>75</v>
      </c>
      <c r="C62" s="550" t="s">
        <v>1035</v>
      </c>
      <c r="D62" s="98">
        <v>3771.2829999999999</v>
      </c>
      <c r="E62" s="227"/>
      <c r="F62" s="4"/>
      <c r="G62" s="4"/>
      <c r="H62" s="66"/>
      <c r="I62" s="66"/>
      <c r="K62" s="4"/>
      <c r="L62" s="781"/>
      <c r="M62" s="1043"/>
      <c r="N62" s="2225"/>
      <c r="O62" s="2193"/>
      <c r="P62" s="1294"/>
      <c r="Q62" s="1299"/>
      <c r="R62" s="1308"/>
      <c r="S62" s="1308"/>
      <c r="T62" s="168"/>
    </row>
    <row r="63" spans="1:20" s="197" customFormat="1" ht="12.75">
      <c r="A63" s="556">
        <v>415</v>
      </c>
      <c r="B63" s="557" t="s">
        <v>779</v>
      </c>
      <c r="C63" s="550" t="s">
        <v>1173</v>
      </c>
      <c r="D63" s="98">
        <v>4840.3869999999997</v>
      </c>
      <c r="E63" s="227"/>
      <c r="F63" s="4"/>
      <c r="G63" s="4"/>
      <c r="H63" s="66"/>
      <c r="I63" s="66"/>
      <c r="K63" s="4"/>
      <c r="L63" s="781"/>
      <c r="M63" s="1043"/>
      <c r="N63" s="2225"/>
      <c r="O63" s="2193"/>
      <c r="P63" s="1294"/>
      <c r="Q63" s="1299"/>
      <c r="R63" s="1324"/>
      <c r="S63" s="1308"/>
      <c r="T63" s="168"/>
    </row>
    <row r="64" spans="1:20" s="197" customFormat="1" ht="12.75">
      <c r="A64" s="556">
        <v>416</v>
      </c>
      <c r="B64" s="561">
        <v>68</v>
      </c>
      <c r="C64" s="550" t="s">
        <v>1174</v>
      </c>
      <c r="D64" s="98">
        <v>2089.9839999999999</v>
      </c>
      <c r="E64" s="227"/>
      <c r="F64" s="4"/>
      <c r="G64" s="4"/>
      <c r="H64" s="66"/>
      <c r="I64" s="66"/>
      <c r="K64" s="4"/>
      <c r="L64" s="781"/>
      <c r="M64" s="1043"/>
      <c r="N64" s="2225"/>
      <c r="O64" s="2193"/>
      <c r="P64" s="1294"/>
      <c r="Q64" s="1299"/>
      <c r="R64" s="1324"/>
      <c r="S64" s="1324"/>
      <c r="T64" s="168"/>
    </row>
    <row r="65" spans="1:25" s="197" customFormat="1" ht="12.75">
      <c r="A65" s="556">
        <v>430</v>
      </c>
      <c r="B65" s="561">
        <v>66</v>
      </c>
      <c r="C65" s="550" t="s">
        <v>743</v>
      </c>
      <c r="D65" s="98">
        <v>2231.2849999999999</v>
      </c>
      <c r="E65" s="227"/>
      <c r="F65" s="4"/>
      <c r="G65" s="4"/>
      <c r="H65" s="66"/>
      <c r="I65" s="66"/>
      <c r="K65" s="4"/>
      <c r="L65" s="781"/>
      <c r="M65" s="1043"/>
      <c r="N65" s="2225"/>
      <c r="O65" s="2193"/>
      <c r="P65" s="1294"/>
      <c r="Q65" s="1299"/>
      <c r="R65" s="1324"/>
      <c r="S65" s="1324"/>
      <c r="T65" s="168"/>
    </row>
    <row r="66" spans="1:25" s="197" customFormat="1" ht="12.75">
      <c r="A66" s="556">
        <v>440</v>
      </c>
      <c r="B66" s="561">
        <v>701</v>
      </c>
      <c r="C66" s="550" t="s">
        <v>1033</v>
      </c>
      <c r="D66" s="98">
        <v>8547.9220000000005</v>
      </c>
      <c r="E66" s="227"/>
      <c r="F66" s="4"/>
      <c r="G66" s="4"/>
      <c r="H66" s="66"/>
      <c r="I66" s="66"/>
      <c r="K66" s="4"/>
      <c r="L66" s="549"/>
      <c r="M66" s="1194"/>
      <c r="N66" s="2226"/>
      <c r="O66" s="2193"/>
      <c r="P66" s="1294"/>
      <c r="Q66" s="1299"/>
      <c r="R66" s="1308"/>
      <c r="S66" s="1324"/>
      <c r="T66" s="168"/>
    </row>
    <row r="67" spans="1:25" s="197" customFormat="1" ht="12.75">
      <c r="A67" s="556">
        <v>450</v>
      </c>
      <c r="B67" s="561">
        <v>601</v>
      </c>
      <c r="C67" s="550" t="s">
        <v>1034</v>
      </c>
      <c r="D67" s="98">
        <v>38182.084000000003</v>
      </c>
      <c r="E67" s="227"/>
      <c r="F67" s="4"/>
      <c r="G67" s="4"/>
      <c r="H67" s="66"/>
      <c r="I67" s="66"/>
      <c r="K67" s="4"/>
      <c r="L67" s="547">
        <v>450</v>
      </c>
      <c r="M67" s="1188">
        <v>35547.087</v>
      </c>
      <c r="N67" s="2230">
        <f>IF(ISERROR((D67-M67)/M67),0,((D67-M67)/M67))</f>
        <v>7.4126946042020345E-2</v>
      </c>
      <c r="O67" s="2193"/>
      <c r="P67" s="1294"/>
      <c r="Q67" s="1299"/>
      <c r="R67" s="1324"/>
      <c r="S67" s="1324"/>
      <c r="T67" s="168"/>
    </row>
    <row r="68" spans="1:25" s="197" customFormat="1" ht="18.75">
      <c r="A68" s="556">
        <v>460</v>
      </c>
      <c r="B68" s="561">
        <v>602</v>
      </c>
      <c r="C68" s="562" t="s">
        <v>683</v>
      </c>
      <c r="D68" s="98">
        <v>88.266000000000005</v>
      </c>
      <c r="E68" s="227"/>
      <c r="F68" s="1680">
        <v>469</v>
      </c>
      <c r="G68" s="1681" t="s">
        <v>903</v>
      </c>
      <c r="H68" s="1511" t="s">
        <v>1180</v>
      </c>
      <c r="I68" s="1509">
        <v>3860.0360000000001</v>
      </c>
      <c r="K68" s="4"/>
      <c r="L68" s="551"/>
      <c r="M68" s="1052"/>
      <c r="N68" s="2228"/>
      <c r="O68" s="2193"/>
      <c r="P68" s="1294"/>
      <c r="Q68" s="1299"/>
      <c r="R68" s="1324"/>
      <c r="S68" s="1324"/>
      <c r="T68" s="1299"/>
    </row>
    <row r="69" spans="1:25" s="197" customFormat="1" ht="20.25" customHeight="1">
      <c r="A69" s="556">
        <v>470</v>
      </c>
      <c r="B69" s="1386" t="s">
        <v>1037</v>
      </c>
      <c r="C69" s="587" t="s">
        <v>1175</v>
      </c>
      <c r="D69" s="221">
        <v>9636.0619999999999</v>
      </c>
      <c r="E69" s="227"/>
      <c r="F69" s="702">
        <v>472</v>
      </c>
      <c r="G69" s="703">
        <v>731</v>
      </c>
      <c r="H69" s="2002" t="s">
        <v>1036</v>
      </c>
      <c r="I69" s="1510">
        <v>1440.7619999999999</v>
      </c>
      <c r="K69" s="4"/>
      <c r="L69" s="781"/>
      <c r="M69" s="1043"/>
      <c r="N69" s="2225"/>
      <c r="O69" s="2193"/>
      <c r="P69" s="1294"/>
      <c r="Q69" s="1299"/>
      <c r="R69" s="1308"/>
      <c r="S69" s="1308"/>
      <c r="T69" s="1299"/>
    </row>
    <row r="70" spans="1:25" s="197" customFormat="1" ht="18.75" customHeight="1">
      <c r="A70" s="556">
        <v>471</v>
      </c>
      <c r="B70" s="557" t="s">
        <v>657</v>
      </c>
      <c r="C70" s="550" t="s">
        <v>684</v>
      </c>
      <c r="D70" s="99">
        <v>13336.335999999999</v>
      </c>
      <c r="E70" s="227"/>
      <c r="F70" s="702">
        <v>474</v>
      </c>
      <c r="G70" s="664">
        <v>732</v>
      </c>
      <c r="H70" s="753" t="s">
        <v>1008</v>
      </c>
      <c r="I70" s="286">
        <v>92.376000000000005</v>
      </c>
      <c r="K70" s="4"/>
      <c r="L70" s="549"/>
      <c r="M70" s="1194"/>
      <c r="N70" s="2226"/>
      <c r="O70" s="2193"/>
      <c r="P70" s="1294"/>
      <c r="Q70" s="1299"/>
      <c r="R70" s="1308"/>
      <c r="S70" s="1308"/>
      <c r="T70" s="1299"/>
    </row>
    <row r="71" spans="1:25" s="197" customFormat="1" ht="18.75" thickBot="1">
      <c r="A71" s="565">
        <v>479</v>
      </c>
      <c r="B71" s="566"/>
      <c r="C71" s="567" t="s">
        <v>685</v>
      </c>
      <c r="D71" s="355">
        <f>SUM(D59:D70)</f>
        <v>279155.74199999997</v>
      </c>
      <c r="E71" s="227"/>
      <c r="F71" s="1944">
        <v>476</v>
      </c>
      <c r="G71" s="1948" t="s">
        <v>1018</v>
      </c>
      <c r="H71" s="1897" t="s">
        <v>1181</v>
      </c>
      <c r="I71" s="286">
        <v>1072.8820000000001</v>
      </c>
      <c r="K71" s="4"/>
      <c r="L71" s="558">
        <v>479</v>
      </c>
      <c r="M71" s="1195">
        <v>263748.21299999999</v>
      </c>
      <c r="N71" s="2227">
        <f>IF(ISERROR((D71-M71)/M71),0,((D71-M71)/M71))</f>
        <v>5.8417567363764397E-2</v>
      </c>
      <c r="O71" s="2193"/>
      <c r="P71" s="1298"/>
      <c r="Q71" s="1299"/>
      <c r="R71" s="1300"/>
      <c r="S71" s="1308"/>
      <c r="T71" s="1299"/>
    </row>
    <row r="72" spans="1:25" s="197" customFormat="1" ht="19.5" customHeight="1">
      <c r="A72" s="568">
        <v>897</v>
      </c>
      <c r="B72" s="1386" t="s">
        <v>772</v>
      </c>
      <c r="C72" s="550" t="s">
        <v>1176</v>
      </c>
      <c r="D72" s="222">
        <v>1041.865</v>
      </c>
      <c r="E72" s="1929"/>
      <c r="F72" s="702">
        <v>477</v>
      </c>
      <c r="G72" s="664">
        <v>737</v>
      </c>
      <c r="H72" s="753" t="s">
        <v>1009</v>
      </c>
      <c r="I72" s="286">
        <v>24.11</v>
      </c>
      <c r="K72" s="4"/>
      <c r="L72" s="1204"/>
      <c r="M72" s="1225"/>
      <c r="N72" s="2224"/>
      <c r="O72" s="2193"/>
      <c r="P72" s="1294"/>
      <c r="Q72" s="1299"/>
      <c r="R72" s="1508"/>
      <c r="S72" s="1308"/>
      <c r="T72" s="1299"/>
    </row>
    <row r="73" spans="1:25" s="197" customFormat="1" ht="15" customHeight="1">
      <c r="A73" s="547">
        <v>899</v>
      </c>
      <c r="B73" s="1387">
        <v>787</v>
      </c>
      <c r="C73" s="562" t="s">
        <v>738</v>
      </c>
      <c r="D73" s="219">
        <v>100.539</v>
      </c>
      <c r="E73" s="2145"/>
      <c r="F73" s="1483" t="s">
        <v>244</v>
      </c>
      <c r="G73" s="664"/>
      <c r="H73" s="753" t="s">
        <v>877</v>
      </c>
      <c r="I73" s="286">
        <v>21.581</v>
      </c>
      <c r="J73" s="140"/>
      <c r="K73" s="4"/>
      <c r="L73" s="781"/>
      <c r="M73" s="1043"/>
      <c r="N73" s="2225"/>
      <c r="O73" s="2193"/>
      <c r="P73" s="1294"/>
      <c r="Q73" s="1299"/>
      <c r="R73" s="1308"/>
      <c r="S73" s="1299"/>
      <c r="T73" s="1299"/>
    </row>
    <row r="74" spans="1:25" s="197" customFormat="1" ht="12.75" customHeight="1" thickBot="1">
      <c r="A74" s="565">
        <v>900</v>
      </c>
      <c r="B74" s="569">
        <v>789</v>
      </c>
      <c r="C74" s="570" t="s">
        <v>446</v>
      </c>
      <c r="D74" s="223">
        <v>4.3760000000000003</v>
      </c>
      <c r="E74" s="302"/>
      <c r="F74" s="790">
        <v>478</v>
      </c>
      <c r="G74" s="664" t="s">
        <v>746</v>
      </c>
      <c r="H74" s="753" t="s">
        <v>1010</v>
      </c>
      <c r="I74" s="286">
        <v>2233.268</v>
      </c>
      <c r="K74" s="140"/>
      <c r="L74" s="781"/>
      <c r="M74" s="1043"/>
      <c r="N74" s="2225"/>
      <c r="O74" s="2193"/>
      <c r="P74" s="1294"/>
      <c r="Q74" s="1299"/>
      <c r="R74" s="1299"/>
      <c r="S74" s="1299"/>
      <c r="T74" s="1299"/>
    </row>
    <row r="75" spans="1:25" s="197" customFormat="1" ht="16.5" customHeight="1" thickBot="1">
      <c r="A75" s="560">
        <v>887</v>
      </c>
      <c r="B75" s="2240"/>
      <c r="C75" s="571" t="s">
        <v>1164</v>
      </c>
      <c r="D75" s="356">
        <f>SUM(D44+D53+D58+D71+D72+D73+D74)</f>
        <v>830802.62200000009</v>
      </c>
      <c r="F75" s="573">
        <v>473</v>
      </c>
      <c r="G75" s="1389" t="s">
        <v>791</v>
      </c>
      <c r="H75" s="1318" t="s">
        <v>1182</v>
      </c>
      <c r="I75" s="287">
        <v>521.577</v>
      </c>
      <c r="J75" s="140"/>
      <c r="K75" s="4"/>
      <c r="L75" s="545"/>
      <c r="M75" s="1226"/>
      <c r="N75" s="2229"/>
      <c r="O75" s="2193"/>
      <c r="P75" s="1298"/>
      <c r="Q75" s="1259"/>
      <c r="R75" s="1324"/>
      <c r="S75" s="1324"/>
      <c r="T75" s="1299"/>
    </row>
    <row r="76" spans="1:25" s="197" customFormat="1" ht="18" customHeight="1" thickBot="1">
      <c r="A76" s="572" t="s">
        <v>447</v>
      </c>
      <c r="B76" s="559"/>
      <c r="C76" s="536" t="s">
        <v>90</v>
      </c>
      <c r="D76" s="298">
        <f>RR!C8</f>
        <v>830802.62100000004</v>
      </c>
      <c r="E76" s="227"/>
      <c r="F76" s="2193"/>
      <c r="G76" s="2193"/>
      <c r="H76" s="2193"/>
      <c r="I76" s="2193"/>
      <c r="J76" s="2193"/>
      <c r="L76" s="1205"/>
      <c r="M76" s="1206"/>
      <c r="N76" s="2231"/>
      <c r="O76" s="2193"/>
      <c r="P76" s="1294"/>
      <c r="Q76" s="168"/>
      <c r="R76" s="1300"/>
      <c r="S76" s="1300"/>
      <c r="T76" s="168"/>
    </row>
    <row r="77" spans="1:25" s="197" customFormat="1" ht="15.75" customHeight="1">
      <c r="A77" s="2236" t="s">
        <v>1208</v>
      </c>
      <c r="B77" s="1388"/>
      <c r="C77" s="1388"/>
      <c r="D77" s="1653"/>
      <c r="F77" s="2193"/>
      <c r="G77" s="2193"/>
      <c r="H77" s="2193"/>
      <c r="I77" s="2193"/>
      <c r="J77" s="2193"/>
      <c r="K77" s="4"/>
      <c r="O77" s="2193"/>
      <c r="Q77" s="168"/>
      <c r="R77" s="1305"/>
      <c r="S77" s="1305"/>
      <c r="T77" s="168"/>
    </row>
    <row r="78" spans="1:25" s="197" customFormat="1" ht="21" customHeight="1">
      <c r="A78" s="144" t="s">
        <v>1209</v>
      </c>
      <c r="B78" s="78"/>
      <c r="C78" s="78"/>
      <c r="D78" s="4"/>
      <c r="F78" s="2193"/>
      <c r="G78" s="2193"/>
      <c r="H78" s="2193"/>
      <c r="I78" s="2193"/>
      <c r="J78" s="2193"/>
      <c r="K78" s="4"/>
      <c r="Q78" s="168"/>
      <c r="R78" s="2517"/>
      <c r="S78" s="2517"/>
      <c r="T78" s="2517"/>
    </row>
    <row r="79" spans="1:25" s="197" customFormat="1" ht="12.75" customHeight="1">
      <c r="A79" s="168"/>
      <c r="B79" s="168"/>
      <c r="C79" s="168"/>
      <c r="D79" s="168"/>
      <c r="F79" s="2193"/>
      <c r="G79" s="2193"/>
      <c r="H79" s="2193"/>
      <c r="I79" s="2193"/>
      <c r="J79" s="2193"/>
      <c r="K79" s="4"/>
      <c r="L79" s="168"/>
      <c r="M79" s="168"/>
      <c r="N79" s="168"/>
      <c r="O79" s="168"/>
      <c r="P79" s="168"/>
      <c r="Q79" s="168"/>
      <c r="R79" s="2517"/>
      <c r="S79" s="2517"/>
      <c r="T79" s="2517"/>
      <c r="U79" s="168"/>
      <c r="V79" s="168"/>
    </row>
    <row r="80" spans="1:25" s="197" customFormat="1" ht="12.75">
      <c r="A80" s="168"/>
      <c r="B80" s="168"/>
      <c r="C80" s="168"/>
      <c r="D80" s="168"/>
      <c r="E80" s="168"/>
      <c r="F80" s="4"/>
      <c r="G80" s="4"/>
      <c r="H80" s="4"/>
      <c r="I80" s="4"/>
      <c r="J80" s="4"/>
      <c r="K80" s="168"/>
      <c r="L80" s="168"/>
      <c r="M80" s="168"/>
      <c r="N80" s="168"/>
      <c r="O80" s="168"/>
      <c r="P80" s="168"/>
      <c r="Q80" s="168"/>
      <c r="R80" s="417"/>
      <c r="S80" s="417"/>
      <c r="T80" s="168"/>
      <c r="U80" s="168"/>
      <c r="V80" s="168"/>
      <c r="W80" s="168"/>
      <c r="X80" s="168"/>
      <c r="Y80" s="168"/>
    </row>
    <row r="81" ht="12.75"/>
    <row r="82" ht="12.75"/>
    <row r="83" ht="12.75"/>
    <row r="84" ht="12.75"/>
    <row r="85" ht="12.75" hidden="1"/>
    <row r="86" ht="12.75" hidden="1"/>
    <row r="87" ht="12.75" hidden="1"/>
    <row r="88" ht="12.75" hidden="1"/>
    <row r="89" ht="12.75" hidden="1"/>
    <row r="90" ht="12.75" hidden="1"/>
    <row r="91" ht="12.75" hidden="1"/>
    <row r="92" ht="12.75"/>
    <row r="93" ht="12.75" hidden="1"/>
  </sheetData>
  <sheetProtection algorithmName="SHA-512" hashValue="IHJcN5zw8B5rh3BYewqSrwq39sGjjoB8QmF+VYwt9VehDZKZpTQGMMAY6gF8CpywWXG78mxocOo0sJRipix8tw==" saltValue="pVGTbX+bX1ivTW32jvFQjg==" spinCount="100000" sheet="1" objects="1" scenarios="1"/>
  <mergeCells count="2">
    <mergeCell ref="B6:B7"/>
    <mergeCell ref="R78:T79"/>
  </mergeCells>
  <conditionalFormatting sqref="I17:I18 I21">
    <cfRule type="cellIs" dxfId="144" priority="21" stopIfTrue="1" operator="lessThan">
      <formula>-500</formula>
    </cfRule>
  </conditionalFormatting>
  <conditionalFormatting sqref="I24">
    <cfRule type="cellIs" dxfId="143" priority="20" stopIfTrue="1" operator="lessThan">
      <formula>-500</formula>
    </cfRule>
  </conditionalFormatting>
  <conditionalFormatting sqref="I57">
    <cfRule type="cellIs" dxfId="142" priority="19" stopIfTrue="1" operator="lessThan">
      <formula>-500</formula>
    </cfRule>
  </conditionalFormatting>
  <conditionalFormatting sqref="I27:I29">
    <cfRule type="cellIs" dxfId="141" priority="18" stopIfTrue="1" operator="lessThan">
      <formula>-500</formula>
    </cfRule>
  </conditionalFormatting>
  <conditionalFormatting sqref="D43 I43:I44">
    <cfRule type="cellIs" dxfId="140" priority="17" stopIfTrue="1" operator="lessThan">
      <formula>0</formula>
    </cfRule>
  </conditionalFormatting>
  <conditionalFormatting sqref="I68">
    <cfRule type="cellIs" dxfId="139" priority="16" stopIfTrue="1" operator="lessThan">
      <formula>-500</formula>
    </cfRule>
  </conditionalFormatting>
  <conditionalFormatting sqref="I68 I47:I48 I40:I45">
    <cfRule type="cellIs" dxfId="138" priority="15" stopIfTrue="1" operator="lessThan">
      <formula>-500</formula>
    </cfRule>
  </conditionalFormatting>
  <conditionalFormatting sqref="D8:D11 D13:D15 D17:D25 D27:D30 I24 I27:I29 D32:D34 D40:D43 D45 D49:D52 D54:D57 D59:D70 D72 D74 I68:I75 I57 I54 I49:I51">
    <cfRule type="cellIs" dxfId="137" priority="14" stopIfTrue="1" operator="lessThan">
      <formula>-500</formula>
    </cfRule>
  </conditionalFormatting>
  <conditionalFormatting sqref="I58">
    <cfRule type="cellIs" dxfId="136" priority="13" stopIfTrue="1" operator="lessThan">
      <formula>-500</formula>
    </cfRule>
  </conditionalFormatting>
  <conditionalFormatting sqref="I58">
    <cfRule type="cellIs" dxfId="135" priority="12" stopIfTrue="1" operator="lessThan">
      <formula>-500</formula>
    </cfRule>
  </conditionalFormatting>
  <conditionalFormatting sqref="I19:I20">
    <cfRule type="cellIs" dxfId="134" priority="11" stopIfTrue="1" operator="lessThan">
      <formula>-500</formula>
    </cfRule>
  </conditionalFormatting>
  <conditionalFormatting sqref="I19:I20">
    <cfRule type="cellIs" dxfId="133" priority="10" stopIfTrue="1" operator="lessThan">
      <formula>-500</formula>
    </cfRule>
  </conditionalFormatting>
  <conditionalFormatting sqref="I25">
    <cfRule type="cellIs" dxfId="132" priority="9" stopIfTrue="1" operator="lessThan">
      <formula>-500</formula>
    </cfRule>
  </conditionalFormatting>
  <conditionalFormatting sqref="I25">
    <cfRule type="cellIs" dxfId="131" priority="8" stopIfTrue="1" operator="lessThan">
      <formula>-500</formula>
    </cfRule>
  </conditionalFormatting>
  <conditionalFormatting sqref="D46">
    <cfRule type="cellIs" dxfId="130" priority="6" stopIfTrue="1" operator="lessThan">
      <formula>-500</formula>
    </cfRule>
  </conditionalFormatting>
  <conditionalFormatting sqref="I46">
    <cfRule type="cellIs" dxfId="129" priority="5" stopIfTrue="1" operator="lessThan">
      <formula>-500</formula>
    </cfRule>
  </conditionalFormatting>
  <conditionalFormatting sqref="I30">
    <cfRule type="cellIs" dxfId="128" priority="4" stopIfTrue="1" operator="lessThan">
      <formula>-500</formula>
    </cfRule>
  </conditionalFormatting>
  <conditionalFormatting sqref="I30">
    <cfRule type="cellIs" dxfId="127" priority="3" stopIfTrue="1" operator="lessThan">
      <formula>-500</formula>
    </cfRule>
  </conditionalFormatting>
  <conditionalFormatting sqref="I32">
    <cfRule type="cellIs" dxfId="126" priority="2" stopIfTrue="1" operator="lessThan">
      <formula>-500</formula>
    </cfRule>
  </conditionalFormatting>
  <conditionalFormatting sqref="I32">
    <cfRule type="cellIs" dxfId="125" priority="1" stopIfTrue="1" operator="lessThan">
      <formula>-500</formula>
    </cfRule>
  </conditionalFormatting>
  <dataValidations count="4">
    <dataValidation type="decimal" operator="lessThan" allowBlank="1" showInputMessage="1" showErrorMessage="1" error="beloppet ska vara 1000tal kr" sqref="I68" xr:uid="{00000000-0002-0000-0300-000000000000}">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4:D57 D40:D43 D17:D25 D27:D30 D13:D15 D8:D11 I54 I69:I75 I57:I58 D32:D34 D59:D70 D72:D74 D48:D52 I24:I25 D45:D46 I27:I30 I32 I40:I51" xr:uid="{00000000-0002-0000-0300-000002000000}">
      <formula1>99999999</formula1>
    </dataValidation>
    <dataValidation type="decimal" operator="lessThanOrEqual" allowBlank="1" showInputMessage="1" showErrorMessage="1" error="Beloppet ska redovisas med minustecken" sqref="D47"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49:G50 A76 F73 G74 F57:F58"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activeCell="A2" sqref="A2"/>
    </sheetView>
  </sheetViews>
  <sheetFormatPr defaultColWidth="9.42578125" defaultRowHeight="0" customHeight="1" zeroHeight="1"/>
  <cols>
    <col min="1" max="1" width="4" style="168" customWidth="1"/>
    <col min="2" max="2" width="9.42578125" style="168" customWidth="1"/>
    <col min="3" max="3" width="30.5703125" style="168" customWidth="1"/>
    <col min="4" max="4" width="10.5703125" style="168" customWidth="1"/>
    <col min="5" max="5" width="22" style="168" customWidth="1"/>
    <col min="6" max="6" width="5" style="168" customWidth="1"/>
    <col min="7" max="7" width="27.5703125" style="168" customWidth="1"/>
    <col min="8" max="8" width="4" style="168" customWidth="1"/>
    <col min="9" max="9" width="8.42578125" style="168" customWidth="1"/>
    <col min="10" max="10" width="31.42578125" style="168" customWidth="1"/>
    <col min="11" max="12" width="10.5703125" style="168" customWidth="1"/>
    <col min="13" max="13" width="13.42578125" style="168" customWidth="1"/>
    <col min="14" max="14" width="4.42578125" style="168" customWidth="1"/>
    <col min="15" max="15" width="3.5703125" style="168" customWidth="1"/>
    <col min="16" max="16" width="19.5703125" style="168" customWidth="1"/>
    <col min="17" max="17" width="7" style="168" customWidth="1"/>
    <col min="18" max="18" width="3.5703125" style="168" customWidth="1"/>
    <col min="19" max="19" width="1.5703125" style="168" customWidth="1"/>
    <col min="20" max="20" width="21.5703125" style="168" customWidth="1"/>
    <col min="21" max="16383" width="0" style="168" hidden="1" customWidth="1"/>
    <col min="16384" max="16384" width="4.42578125" style="168" hidden="1" customWidth="1"/>
  </cols>
  <sheetData>
    <row r="1" spans="1:20" ht="18">
      <c r="A1" s="1464" t="str">
        <f>"Skatteintäkter, utjämningssystem o. generella statliga bidrag samt finansiella poster "&amp;År&amp;", miljoner kr"</f>
        <v>Skatteintäkter, utjämningssystem o. generella statliga bidrag samt finansiella poster 2023, miljoner kr</v>
      </c>
      <c r="B1" s="513"/>
      <c r="C1" s="513"/>
      <c r="D1" s="513"/>
      <c r="E1" s="513"/>
      <c r="F1" s="513"/>
      <c r="G1" s="513"/>
      <c r="H1" s="513"/>
      <c r="I1" s="513"/>
      <c r="J1" s="513"/>
      <c r="K1" s="513"/>
      <c r="L1" s="513"/>
      <c r="M1" s="513"/>
      <c r="N1" s="515" t="s">
        <v>450</v>
      </c>
      <c r="O1" s="515"/>
      <c r="P1" s="515"/>
      <c r="Q1" s="515"/>
      <c r="R1" s="515"/>
      <c r="S1" s="515"/>
      <c r="T1" s="516" t="str">
        <f>Information!A2</f>
        <v>RIKSTOTAL</v>
      </c>
    </row>
    <row r="2" spans="1:20" ht="12.75" customHeight="1">
      <c r="A2" s="2193"/>
      <c r="B2" s="2193"/>
      <c r="C2" s="2193"/>
      <c r="D2" s="2193"/>
      <c r="E2" s="2193"/>
      <c r="F2" s="2193"/>
      <c r="G2" s="2193"/>
      <c r="H2" s="2193"/>
      <c r="I2" s="2193"/>
      <c r="J2" s="2193"/>
      <c r="K2" s="2193"/>
      <c r="L2" s="2193"/>
      <c r="M2" s="2193"/>
      <c r="N2" s="2193"/>
      <c r="O2" s="2193"/>
      <c r="P2" s="2193"/>
      <c r="Q2" s="2193"/>
      <c r="R2" s="2193"/>
      <c r="S2" s="2193"/>
      <c r="T2" s="2193"/>
    </row>
    <row r="3" spans="1:20" ht="12.75" customHeight="1">
      <c r="A3" s="2193"/>
      <c r="B3" s="2193"/>
      <c r="C3" s="2193"/>
      <c r="D3" s="2193"/>
      <c r="E3" s="2193"/>
      <c r="F3" s="2193"/>
      <c r="G3" s="2193"/>
      <c r="H3" s="2193"/>
      <c r="I3" s="2193"/>
      <c r="J3" s="2193"/>
      <c r="K3" s="2193"/>
      <c r="L3" s="2193"/>
      <c r="M3" s="2193"/>
      <c r="N3" s="2193"/>
      <c r="O3" s="2193"/>
      <c r="P3" s="2193"/>
      <c r="Q3" s="2193"/>
      <c r="R3" s="2193"/>
      <c r="S3" s="2193"/>
      <c r="T3" s="2193"/>
    </row>
    <row r="4" spans="1:20" ht="17.25" customHeight="1" thickBot="1">
      <c r="A4" s="73" t="s">
        <v>612</v>
      </c>
      <c r="B4" s="4"/>
      <c r="C4" s="4"/>
      <c r="D4" s="35"/>
      <c r="G4" s="4"/>
      <c r="H4" s="73" t="s">
        <v>613</v>
      </c>
      <c r="I4" s="169"/>
      <c r="J4" s="169"/>
      <c r="K4" s="169"/>
      <c r="L4" s="169"/>
      <c r="M4" s="4"/>
      <c r="N4" s="4"/>
      <c r="O4" s="4"/>
      <c r="P4" s="4"/>
      <c r="Q4" s="4"/>
      <c r="R4" s="4"/>
      <c r="S4" s="170"/>
      <c r="T4" s="4"/>
    </row>
    <row r="5" spans="1:20" s="180" customFormat="1" ht="12.75">
      <c r="A5" s="596" t="s">
        <v>607</v>
      </c>
      <c r="B5" s="2148" t="str">
        <f>"BAS "&amp;År-2000&amp;""</f>
        <v>BAS 23</v>
      </c>
      <c r="C5" s="791"/>
      <c r="D5" s="797"/>
      <c r="E5" s="179"/>
      <c r="F5" s="179"/>
      <c r="G5" s="179"/>
      <c r="H5" s="596" t="s">
        <v>607</v>
      </c>
      <c r="I5" s="2148" t="str">
        <f>"BAS "&amp;År-2000&amp;""</f>
        <v>BAS 23</v>
      </c>
      <c r="J5" s="791"/>
      <c r="K5" s="607" t="s">
        <v>609</v>
      </c>
      <c r="L5" s="1883" t="s">
        <v>711</v>
      </c>
      <c r="M5" s="1326"/>
      <c r="N5" s="214" t="s">
        <v>902</v>
      </c>
      <c r="O5" s="179"/>
      <c r="P5" s="179"/>
      <c r="Q5" s="179"/>
      <c r="S5" s="424"/>
      <c r="T5" s="179"/>
    </row>
    <row r="6" spans="1:20" s="180" customFormat="1" ht="12.75">
      <c r="A6" s="598" t="s">
        <v>610</v>
      </c>
      <c r="B6" s="778"/>
      <c r="C6" s="792"/>
      <c r="D6" s="796"/>
      <c r="E6" s="179"/>
      <c r="F6" s="179"/>
      <c r="G6" s="179"/>
      <c r="H6" s="598" t="s">
        <v>610</v>
      </c>
      <c r="I6" s="609"/>
      <c r="J6" s="792"/>
      <c r="K6" s="609" t="s">
        <v>1217</v>
      </c>
      <c r="L6" s="1016" t="s">
        <v>1217</v>
      </c>
      <c r="M6" s="1327"/>
      <c r="N6" s="179"/>
      <c r="O6" s="179"/>
      <c r="P6" s="179"/>
      <c r="Q6" s="179"/>
      <c r="S6" s="88"/>
      <c r="T6" s="179"/>
    </row>
    <row r="7" spans="1:20" ht="15">
      <c r="A7" s="2160"/>
      <c r="B7" s="2161"/>
      <c r="C7" s="793"/>
      <c r="D7" s="798"/>
      <c r="E7" s="4"/>
      <c r="F7" s="4"/>
      <c r="G7" s="4"/>
      <c r="H7" s="799"/>
      <c r="I7" s="591"/>
      <c r="J7" s="591"/>
      <c r="K7" s="591"/>
      <c r="L7" s="800"/>
      <c r="M7" s="1328"/>
      <c r="N7" s="4"/>
      <c r="O7" s="4"/>
      <c r="P7" s="4"/>
      <c r="Q7" s="4"/>
      <c r="S7" s="18"/>
      <c r="T7" s="4"/>
    </row>
    <row r="8" spans="1:20" ht="12.75">
      <c r="A8" s="767">
        <v>600</v>
      </c>
      <c r="B8" s="561">
        <v>801</v>
      </c>
      <c r="C8" s="562" t="s">
        <v>686</v>
      </c>
      <c r="D8" s="357">
        <v>567116</v>
      </c>
      <c r="E8" s="4"/>
      <c r="F8" s="4"/>
      <c r="G8" s="4"/>
      <c r="H8" s="764">
        <v>800</v>
      </c>
      <c r="I8" s="561">
        <v>841</v>
      </c>
      <c r="J8" s="562" t="s">
        <v>699</v>
      </c>
      <c r="K8" s="1671">
        <v>5891.26</v>
      </c>
      <c r="L8" s="1672">
        <v>765.22299999999996</v>
      </c>
      <c r="M8" s="1931"/>
      <c r="N8" s="575">
        <v>801</v>
      </c>
      <c r="O8" s="1673">
        <v>8411</v>
      </c>
      <c r="P8" s="1564" t="s">
        <v>1190</v>
      </c>
      <c r="Q8" s="1565">
        <v>5280.2759999999998</v>
      </c>
      <c r="R8" s="1645" t="str">
        <f>IF(Q8&gt;K8,"däravrad 801&gt;rad 800",IF(AND(K8&gt;1,Q8=""),"skriv belopp eller 0",""))</f>
        <v/>
      </c>
      <c r="S8" s="1324"/>
      <c r="T8" s="4"/>
    </row>
    <row r="9" spans="1:20" ht="12.75">
      <c r="A9" s="767">
        <v>620</v>
      </c>
      <c r="B9" s="663">
        <v>8052</v>
      </c>
      <c r="C9" s="555" t="str">
        <f>"Slutavräkning, prognos för "&amp;År&amp;""</f>
        <v>Slutavräkning, prognos för 2023</v>
      </c>
      <c r="D9" s="357">
        <v>8303</v>
      </c>
      <c r="E9" s="4"/>
      <c r="F9" s="4"/>
      <c r="G9" s="4"/>
      <c r="H9" s="767">
        <v>810</v>
      </c>
      <c r="I9" s="794">
        <v>844</v>
      </c>
      <c r="J9" s="795" t="s">
        <v>700</v>
      </c>
      <c r="K9" s="23">
        <v>12385.434999999999</v>
      </c>
      <c r="L9" s="100">
        <v>5513.9170000000004</v>
      </c>
      <c r="M9" s="1931"/>
      <c r="N9" s="4"/>
      <c r="O9" s="4"/>
      <c r="P9" s="4"/>
      <c r="Q9" s="4"/>
      <c r="S9" s="1324"/>
      <c r="T9" s="4"/>
    </row>
    <row r="10" spans="1:20" ht="12.75">
      <c r="A10" s="767">
        <v>625</v>
      </c>
      <c r="B10" s="663">
        <v>8051</v>
      </c>
      <c r="C10" s="555" t="str">
        <f>"Justering slutavräkning "&amp;År-1&amp;""</f>
        <v>Justering slutavräkning 2022</v>
      </c>
      <c r="D10" s="357">
        <v>2728</v>
      </c>
      <c r="E10" s="4"/>
      <c r="F10" s="4"/>
      <c r="G10" s="4"/>
      <c r="H10" s="767">
        <v>880</v>
      </c>
      <c r="I10" s="561">
        <v>845</v>
      </c>
      <c r="J10" s="562" t="s">
        <v>701</v>
      </c>
      <c r="K10" s="23">
        <v>70.632999999999996</v>
      </c>
      <c r="L10" s="908"/>
      <c r="M10" s="1931"/>
      <c r="N10" s="4"/>
      <c r="O10" s="4"/>
      <c r="P10" s="4"/>
      <c r="Q10" s="4"/>
      <c r="S10" s="1324"/>
      <c r="T10" s="4"/>
    </row>
    <row r="11" spans="1:20" ht="12.75">
      <c r="A11" s="767">
        <v>630</v>
      </c>
      <c r="B11" s="663"/>
      <c r="C11" s="555" t="str">
        <f>"Justeringspost slutavräkning "&amp;År&amp;""</f>
        <v>Justeringspost slutavräkning 2023</v>
      </c>
      <c r="D11" s="222">
        <v>-0.36899999999999999</v>
      </c>
      <c r="E11" s="177"/>
      <c r="F11" s="4"/>
      <c r="G11" s="4"/>
      <c r="H11" s="767">
        <v>885</v>
      </c>
      <c r="I11" s="561">
        <v>8481</v>
      </c>
      <c r="J11" s="562" t="s">
        <v>472</v>
      </c>
      <c r="K11" s="23">
        <v>1.968</v>
      </c>
      <c r="L11" s="908"/>
      <c r="M11" s="1931"/>
      <c r="N11" s="4"/>
      <c r="O11" s="4"/>
      <c r="P11" s="4"/>
      <c r="Q11" s="4"/>
      <c r="S11" s="1324"/>
      <c r="T11" s="4"/>
    </row>
    <row r="12" spans="1:20" ht="12.75">
      <c r="A12" s="767">
        <v>640</v>
      </c>
      <c r="B12" s="557" t="s">
        <v>917</v>
      </c>
      <c r="C12" s="550" t="s">
        <v>1191</v>
      </c>
      <c r="D12" s="222">
        <v>8.9410000000000007</v>
      </c>
      <c r="E12" s="1349"/>
      <c r="F12" s="4"/>
      <c r="G12" s="4"/>
      <c r="H12" s="767">
        <v>886</v>
      </c>
      <c r="I12" s="561">
        <v>8482</v>
      </c>
      <c r="J12" s="562" t="s">
        <v>712</v>
      </c>
      <c r="K12" s="23">
        <v>41.1</v>
      </c>
      <c r="L12" s="908"/>
      <c r="M12" s="1931"/>
      <c r="N12" s="1299"/>
      <c r="O12" s="1299"/>
      <c r="P12" s="145"/>
      <c r="Q12" s="1658"/>
      <c r="S12" s="1324"/>
      <c r="T12" s="4"/>
    </row>
    <row r="13" spans="1:20" ht="13.5" thickBot="1">
      <c r="A13" s="768">
        <v>680</v>
      </c>
      <c r="B13" s="1322"/>
      <c r="C13" s="1323" t="s">
        <v>908</v>
      </c>
      <c r="D13" s="354">
        <v>237</v>
      </c>
      <c r="E13" s="35"/>
      <c r="F13" s="4"/>
      <c r="G13" s="4"/>
      <c r="H13" s="767">
        <v>884</v>
      </c>
      <c r="I13" s="557">
        <v>843</v>
      </c>
      <c r="J13" s="550" t="s">
        <v>1107</v>
      </c>
      <c r="K13" s="23">
        <v>321.04300000000001</v>
      </c>
      <c r="L13" s="100">
        <v>958.28200000000004</v>
      </c>
      <c r="M13" s="1931"/>
      <c r="N13" s="1299"/>
      <c r="O13" s="1299"/>
      <c r="P13" s="145"/>
      <c r="Q13" s="1658"/>
      <c r="S13" s="1324"/>
      <c r="T13" s="4"/>
    </row>
    <row r="14" spans="1:20" ht="21.75" customHeight="1" thickBot="1">
      <c r="A14" s="558">
        <v>690</v>
      </c>
      <c r="B14" s="563"/>
      <c r="C14" s="564" t="s">
        <v>612</v>
      </c>
      <c r="D14" s="354">
        <f>SUM(D8:D13)</f>
        <v>578392.57200000004</v>
      </c>
      <c r="E14" s="4"/>
      <c r="F14" s="4"/>
      <c r="G14" s="4"/>
      <c r="H14" s="547">
        <v>882</v>
      </c>
      <c r="I14" s="1386">
        <v>846</v>
      </c>
      <c r="J14" s="550" t="s">
        <v>1106</v>
      </c>
      <c r="K14" s="23">
        <v>5038.9290000000001</v>
      </c>
      <c r="L14" s="908"/>
      <c r="M14" s="1931"/>
      <c r="N14" s="1299"/>
      <c r="O14" s="1299"/>
      <c r="P14" s="145"/>
      <c r="Q14" s="1658"/>
      <c r="R14" s="1349"/>
      <c r="S14" s="1308"/>
      <c r="T14" s="4"/>
    </row>
    <row r="15" spans="1:20" ht="13.5" thickBot="1">
      <c r="A15" s="4"/>
      <c r="B15" s="4"/>
      <c r="C15" s="183"/>
      <c r="D15" s="4"/>
      <c r="E15" s="4"/>
      <c r="F15" s="4"/>
      <c r="G15" s="4"/>
      <c r="H15" s="558">
        <v>888</v>
      </c>
      <c r="I15" s="2019">
        <v>849</v>
      </c>
      <c r="J15" s="570" t="s">
        <v>1051</v>
      </c>
      <c r="K15" s="107">
        <v>2491.038</v>
      </c>
      <c r="L15" s="2006"/>
      <c r="M15" s="2480"/>
      <c r="N15" s="2478">
        <v>889</v>
      </c>
      <c r="O15" s="1484">
        <v>8491</v>
      </c>
      <c r="P15" s="1989" t="s">
        <v>1025</v>
      </c>
      <c r="Q15" s="1461">
        <v>1292.855</v>
      </c>
      <c r="R15" s="1349" t="str">
        <f>IF(SUM(Q15+Q16)&gt;K15,"däravrader 889+891&gt;rad888",IF(AND(K15&gt;1,Q15=""),"skriv belopp eller 0",""))</f>
        <v/>
      </c>
      <c r="S15" s="1299"/>
      <c r="T15" s="4"/>
    </row>
    <row r="16" spans="1:20" ht="16.5" thickBot="1">
      <c r="A16" s="73" t="s">
        <v>717</v>
      </c>
      <c r="B16" s="4"/>
      <c r="C16" s="4"/>
      <c r="D16" s="4"/>
      <c r="E16" s="4"/>
      <c r="F16" s="4"/>
      <c r="G16" s="4"/>
      <c r="H16" s="545">
        <v>890</v>
      </c>
      <c r="I16" s="559"/>
      <c r="J16" s="536" t="s">
        <v>7</v>
      </c>
      <c r="K16" s="1670">
        <f>RR!C14</f>
        <v>26241.405999999999</v>
      </c>
      <c r="L16" s="1674"/>
      <c r="M16" s="2481"/>
      <c r="N16" s="2479">
        <v>891</v>
      </c>
      <c r="O16" s="1485"/>
      <c r="P16" s="1318" t="s">
        <v>880</v>
      </c>
      <c r="Q16" s="1462">
        <v>0.158</v>
      </c>
      <c r="R16" s="1349" t="str">
        <f>IF(AND(K15&gt;1,Q16=""),"skriv belopp eller 0","")</f>
        <v/>
      </c>
      <c r="T16" s="4"/>
    </row>
    <row r="17" spans="1:20" ht="16.5" thickBot="1">
      <c r="A17" s="73" t="s">
        <v>718</v>
      </c>
      <c r="B17" s="4"/>
      <c r="C17" s="4"/>
      <c r="D17" s="35"/>
      <c r="E17" s="4"/>
      <c r="F17" s="4"/>
      <c r="G17" s="4"/>
      <c r="H17" s="8"/>
      <c r="I17" s="1329" t="s">
        <v>1007</v>
      </c>
      <c r="J17" s="125"/>
      <c r="K17" s="1329">
        <f>(K16-SUM(K8:K15))*-1</f>
        <v>3.637978807091713E-12</v>
      </c>
      <c r="L17" s="1675"/>
      <c r="M17" s="1222"/>
      <c r="N17" s="4"/>
      <c r="O17" s="4"/>
      <c r="P17" s="4"/>
      <c r="Q17" s="4"/>
      <c r="R17" s="4"/>
      <c r="T17" s="4"/>
    </row>
    <row r="18" spans="1:20" ht="16.5" thickBot="1">
      <c r="A18" s="596" t="s">
        <v>607</v>
      </c>
      <c r="B18" s="2148" t="str">
        <f>"BAS "&amp;År-2000&amp;""</f>
        <v>BAS 23</v>
      </c>
      <c r="C18" s="791"/>
      <c r="D18" s="797"/>
      <c r="E18" s="4"/>
      <c r="F18" s="4"/>
      <c r="G18" s="4"/>
      <c r="H18" s="73" t="s">
        <v>614</v>
      </c>
      <c r="I18" s="170"/>
      <c r="J18" s="170"/>
      <c r="K18" s="170"/>
      <c r="L18" s="170"/>
      <c r="N18" s="2518"/>
      <c r="O18" s="2518"/>
      <c r="P18" s="2518"/>
      <c r="Q18" s="2519"/>
      <c r="R18" s="4"/>
      <c r="T18" s="4"/>
    </row>
    <row r="19" spans="1:20" ht="12.75">
      <c r="A19" s="598" t="s">
        <v>610</v>
      </c>
      <c r="B19" s="778"/>
      <c r="C19" s="606"/>
      <c r="D19" s="801"/>
      <c r="E19" s="4"/>
      <c r="F19" s="4"/>
      <c r="G19" s="4"/>
      <c r="H19" s="596" t="s">
        <v>607</v>
      </c>
      <c r="I19" s="2148" t="str">
        <f>"BAS "&amp;År-2000&amp;""</f>
        <v>BAS 23</v>
      </c>
      <c r="J19" s="791"/>
      <c r="K19" s="1678" t="s">
        <v>609</v>
      </c>
      <c r="L19" s="1881" t="s">
        <v>711</v>
      </c>
      <c r="M19" s="1299"/>
      <c r="N19" s="2520"/>
      <c r="O19" s="2520"/>
      <c r="P19" s="2520"/>
      <c r="Q19" s="2519"/>
      <c r="S19" s="424"/>
      <c r="T19" s="4"/>
    </row>
    <row r="20" spans="1:20" s="180" customFormat="1" ht="15">
      <c r="A20" s="821"/>
      <c r="B20" s="780"/>
      <c r="C20" s="591"/>
      <c r="D20" s="802"/>
      <c r="E20" s="179"/>
      <c r="F20" s="179"/>
      <c r="G20" s="179"/>
      <c r="H20" s="598" t="s">
        <v>610</v>
      </c>
      <c r="I20" s="803"/>
      <c r="J20" s="792"/>
      <c r="K20" s="1679" t="s">
        <v>1217</v>
      </c>
      <c r="L20" s="1882" t="s">
        <v>1217</v>
      </c>
      <c r="M20" s="88"/>
      <c r="Q20" s="203"/>
      <c r="S20" s="88"/>
      <c r="T20" s="179"/>
    </row>
    <row r="21" spans="1:20" s="180" customFormat="1" ht="14.25" customHeight="1">
      <c r="A21" s="547">
        <v>711</v>
      </c>
      <c r="B21" s="663">
        <v>821</v>
      </c>
      <c r="C21" s="555" t="s">
        <v>692</v>
      </c>
      <c r="D21" s="357">
        <v>95176</v>
      </c>
      <c r="E21" s="179"/>
      <c r="F21" s="1950"/>
      <c r="G21" s="1951"/>
      <c r="H21" s="804"/>
      <c r="I21" s="805"/>
      <c r="J21" s="793"/>
      <c r="K21" s="1676"/>
      <c r="L21" s="806"/>
      <c r="M21" s="18"/>
      <c r="N21" s="183"/>
      <c r="O21" s="183"/>
      <c r="P21" s="183"/>
      <c r="Q21" s="170"/>
      <c r="S21" s="18"/>
      <c r="T21" s="179"/>
    </row>
    <row r="22" spans="1:20" ht="14.25" customHeight="1">
      <c r="A22" s="547">
        <v>713</v>
      </c>
      <c r="B22" s="663">
        <v>822</v>
      </c>
      <c r="C22" s="555" t="s">
        <v>693</v>
      </c>
      <c r="D22" s="357">
        <v>1134</v>
      </c>
      <c r="E22" s="4"/>
      <c r="F22" s="1952"/>
      <c r="G22" s="1951"/>
      <c r="H22" s="547">
        <v>900</v>
      </c>
      <c r="I22" s="561">
        <v>852</v>
      </c>
      <c r="J22" s="550" t="s">
        <v>749</v>
      </c>
      <c r="K22" s="448">
        <v>13040.517</v>
      </c>
      <c r="L22" s="99">
        <v>17513.147000000001</v>
      </c>
      <c r="M22" s="1931"/>
      <c r="N22" s="1299"/>
      <c r="O22" s="145"/>
      <c r="P22" s="254"/>
      <c r="Q22" s="125"/>
      <c r="S22" s="1324"/>
      <c r="T22" s="4"/>
    </row>
    <row r="23" spans="1:20" ht="14.25" customHeight="1">
      <c r="A23" s="547">
        <v>715</v>
      </c>
      <c r="B23" s="663">
        <v>823</v>
      </c>
      <c r="C23" s="555" t="s">
        <v>694</v>
      </c>
      <c r="D23" s="357">
        <v>28</v>
      </c>
      <c r="E23" s="197"/>
      <c r="F23" s="1952"/>
      <c r="G23" s="1951"/>
      <c r="H23" s="547">
        <v>910</v>
      </c>
      <c r="I23" s="557">
        <v>853</v>
      </c>
      <c r="J23" s="550" t="s">
        <v>1188</v>
      </c>
      <c r="K23" s="448">
        <v>5148.7550000000001</v>
      </c>
      <c r="L23" s="100">
        <v>5026.3500000000004</v>
      </c>
      <c r="M23" s="1931"/>
      <c r="N23" s="4"/>
      <c r="O23" s="4"/>
      <c r="P23" s="4"/>
      <c r="Q23" s="170"/>
      <c r="S23" s="1308"/>
      <c r="T23" s="4"/>
    </row>
    <row r="24" spans="1:20" ht="14.25" customHeight="1">
      <c r="A24" s="547">
        <v>717</v>
      </c>
      <c r="B24" s="663">
        <v>824</v>
      </c>
      <c r="C24" s="555" t="s">
        <v>695</v>
      </c>
      <c r="D24" s="357">
        <v>24586</v>
      </c>
      <c r="E24" s="197"/>
      <c r="F24" s="1952"/>
      <c r="G24" s="1951"/>
      <c r="H24" s="547">
        <v>920</v>
      </c>
      <c r="I24" s="2255">
        <v>855</v>
      </c>
      <c r="J24" s="2200" t="s">
        <v>1210</v>
      </c>
      <c r="K24" s="448">
        <v>68.555999999999997</v>
      </c>
      <c r="L24" s="908"/>
      <c r="M24" s="1931"/>
      <c r="N24" s="4"/>
      <c r="O24" s="4"/>
      <c r="P24" s="4"/>
      <c r="Q24" s="170"/>
      <c r="S24" s="1324"/>
      <c r="T24" s="4"/>
    </row>
    <row r="25" spans="1:20" ht="21" customHeight="1">
      <c r="A25" s="547">
        <v>719</v>
      </c>
      <c r="B25" s="663">
        <v>825</v>
      </c>
      <c r="C25" s="555" t="s">
        <v>696</v>
      </c>
      <c r="D25" s="357">
        <v>11427</v>
      </c>
      <c r="E25" s="197"/>
      <c r="F25" s="2521" t="s">
        <v>1105</v>
      </c>
      <c r="G25" s="2522"/>
      <c r="H25" s="547">
        <v>985</v>
      </c>
      <c r="I25" s="557">
        <v>8581</v>
      </c>
      <c r="J25" s="550" t="s">
        <v>719</v>
      </c>
      <c r="K25" s="448">
        <v>5.8280000000000003</v>
      </c>
      <c r="L25" s="908"/>
      <c r="M25" s="1931"/>
      <c r="N25" s="1299"/>
      <c r="O25" s="1299"/>
      <c r="P25" s="145"/>
      <c r="Q25" s="249"/>
      <c r="S25" s="1308"/>
      <c r="T25" s="4"/>
    </row>
    <row r="26" spans="1:20" ht="22.5" customHeight="1">
      <c r="A26" s="547">
        <v>785</v>
      </c>
      <c r="B26" s="663">
        <v>826</v>
      </c>
      <c r="C26" s="555" t="s">
        <v>697</v>
      </c>
      <c r="D26" s="357">
        <v>5718</v>
      </c>
      <c r="E26" s="1945"/>
      <c r="F26" s="2523"/>
      <c r="G26" s="2522"/>
      <c r="H26" s="547">
        <v>996</v>
      </c>
      <c r="I26" s="557">
        <v>8582</v>
      </c>
      <c r="J26" s="550" t="s">
        <v>720</v>
      </c>
      <c r="K26" s="448">
        <v>6.976</v>
      </c>
      <c r="L26" s="908"/>
      <c r="M26" s="1931"/>
      <c r="N26" s="1299"/>
      <c r="O26" s="1299"/>
      <c r="P26" s="145"/>
      <c r="Q26" s="249"/>
      <c r="S26" s="1308"/>
      <c r="T26" s="170"/>
    </row>
    <row r="27" spans="1:20" ht="15.75" customHeight="1">
      <c r="A27" s="547">
        <v>740</v>
      </c>
      <c r="B27" s="557">
        <v>829</v>
      </c>
      <c r="C27" s="555" t="s">
        <v>774</v>
      </c>
      <c r="D27" s="222">
        <v>3707.145</v>
      </c>
      <c r="E27" s="1958"/>
      <c r="F27" s="2524"/>
      <c r="G27" s="2522"/>
      <c r="H27" s="547">
        <v>984</v>
      </c>
      <c r="I27" s="557">
        <v>851</v>
      </c>
      <c r="J27" s="550" t="s">
        <v>1189</v>
      </c>
      <c r="K27" s="448">
        <v>283.15100000000001</v>
      </c>
      <c r="L27" s="100">
        <v>157.58099999999999</v>
      </c>
      <c r="M27" s="1931"/>
      <c r="N27" s="1299"/>
      <c r="O27" s="1299"/>
      <c r="P27" s="145"/>
      <c r="Q27" s="249"/>
      <c r="S27" s="1308"/>
      <c r="T27" s="170"/>
    </row>
    <row r="28" spans="1:20" ht="20.25" customHeight="1" thickBot="1">
      <c r="A28" s="558">
        <v>750</v>
      </c>
      <c r="B28" s="559">
        <v>82</v>
      </c>
      <c r="C28" s="1319" t="s">
        <v>698</v>
      </c>
      <c r="D28" s="354">
        <f>SUM(D21:D27)</f>
        <v>141776.14499999999</v>
      </c>
      <c r="E28" s="1930"/>
      <c r="F28" s="2083"/>
      <c r="G28" s="2477"/>
      <c r="H28" s="2475">
        <v>992</v>
      </c>
      <c r="I28" s="1971">
        <v>856</v>
      </c>
      <c r="J28" s="550" t="s">
        <v>1053</v>
      </c>
      <c r="K28" s="448">
        <v>531.35599999999999</v>
      </c>
      <c r="L28" s="908"/>
      <c r="M28" s="1931"/>
      <c r="N28" s="1299"/>
      <c r="O28" s="1299"/>
      <c r="P28" s="145"/>
      <c r="Q28" s="249"/>
      <c r="S28" s="1325"/>
      <c r="T28" s="170"/>
    </row>
    <row r="29" spans="1:20" ht="18" customHeight="1" thickBot="1">
      <c r="A29" s="4"/>
      <c r="B29" s="4"/>
      <c r="C29" s="4"/>
      <c r="D29" s="4"/>
      <c r="E29" s="1959"/>
      <c r="F29" s="2083"/>
      <c r="G29" s="2477"/>
      <c r="H29" s="2476">
        <v>998</v>
      </c>
      <c r="I29" s="1322">
        <v>859</v>
      </c>
      <c r="J29" s="1323" t="s">
        <v>1052</v>
      </c>
      <c r="K29" s="1677">
        <v>2384.2399999999998</v>
      </c>
      <c r="L29" s="2056"/>
      <c r="M29" s="1931"/>
      <c r="N29" s="170"/>
      <c r="O29" s="170"/>
      <c r="P29" s="170"/>
      <c r="Q29" s="170"/>
      <c r="S29" s="1299"/>
      <c r="T29" s="170"/>
    </row>
    <row r="30" spans="1:20" ht="19.5" customHeight="1" thickBot="1">
      <c r="A30" s="4"/>
      <c r="B30" s="4"/>
      <c r="C30" s="4"/>
      <c r="D30" s="4"/>
      <c r="E30" s="1960"/>
      <c r="F30" s="2193"/>
      <c r="G30" s="2193"/>
      <c r="H30" s="558">
        <v>990</v>
      </c>
      <c r="I30" s="563"/>
      <c r="J30" s="564" t="s">
        <v>8</v>
      </c>
      <c r="K30" s="1451">
        <f>RR!C15</f>
        <v>21469.379000000001</v>
      </c>
      <c r="L30" s="19"/>
      <c r="N30" s="4"/>
      <c r="O30" s="4"/>
      <c r="P30" s="4"/>
      <c r="Q30" s="4"/>
      <c r="R30" s="170"/>
      <c r="T30" s="170"/>
    </row>
    <row r="31" spans="1:20" ht="16.5" customHeight="1" thickBot="1">
      <c r="A31" s="73" t="s">
        <v>896</v>
      </c>
      <c r="B31" s="4"/>
      <c r="C31" s="4"/>
      <c r="D31" s="35"/>
      <c r="E31" s="197"/>
      <c r="F31" s="2193"/>
      <c r="G31" s="2193"/>
      <c r="H31" s="4"/>
      <c r="I31" s="1330" t="s">
        <v>792</v>
      </c>
      <c r="J31" s="177"/>
      <c r="K31" s="1654">
        <f>(K30-SUM(K22:K29))*-1</f>
        <v>0</v>
      </c>
      <c r="L31" s="1240"/>
      <c r="M31" s="1240"/>
      <c r="N31" s="4"/>
      <c r="O31" s="4"/>
      <c r="P31" s="4"/>
      <c r="Q31" s="4"/>
      <c r="R31" s="4"/>
      <c r="T31" s="4"/>
    </row>
    <row r="32" spans="1:20" ht="12.75">
      <c r="A32" s="596" t="s">
        <v>607</v>
      </c>
      <c r="B32" s="2148" t="str">
        <f>"BAS "&amp;År-2000&amp;""</f>
        <v>BAS 23</v>
      </c>
      <c r="C32" s="791"/>
      <c r="D32" s="797"/>
      <c r="E32" s="197"/>
      <c r="F32" s="2193"/>
      <c r="G32" s="2193"/>
      <c r="H32" s="4"/>
      <c r="I32" s="4"/>
      <c r="J32" s="4"/>
      <c r="K32" s="4"/>
      <c r="L32" s="4"/>
      <c r="M32" s="4"/>
      <c r="N32" s="4"/>
      <c r="O32" s="4"/>
      <c r="P32" s="4"/>
      <c r="Q32" s="4"/>
      <c r="R32" s="4"/>
      <c r="S32" s="4"/>
      <c r="T32" s="4"/>
    </row>
    <row r="33" spans="1:20" ht="12.75">
      <c r="A33" s="598" t="s">
        <v>610</v>
      </c>
      <c r="B33" s="778"/>
      <c r="C33" s="606"/>
      <c r="D33" s="801"/>
      <c r="E33" s="4"/>
      <c r="F33" s="2193"/>
      <c r="G33" s="2193"/>
      <c r="H33" s="4"/>
      <c r="I33" s="4"/>
      <c r="J33" s="4"/>
      <c r="K33" s="4"/>
      <c r="L33" s="4"/>
      <c r="M33" s="4"/>
      <c r="N33" s="4"/>
      <c r="O33" s="4"/>
      <c r="P33" s="4"/>
      <c r="Q33" s="4"/>
      <c r="R33" s="4"/>
      <c r="S33" s="4"/>
      <c r="T33" s="4"/>
    </row>
    <row r="34" spans="1:20" ht="15">
      <c r="A34" s="821"/>
      <c r="B34" s="780"/>
      <c r="C34" s="591"/>
      <c r="D34" s="802"/>
      <c r="E34" s="4"/>
      <c r="F34" s="2193"/>
      <c r="G34" s="2193"/>
      <c r="H34" s="2193"/>
      <c r="I34" s="2193"/>
      <c r="J34" s="2193"/>
      <c r="K34" s="2193"/>
      <c r="L34" s="4"/>
      <c r="M34" s="4"/>
      <c r="R34" s="4"/>
      <c r="S34" s="4"/>
      <c r="T34" s="4"/>
    </row>
    <row r="35" spans="1:20" ht="12.75">
      <c r="A35" s="767">
        <v>760</v>
      </c>
      <c r="B35" s="561">
        <v>831</v>
      </c>
      <c r="C35" s="562" t="s">
        <v>687</v>
      </c>
      <c r="D35" s="357">
        <v>12264</v>
      </c>
      <c r="E35" s="4"/>
      <c r="F35" s="4"/>
      <c r="G35" s="4"/>
      <c r="H35" s="2193"/>
      <c r="I35" s="2193"/>
      <c r="J35" s="2193"/>
      <c r="K35" s="2193"/>
      <c r="L35" s="2005"/>
    </row>
    <row r="36" spans="1:20" ht="12.75">
      <c r="A36" s="767">
        <v>770</v>
      </c>
      <c r="B36" s="561">
        <v>834</v>
      </c>
      <c r="C36" s="562" t="s">
        <v>688</v>
      </c>
      <c r="D36" s="357">
        <v>0</v>
      </c>
      <c r="E36" s="4"/>
      <c r="F36" s="4"/>
      <c r="G36" s="4"/>
      <c r="H36" s="2193"/>
      <c r="I36" s="2193"/>
      <c r="J36" s="2193"/>
      <c r="K36" s="2193"/>
      <c r="L36" s="2005"/>
      <c r="N36" s="4"/>
      <c r="O36" s="4"/>
      <c r="P36" s="4"/>
      <c r="Q36" s="4"/>
    </row>
    <row r="37" spans="1:20" ht="12.75">
      <c r="A37" s="767">
        <v>780</v>
      </c>
      <c r="B37" s="561">
        <v>835</v>
      </c>
      <c r="C37" s="562" t="s">
        <v>689</v>
      </c>
      <c r="D37" s="358">
        <v>11324</v>
      </c>
      <c r="E37" s="4"/>
      <c r="F37" s="4"/>
      <c r="G37" s="4"/>
      <c r="H37" s="2193"/>
      <c r="I37" s="2193"/>
      <c r="J37" s="2193"/>
      <c r="K37" s="2193"/>
      <c r="L37" s="2005"/>
      <c r="M37" s="4"/>
      <c r="N37" s="4"/>
      <c r="O37" s="4"/>
      <c r="P37" s="4"/>
      <c r="Q37" s="4"/>
      <c r="R37" s="4"/>
      <c r="S37" s="4"/>
      <c r="T37" s="4"/>
    </row>
    <row r="38" spans="1:20" ht="12.75">
      <c r="A38" s="767">
        <v>786</v>
      </c>
      <c r="B38" s="561">
        <v>836</v>
      </c>
      <c r="C38" s="562" t="s">
        <v>690</v>
      </c>
      <c r="D38" s="358">
        <v>5718</v>
      </c>
      <c r="E38" s="4"/>
      <c r="F38" s="4"/>
      <c r="G38" s="4"/>
      <c r="H38" s="2193"/>
      <c r="I38" s="2193"/>
      <c r="J38" s="2193"/>
      <c r="K38" s="2193"/>
      <c r="L38" s="2005"/>
      <c r="M38" s="4"/>
      <c r="N38" s="4"/>
      <c r="O38" s="4"/>
      <c r="P38" s="4"/>
      <c r="Q38" s="4"/>
      <c r="R38" s="4"/>
      <c r="S38" s="4"/>
      <c r="T38" s="4"/>
    </row>
    <row r="39" spans="1:20" ht="13.5" thickBot="1">
      <c r="A39" s="768">
        <v>790</v>
      </c>
      <c r="B39" s="807"/>
      <c r="C39" s="1320" t="s">
        <v>691</v>
      </c>
      <c r="D39" s="355">
        <f>SUM(D35:D38)</f>
        <v>29306</v>
      </c>
      <c r="E39" s="35"/>
      <c r="F39" s="4"/>
      <c r="G39" s="4"/>
      <c r="H39" s="4"/>
      <c r="I39" s="4"/>
      <c r="J39" s="4"/>
      <c r="K39" s="4"/>
      <c r="L39" s="4"/>
      <c r="M39" s="4"/>
      <c r="N39" s="4"/>
      <c r="O39" s="4"/>
      <c r="P39" s="4"/>
      <c r="Q39" s="4"/>
      <c r="R39" s="4"/>
      <c r="S39" s="4"/>
      <c r="T39" s="4"/>
    </row>
    <row r="40" spans="1:20" ht="13.5" thickBot="1">
      <c r="A40" s="228"/>
      <c r="B40" s="17"/>
      <c r="C40" s="18"/>
      <c r="D40" s="19"/>
      <c r="E40" s="35"/>
      <c r="F40" s="4"/>
      <c r="G40" s="4"/>
      <c r="H40" s="4"/>
      <c r="I40" s="4"/>
      <c r="J40" s="4"/>
      <c r="K40" s="4"/>
      <c r="L40" s="4"/>
      <c r="M40" s="4"/>
      <c r="N40" s="4"/>
      <c r="O40" s="4"/>
      <c r="P40" s="4"/>
      <c r="Q40" s="4"/>
      <c r="R40" s="4"/>
      <c r="S40" s="4"/>
      <c r="T40" s="4"/>
    </row>
    <row r="41" spans="1:20" ht="13.5" thickBot="1">
      <c r="A41" s="775">
        <v>765</v>
      </c>
      <c r="B41" s="808">
        <v>828</v>
      </c>
      <c r="C41" s="1321" t="s">
        <v>747</v>
      </c>
      <c r="D41" s="229">
        <v>22291.327000000001</v>
      </c>
      <c r="E41" s="2122" t="str">
        <f>IF(OR(D41="",D41=0),"Kontrollera Kommunal fastighetsavgift","")</f>
        <v/>
      </c>
      <c r="F41" s="4"/>
      <c r="G41" s="4"/>
      <c r="H41" s="4"/>
      <c r="I41" s="4"/>
      <c r="J41" s="4"/>
      <c r="K41" s="4"/>
      <c r="L41" s="4"/>
      <c r="M41" s="4"/>
      <c r="N41" s="4"/>
      <c r="O41" s="4"/>
      <c r="P41" s="4"/>
      <c r="Q41" s="4"/>
      <c r="R41" s="4"/>
      <c r="S41" s="4"/>
      <c r="T41" s="4"/>
    </row>
    <row r="42" spans="1:20" ht="12.75">
      <c r="A42" s="4"/>
      <c r="B42" s="4"/>
      <c r="C42" s="4"/>
      <c r="D42" s="4"/>
      <c r="E42" s="4"/>
      <c r="F42" s="4"/>
      <c r="G42" s="4"/>
      <c r="H42" s="4"/>
      <c r="I42" s="4"/>
      <c r="J42" s="4"/>
      <c r="K42" s="4"/>
      <c r="L42" s="4"/>
      <c r="M42" s="4"/>
      <c r="N42" s="4"/>
      <c r="O42" s="4"/>
      <c r="P42" s="4"/>
      <c r="Q42" s="4"/>
      <c r="R42" s="4"/>
      <c r="S42" s="4"/>
      <c r="T42" s="4"/>
    </row>
    <row r="43" spans="1:20" ht="12.75">
      <c r="A43" s="4"/>
      <c r="B43" s="4"/>
      <c r="C43" s="4"/>
      <c r="D43" s="4"/>
      <c r="E43" s="4"/>
      <c r="F43" s="4"/>
      <c r="G43" s="4"/>
      <c r="H43" s="4"/>
      <c r="I43" s="4"/>
      <c r="J43" s="4"/>
      <c r="K43" s="4"/>
      <c r="L43" s="4"/>
      <c r="M43" s="4"/>
      <c r="N43" s="4"/>
      <c r="O43" s="4"/>
      <c r="P43" s="4"/>
      <c r="Q43" s="4"/>
      <c r="R43" s="4"/>
      <c r="S43" s="4"/>
      <c r="T43" s="4"/>
    </row>
    <row r="44" spans="1:20" ht="12.75" hidden="1">
      <c r="A44" s="4"/>
      <c r="B44" s="4"/>
      <c r="C44" s="4"/>
      <c r="D44" s="4"/>
      <c r="E44" s="4"/>
      <c r="H44" s="4"/>
      <c r="I44" s="4"/>
      <c r="J44" s="4"/>
      <c r="K44" s="4"/>
      <c r="L44" s="4"/>
      <c r="M44" s="4"/>
      <c r="R44" s="4"/>
      <c r="S44" s="4"/>
      <c r="T44" s="4"/>
    </row>
    <row r="45" spans="1:20" ht="12.75" hidden="1" customHeight="1"/>
    <row r="49" s="168" customFormat="1" ht="0" hidden="1" customHeight="1"/>
    <row r="50" s="168" customFormat="1" ht="0" hidden="1" customHeight="1"/>
    <row r="51" s="168" customFormat="1" ht="0" hidden="1" customHeight="1"/>
    <row r="52" s="168" customFormat="1" ht="0" hidden="1" customHeight="1"/>
    <row r="53" s="168" customFormat="1" ht="0" hidden="1" customHeight="1"/>
    <row r="54" s="168" customFormat="1" ht="0" hidden="1" customHeight="1"/>
    <row r="55" s="168" customFormat="1" ht="0" hidden="1" customHeight="1"/>
    <row r="56" s="168" customFormat="1" ht="0" hidden="1" customHeight="1"/>
    <row r="57" s="168" customFormat="1" ht="0" hidden="1" customHeight="1"/>
    <row r="58" s="168" customFormat="1" ht="0" hidden="1" customHeight="1"/>
    <row r="59" s="168" customFormat="1" ht="0" hidden="1" customHeight="1"/>
    <row r="60" s="168" customFormat="1" ht="0" hidden="1" customHeight="1"/>
    <row r="61" s="168" customFormat="1" ht="0" hidden="1" customHeight="1"/>
    <row r="62" s="168" customFormat="1" ht="0" hidden="1" customHeight="1"/>
    <row r="63" s="168" customFormat="1" ht="0" hidden="1" customHeight="1"/>
  </sheetData>
  <sheetProtection algorithmName="SHA-512" hashValue="V1dADh8Z0gjmU396BevjkULdA7B921luS0Tr4rAdKmIL6pmTMV6nMrcKpEYkENuzHb16rdzjY4sFLyUZaO5wnw==" saltValue="EyfuoBmUCv3Hm0LnG7Vqyg==" spinCount="100000" sheet="1" objects="1" scenarios="1"/>
  <mergeCells count="2">
    <mergeCell ref="N18:Q19"/>
    <mergeCell ref="F25:G27"/>
  </mergeCells>
  <conditionalFormatting sqref="D27 D41 K22:L28 K8:L15">
    <cfRule type="cellIs" dxfId="124" priority="19" stopIfTrue="1" operator="lessThan">
      <formula>-500</formula>
    </cfRule>
  </conditionalFormatting>
  <conditionalFormatting sqref="K29:L29">
    <cfRule type="cellIs" dxfId="123" priority="17" stopIfTrue="1" operator="lessThan">
      <formula>-500</formula>
    </cfRule>
  </conditionalFormatting>
  <conditionalFormatting sqref="I17">
    <cfRule type="expression" dxfId="122" priority="16" stopIfTrue="1">
      <formula>ABS(K17)&gt;100</formula>
    </cfRule>
  </conditionalFormatting>
  <conditionalFormatting sqref="K17:L17">
    <cfRule type="expression" dxfId="121" priority="15" stopIfTrue="1">
      <formula>ABS(K17)&gt;100</formula>
    </cfRule>
  </conditionalFormatting>
  <conditionalFormatting sqref="I31">
    <cfRule type="expression" dxfId="120" priority="14" stopIfTrue="1">
      <formula>ABS(K31)&gt;100</formula>
    </cfRule>
  </conditionalFormatting>
  <conditionalFormatting sqref="K31:L31">
    <cfRule type="expression" dxfId="119" priority="13" stopIfTrue="1">
      <formula>ABS(K31)&gt;100</formula>
    </cfRule>
  </conditionalFormatting>
  <conditionalFormatting sqref="Q8 Q15">
    <cfRule type="cellIs" dxfId="118" priority="12" stopIfTrue="1" operator="lessThan">
      <formula>-500</formula>
    </cfRule>
  </conditionalFormatting>
  <conditionalFormatting sqref="G29">
    <cfRule type="cellIs" dxfId="117" priority="11" stopIfTrue="1" operator="lessThan">
      <formula>0</formula>
    </cfRule>
  </conditionalFormatting>
  <conditionalFormatting sqref="F21">
    <cfRule type="expression" dxfId="116" priority="20">
      <formula>G27&gt;0</formula>
    </cfRule>
  </conditionalFormatting>
  <conditionalFormatting sqref="F25:G27">
    <cfRule type="expression" dxfId="115" priority="10" stopIfTrue="1">
      <formula>(D27)&lt;1000</formula>
    </cfRule>
  </conditionalFormatting>
  <conditionalFormatting sqref="Q14">
    <cfRule type="cellIs" dxfId="114" priority="9" stopIfTrue="1" operator="lessThan">
      <formula>-500</formula>
    </cfRule>
  </conditionalFormatting>
  <conditionalFormatting sqref="Q16">
    <cfRule type="cellIs" dxfId="113" priority="8" stopIfTrue="1" operator="lessThan">
      <formula>-500</formula>
    </cfRule>
  </conditionalFormatting>
  <conditionalFormatting sqref="Q27">
    <cfRule type="cellIs" dxfId="112" priority="7" stopIfTrue="1" operator="lessThan">
      <formula>-500</formula>
    </cfRule>
  </conditionalFormatting>
  <conditionalFormatting sqref="Q26">
    <cfRule type="cellIs" dxfId="111" priority="6" stopIfTrue="1" operator="lessThan">
      <formula>-500</formula>
    </cfRule>
  </conditionalFormatting>
  <conditionalFormatting sqref="Q28">
    <cfRule type="cellIs" dxfId="110" priority="5" stopIfTrue="1" operator="lessThan">
      <formula>-500</formula>
    </cfRule>
  </conditionalFormatting>
  <conditionalFormatting sqref="Q13">
    <cfRule type="cellIs" dxfId="109" priority="4" stopIfTrue="1" operator="lessThan">
      <formula>-500</formula>
    </cfRule>
  </conditionalFormatting>
  <conditionalFormatting sqref="Q12">
    <cfRule type="cellIs" dxfId="108" priority="3" stopIfTrue="1" operator="lessThan">
      <formula>-500</formula>
    </cfRule>
  </conditionalFormatting>
  <conditionalFormatting sqref="Q25">
    <cfRule type="cellIs" dxfId="107" priority="2" stopIfTrue="1" operator="lessThan">
      <formula>-500</formula>
    </cfRule>
  </conditionalFormatting>
  <conditionalFormatting sqref="G28">
    <cfRule type="cellIs" dxfId="106" priority="1" stopIfTrue="1" operator="lessThan">
      <formula>0</formula>
    </cfRule>
  </conditionalFormatting>
  <dataValidations disablePrompts="1"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4" style="142" customWidth="1"/>
    <col min="2" max="2" width="33.5703125" style="142" customWidth="1"/>
    <col min="3" max="3" width="10.5703125" style="142" customWidth="1"/>
    <col min="4" max="4" width="11.42578125" style="142" customWidth="1"/>
    <col min="5" max="5" width="8.42578125" style="142" customWidth="1"/>
    <col min="6" max="6" width="9" style="142" customWidth="1"/>
    <col min="7" max="7" width="10" style="142" customWidth="1"/>
    <col min="8" max="8" width="10.42578125" style="142" customWidth="1"/>
    <col min="9" max="9" width="34" style="145" customWidth="1"/>
    <col min="10" max="10" width="39.5703125" style="142" customWidth="1"/>
    <col min="11" max="11" width="19.85546875" style="142" customWidth="1"/>
    <col min="12" max="12" width="4.42578125" style="168" customWidth="1"/>
    <col min="13" max="13" width="3" style="168" customWidth="1"/>
    <col min="14" max="16384" width="9.42578125" style="168" hidden="1"/>
  </cols>
  <sheetData>
    <row r="1" spans="1:13" s="230" customFormat="1" ht="20.25">
      <c r="A1" s="76" t="str">
        <f>"Investeringsredovisning "&amp;År&amp;", miljoner kr"</f>
        <v>Investeringsredovisning 2023, miljoner kr</v>
      </c>
      <c r="B1" s="93"/>
      <c r="C1" s="93"/>
      <c r="D1" s="93"/>
      <c r="E1" s="94"/>
      <c r="F1" s="94"/>
      <c r="G1" s="510" t="s">
        <v>450</v>
      </c>
      <c r="H1" s="511" t="str">
        <f>Information!A2</f>
        <v>RIKSTOTAL</v>
      </c>
      <c r="I1" s="157"/>
      <c r="J1" s="95">
        <v>1</v>
      </c>
      <c r="K1" s="95"/>
      <c r="L1" s="95"/>
      <c r="M1" s="95"/>
    </row>
    <row r="2" spans="1:13" s="230" customFormat="1" ht="12.75" customHeight="1">
      <c r="A2" s="2193"/>
      <c r="B2" s="2193"/>
      <c r="C2" s="2193"/>
      <c r="D2" s="2193"/>
      <c r="E2" s="2193"/>
      <c r="F2" s="2193"/>
      <c r="G2" s="2193"/>
      <c r="H2" s="2193"/>
      <c r="I2" s="2193"/>
      <c r="J2" s="2193"/>
      <c r="K2" s="2193"/>
      <c r="L2" s="2193"/>
      <c r="M2" s="2193"/>
    </row>
    <row r="3" spans="1:13" s="230" customFormat="1" ht="12.75" customHeight="1" thickBot="1">
      <c r="A3" s="2193"/>
      <c r="B3" s="2193"/>
      <c r="C3" s="2193"/>
      <c r="D3" s="2193"/>
      <c r="E3" s="2193"/>
      <c r="F3" s="2193"/>
      <c r="G3" s="2193"/>
      <c r="H3" s="2193"/>
      <c r="I3" s="2193"/>
      <c r="J3" s="2193"/>
      <c r="K3" s="2193"/>
      <c r="L3" s="2193"/>
      <c r="M3" s="2193"/>
    </row>
    <row r="4" spans="1:13" s="230" customFormat="1" ht="43.5" customHeight="1">
      <c r="A4" s="809" t="s">
        <v>468</v>
      </c>
      <c r="B4" s="810"/>
      <c r="C4" s="2525" t="s">
        <v>1192</v>
      </c>
      <c r="D4" s="2525" t="s">
        <v>952</v>
      </c>
      <c r="E4" s="2525" t="s">
        <v>1193</v>
      </c>
      <c r="F4" s="1684" t="s">
        <v>953</v>
      </c>
      <c r="G4" s="1884" t="s">
        <v>954</v>
      </c>
      <c r="H4" s="1885" t="s">
        <v>1194</v>
      </c>
      <c r="I4" s="67"/>
      <c r="J4" s="43"/>
      <c r="K4" s="231"/>
      <c r="L4" s="231"/>
    </row>
    <row r="5" spans="1:13" s="230" customFormat="1" ht="39.75" customHeight="1">
      <c r="A5" s="811"/>
      <c r="B5" s="812"/>
      <c r="C5" s="2526"/>
      <c r="D5" s="2526"/>
      <c r="E5" s="2526"/>
      <c r="F5" s="1685" t="s">
        <v>750</v>
      </c>
      <c r="G5" s="1686"/>
      <c r="H5" s="1683"/>
      <c r="I5" s="87"/>
      <c r="J5" s="1305"/>
      <c r="K5" s="231"/>
      <c r="L5" s="231"/>
    </row>
    <row r="6" spans="1:13" s="233" customFormat="1" ht="19.5" customHeight="1">
      <c r="A6" s="577" t="s">
        <v>473</v>
      </c>
      <c r="B6" s="578" t="s">
        <v>361</v>
      </c>
      <c r="C6" s="346">
        <v>691712.21600000001</v>
      </c>
      <c r="D6" s="346">
        <v>37477.510999999999</v>
      </c>
      <c r="E6" s="346">
        <v>327194.95500000002</v>
      </c>
      <c r="F6" s="1687">
        <v>80523.532999999996</v>
      </c>
      <c r="G6" s="1688">
        <v>1619416.537</v>
      </c>
      <c r="H6" s="1260">
        <v>44214.646999999997</v>
      </c>
      <c r="I6" s="2074"/>
      <c r="J6" s="1305"/>
      <c r="K6" s="232"/>
      <c r="L6" s="232"/>
    </row>
    <row r="7" spans="1:13" s="233" customFormat="1" ht="19.5" customHeight="1">
      <c r="A7" s="579" t="s">
        <v>474</v>
      </c>
      <c r="B7" s="2256" t="s">
        <v>870</v>
      </c>
      <c r="C7" s="238">
        <v>84048.27</v>
      </c>
      <c r="D7" s="239">
        <v>9980.3310000000001</v>
      </c>
      <c r="E7" s="240">
        <v>11533.596</v>
      </c>
      <c r="F7" s="1689">
        <v>7781.3289999999997</v>
      </c>
      <c r="G7" s="1770">
        <v>183290.53</v>
      </c>
      <c r="H7" s="1812">
        <v>3028.7469999999998</v>
      </c>
      <c r="I7" s="1932"/>
      <c r="J7" s="2075"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32"/>
      <c r="L7" s="232"/>
    </row>
    <row r="8" spans="1:13" s="233" customFormat="1" ht="17.25" customHeight="1">
      <c r="A8" s="581" t="s">
        <v>475</v>
      </c>
      <c r="B8" s="580" t="s">
        <v>981</v>
      </c>
      <c r="C8" s="238">
        <v>-3422.0619999999999</v>
      </c>
      <c r="D8" s="239">
        <v>-491.64100000000002</v>
      </c>
      <c r="E8" s="240">
        <v>-1840.8440000000001</v>
      </c>
      <c r="F8" s="1689">
        <v>-243.09800000000001</v>
      </c>
      <c r="G8" s="1770">
        <v>-6352.2089999999998</v>
      </c>
      <c r="H8" s="1812">
        <v>-408.04399999999998</v>
      </c>
      <c r="I8" s="1861"/>
      <c r="J8" s="2000" t="str">
        <f>IF(F8&lt;E8,"Rad 988: därav-kol.F&lt;Kol.E","")</f>
        <v/>
      </c>
      <c r="K8" s="232"/>
      <c r="L8" s="232"/>
    </row>
    <row r="9" spans="1:13" s="233" customFormat="1" ht="20.25" customHeight="1">
      <c r="A9" s="581" t="s">
        <v>476</v>
      </c>
      <c r="B9" s="580" t="s">
        <v>485</v>
      </c>
      <c r="C9" s="308">
        <v>1534.375</v>
      </c>
      <c r="D9" s="239">
        <v>128.14699999999999</v>
      </c>
      <c r="E9" s="240">
        <v>192.24</v>
      </c>
      <c r="F9" s="1689">
        <v>87.596000000000004</v>
      </c>
      <c r="G9" s="1770">
        <v>1836.249</v>
      </c>
      <c r="H9" s="1812">
        <v>189.614</v>
      </c>
      <c r="I9" s="1932"/>
      <c r="J9" s="1999" t="str">
        <f>IF(F9&gt;E9,"Rad 989: därav-kol.F&gt;kol.E","")</f>
        <v/>
      </c>
      <c r="K9" s="232"/>
      <c r="L9" s="232"/>
    </row>
    <row r="10" spans="1:13" s="233" customFormat="1" ht="21" customHeight="1">
      <c r="A10" s="581" t="s">
        <v>349</v>
      </c>
      <c r="B10" s="580" t="s">
        <v>996</v>
      </c>
      <c r="C10" s="308">
        <v>-903.98</v>
      </c>
      <c r="D10" s="239">
        <v>-125.301</v>
      </c>
      <c r="E10" s="240">
        <v>-16.946000000000002</v>
      </c>
      <c r="F10" s="1689">
        <v>-16.760000000000002</v>
      </c>
      <c r="G10" s="1770">
        <v>-2040.607</v>
      </c>
      <c r="H10" s="1812">
        <v>-117.706</v>
      </c>
      <c r="I10" s="1932"/>
      <c r="J10" s="1999" t="str">
        <f>IF(F10&lt;E10,"Rad 990: därav-kol.F&lt;Kol.E","")</f>
        <v/>
      </c>
      <c r="K10" s="232"/>
      <c r="L10" s="232"/>
    </row>
    <row r="11" spans="1:13" s="233" customFormat="1" ht="15" customHeight="1">
      <c r="A11" s="581" t="s">
        <v>350</v>
      </c>
      <c r="B11" s="580" t="s">
        <v>347</v>
      </c>
      <c r="C11" s="238">
        <v>-29180.974999999999</v>
      </c>
      <c r="D11" s="239">
        <v>-7250.7129999999997</v>
      </c>
      <c r="E11" s="1453">
        <v>-6.5000000000000002E-2</v>
      </c>
      <c r="F11" s="1690">
        <v>0</v>
      </c>
      <c r="G11" s="1770">
        <v>-71774.828999999998</v>
      </c>
      <c r="H11" s="1812">
        <v>-16.544</v>
      </c>
      <c r="I11" s="1861"/>
      <c r="J11" s="1957"/>
      <c r="K11" s="232"/>
      <c r="L11" s="232"/>
    </row>
    <row r="12" spans="1:13" s="233" customFormat="1" ht="15" customHeight="1">
      <c r="A12" s="581" t="s">
        <v>351</v>
      </c>
      <c r="B12" s="580" t="s">
        <v>149</v>
      </c>
      <c r="C12" s="241">
        <v>-352.13200000000001</v>
      </c>
      <c r="D12" s="242">
        <v>-14.282999999999999</v>
      </c>
      <c r="E12" s="53">
        <v>-903.245</v>
      </c>
      <c r="F12" s="1510">
        <v>-169.393</v>
      </c>
      <c r="G12" s="1770">
        <v>-2561.8440000000001</v>
      </c>
      <c r="H12" s="1812">
        <v>-737.83699999999999</v>
      </c>
      <c r="I12" s="2068"/>
      <c r="J12" s="2532"/>
      <c r="K12" s="2533"/>
      <c r="L12" s="2533"/>
      <c r="M12" s="2533"/>
    </row>
    <row r="13" spans="1:13" s="233" customFormat="1" ht="19.5" customHeight="1">
      <c r="A13" s="582" t="s">
        <v>352</v>
      </c>
      <c r="B13" s="2256" t="s">
        <v>1120</v>
      </c>
      <c r="C13" s="238">
        <v>1657.165</v>
      </c>
      <c r="D13" s="239">
        <v>-5.3360000000000003</v>
      </c>
      <c r="E13" s="240">
        <v>77.491</v>
      </c>
      <c r="F13" s="1689">
        <v>-7.5439999999999996</v>
      </c>
      <c r="G13" s="1770">
        <v>-128.102</v>
      </c>
      <c r="H13" s="1812">
        <v>-372.161</v>
      </c>
      <c r="I13" s="2071"/>
      <c r="J13" s="2533"/>
      <c r="K13" s="2533"/>
      <c r="L13" s="2533"/>
      <c r="M13" s="2533"/>
    </row>
    <row r="14" spans="1:13" s="233" customFormat="1" ht="13.5" customHeight="1">
      <c r="A14" s="581" t="s">
        <v>353</v>
      </c>
      <c r="B14" s="580" t="s">
        <v>348</v>
      </c>
      <c r="C14" s="238">
        <v>10805.29</v>
      </c>
      <c r="D14" s="239">
        <v>-178.10400000000001</v>
      </c>
      <c r="E14" s="240">
        <v>26101.827000000001</v>
      </c>
      <c r="F14" s="1689">
        <v>306.08300000000003</v>
      </c>
      <c r="G14" s="1770">
        <v>5709.91</v>
      </c>
      <c r="H14" s="1812">
        <v>-327.19</v>
      </c>
      <c r="I14" s="2072"/>
      <c r="J14" s="2533"/>
      <c r="K14" s="2533"/>
      <c r="L14" s="2533"/>
      <c r="M14" s="2533"/>
    </row>
    <row r="15" spans="1:13" s="233" customFormat="1" ht="12" thickBot="1">
      <c r="A15" s="583" t="s">
        <v>354</v>
      </c>
      <c r="B15" s="584" t="s">
        <v>362</v>
      </c>
      <c r="C15" s="290">
        <f>BR!D10</f>
        <v>755898.16700000002</v>
      </c>
      <c r="D15" s="291">
        <f>BR!D11</f>
        <v>39520.610999999997</v>
      </c>
      <c r="E15" s="291">
        <f>BR!D17</f>
        <v>362339.00900000002</v>
      </c>
      <c r="F15" s="1691">
        <f>BR!D13</f>
        <v>88261.745999999999</v>
      </c>
      <c r="G15" s="1692">
        <f>BR!E12</f>
        <v>1727395.635</v>
      </c>
      <c r="H15" s="1682">
        <f>BR!E17</f>
        <v>45453.525999999998</v>
      </c>
      <c r="I15" s="1454"/>
      <c r="J15" s="2533"/>
      <c r="K15" s="2533"/>
      <c r="L15" s="2533"/>
      <c r="M15" s="2533"/>
    </row>
    <row r="16" spans="1:13" s="233" customFormat="1" ht="37.5" customHeight="1">
      <c r="A16" s="59"/>
      <c r="B16" s="58"/>
      <c r="C16" s="139"/>
      <c r="D16" s="139"/>
      <c r="E16" s="139"/>
      <c r="F16" s="139"/>
      <c r="G16" s="1771"/>
      <c r="H16" s="1772"/>
      <c r="I16" s="2193"/>
      <c r="J16" s="2193"/>
      <c r="K16" s="2193"/>
      <c r="L16" s="2193"/>
    </row>
    <row r="17" spans="1:12" ht="12.75" customHeight="1">
      <c r="A17" s="277"/>
      <c r="B17" s="197"/>
      <c r="C17" s="43"/>
      <c r="D17" s="43"/>
      <c r="E17" s="43"/>
      <c r="F17" s="43"/>
      <c r="G17" s="1769"/>
      <c r="H17" s="1769"/>
      <c r="I17" s="45"/>
      <c r="J17" s="45"/>
      <c r="K17" s="4"/>
      <c r="L17" s="2483"/>
    </row>
    <row r="18" spans="1:12" ht="25.5" customHeight="1">
      <c r="A18" s="1476" t="s">
        <v>1201</v>
      </c>
      <c r="B18" s="1475"/>
      <c r="C18" s="1475"/>
      <c r="D18" s="1475"/>
      <c r="E18" s="1475"/>
      <c r="F18" s="1475"/>
      <c r="G18" s="1475"/>
      <c r="H18" s="1475"/>
      <c r="I18" s="1475"/>
      <c r="J18" s="1475"/>
      <c r="K18" s="1475"/>
      <c r="L18" s="2484"/>
    </row>
    <row r="19" spans="1:12" s="235" customFormat="1" ht="22.5" customHeight="1" thickBot="1">
      <c r="A19" s="1447" t="s">
        <v>1084</v>
      </c>
      <c r="B19" s="234"/>
      <c r="C19" s="60"/>
      <c r="D19" s="61"/>
      <c r="E19" s="62"/>
      <c r="F19" s="62"/>
      <c r="G19" s="62"/>
      <c r="H19" s="62"/>
      <c r="I19" s="158"/>
      <c r="J19" s="156"/>
      <c r="K19" s="63"/>
      <c r="L19" s="2485"/>
    </row>
    <row r="20" spans="1:12" ht="14.25" customHeight="1">
      <c r="A20" s="813" t="s">
        <v>607</v>
      </c>
      <c r="B20" s="814" t="s">
        <v>13</v>
      </c>
      <c r="C20" s="1448" t="s">
        <v>874</v>
      </c>
      <c r="D20" s="815" t="s">
        <v>168</v>
      </c>
      <c r="E20" s="816"/>
      <c r="F20" s="816"/>
      <c r="G20" s="1825"/>
      <c r="H20" s="1826"/>
      <c r="I20" s="39"/>
      <c r="J20" s="39"/>
      <c r="K20" s="44"/>
      <c r="L20" s="4"/>
    </row>
    <row r="21" spans="1:12" ht="27.75" customHeight="1">
      <c r="A21" s="2482" t="s">
        <v>610</v>
      </c>
      <c r="B21" s="779"/>
      <c r="C21" s="1449" t="s">
        <v>875</v>
      </c>
      <c r="D21" s="1446" t="s">
        <v>938</v>
      </c>
      <c r="E21" s="1446" t="s">
        <v>872</v>
      </c>
      <c r="F21" s="1813" t="s">
        <v>873</v>
      </c>
      <c r="G21" s="1827"/>
      <c r="H21" s="1828"/>
      <c r="I21" s="8"/>
      <c r="J21" s="64"/>
      <c r="K21" s="44"/>
      <c r="L21" s="4"/>
    </row>
    <row r="22" spans="1:12">
      <c r="A22" s="817"/>
      <c r="B22" s="819"/>
      <c r="C22" s="820"/>
      <c r="D22" s="818" t="s">
        <v>939</v>
      </c>
      <c r="E22" s="867" t="s">
        <v>169</v>
      </c>
      <c r="F22" s="1814" t="s">
        <v>170</v>
      </c>
      <c r="G22" s="1829"/>
      <c r="H22" s="1830"/>
      <c r="I22" s="8"/>
      <c r="J22" s="64"/>
      <c r="K22" s="44"/>
      <c r="L22" s="4"/>
    </row>
    <row r="23" spans="1:12" ht="36" customHeight="1">
      <c r="A23" s="821"/>
      <c r="B23" s="822"/>
      <c r="C23" s="823"/>
      <c r="D23" s="1560" t="s">
        <v>942</v>
      </c>
      <c r="E23" s="1561" t="s">
        <v>940</v>
      </c>
      <c r="F23" s="1815" t="s">
        <v>941</v>
      </c>
      <c r="G23" s="1831"/>
      <c r="H23" s="1498"/>
      <c r="I23" s="8"/>
      <c r="J23" s="8"/>
      <c r="K23" s="44"/>
      <c r="L23" s="4"/>
    </row>
    <row r="24" spans="1:12">
      <c r="A24" s="824"/>
      <c r="B24" s="2162" t="s">
        <v>14</v>
      </c>
      <c r="C24" s="825"/>
      <c r="D24" s="825"/>
      <c r="E24" s="825"/>
      <c r="F24" s="1816"/>
      <c r="G24" s="1832"/>
      <c r="H24" s="1833"/>
      <c r="I24" s="159"/>
      <c r="J24" s="160"/>
      <c r="K24" s="161"/>
      <c r="L24" s="161"/>
    </row>
    <row r="25" spans="1:12">
      <c r="A25" s="1908" t="s">
        <v>211</v>
      </c>
      <c r="B25" s="589" t="s">
        <v>15</v>
      </c>
      <c r="C25" s="243">
        <v>68.739999999999995</v>
      </c>
      <c r="D25" s="243">
        <v>43.21</v>
      </c>
      <c r="E25" s="243">
        <v>11.131</v>
      </c>
      <c r="F25" s="1817">
        <v>3.8029999999999999</v>
      </c>
      <c r="G25" s="1845"/>
      <c r="H25" s="1834"/>
      <c r="I25" s="305"/>
      <c r="J25" s="305"/>
      <c r="K25" s="306"/>
      <c r="L25" s="177"/>
    </row>
    <row r="26" spans="1:12" ht="18.75">
      <c r="A26" s="826" t="s">
        <v>212</v>
      </c>
      <c r="B26" s="592" t="s">
        <v>999</v>
      </c>
      <c r="C26" s="20">
        <v>8467.6059999999998</v>
      </c>
      <c r="D26" s="20">
        <v>6146.3109999999997</v>
      </c>
      <c r="E26" s="20">
        <v>129.69999999999999</v>
      </c>
      <c r="F26" s="448">
        <v>1682.623</v>
      </c>
      <c r="G26" s="1845"/>
      <c r="H26" s="1834"/>
      <c r="I26" s="305"/>
      <c r="J26" s="305"/>
      <c r="K26" s="306"/>
      <c r="L26" s="177"/>
    </row>
    <row r="27" spans="1:12">
      <c r="A27" s="581" t="s">
        <v>341</v>
      </c>
      <c r="B27" s="550" t="s">
        <v>171</v>
      </c>
      <c r="C27" s="20">
        <v>400.52800000000002</v>
      </c>
      <c r="D27" s="20">
        <v>337.685</v>
      </c>
      <c r="E27" s="20">
        <v>17.001000000000001</v>
      </c>
      <c r="F27" s="448">
        <v>17.238</v>
      </c>
      <c r="G27" s="1845"/>
      <c r="H27" s="1834"/>
      <c r="I27" s="305"/>
      <c r="J27" s="305"/>
      <c r="K27" s="306"/>
      <c r="L27" s="177"/>
    </row>
    <row r="28" spans="1:12">
      <c r="A28" s="581" t="s">
        <v>215</v>
      </c>
      <c r="B28" s="550" t="s">
        <v>808</v>
      </c>
      <c r="C28" s="20">
        <v>15539.026</v>
      </c>
      <c r="D28" s="20">
        <v>13925.409</v>
      </c>
      <c r="E28" s="20">
        <v>314.108</v>
      </c>
      <c r="F28" s="448">
        <v>293.61</v>
      </c>
      <c r="G28" s="1845"/>
      <c r="H28" s="1834"/>
      <c r="I28" s="305"/>
      <c r="J28" s="305"/>
      <c r="K28" s="306"/>
      <c r="L28" s="177"/>
    </row>
    <row r="29" spans="1:12">
      <c r="A29" s="581" t="s">
        <v>216</v>
      </c>
      <c r="B29" s="550" t="s">
        <v>16</v>
      </c>
      <c r="C29" s="20">
        <v>2458.4189999999999</v>
      </c>
      <c r="D29" s="20">
        <v>1894.1479999999999</v>
      </c>
      <c r="E29" s="20">
        <v>190.51400000000001</v>
      </c>
      <c r="F29" s="448">
        <v>54.646000000000001</v>
      </c>
      <c r="G29" s="1845"/>
      <c r="H29" s="1834"/>
      <c r="I29" s="305"/>
      <c r="J29" s="305"/>
      <c r="K29" s="306"/>
      <c r="L29" s="177"/>
    </row>
    <row r="30" spans="1:12">
      <c r="A30" s="581" t="s">
        <v>342</v>
      </c>
      <c r="B30" s="550" t="s">
        <v>173</v>
      </c>
      <c r="C30" s="20">
        <v>327.21899999999999</v>
      </c>
      <c r="D30" s="20">
        <v>284.44200000000001</v>
      </c>
      <c r="E30" s="20">
        <v>18.027999999999999</v>
      </c>
      <c r="F30" s="448">
        <v>9.3290000000000006</v>
      </c>
      <c r="G30" s="1845"/>
      <c r="H30" s="1834"/>
      <c r="I30" s="305"/>
      <c r="J30" s="305"/>
      <c r="K30" s="306"/>
      <c r="L30" s="177"/>
    </row>
    <row r="31" spans="1:12">
      <c r="A31" s="581" t="s">
        <v>220</v>
      </c>
      <c r="B31" s="550" t="s">
        <v>17</v>
      </c>
      <c r="C31" s="20">
        <v>938.36599999999999</v>
      </c>
      <c r="D31" s="20">
        <v>474.93700000000001</v>
      </c>
      <c r="E31" s="20">
        <v>245.577</v>
      </c>
      <c r="F31" s="448">
        <v>177.27099999999999</v>
      </c>
      <c r="G31" s="1845"/>
      <c r="H31" s="1834"/>
      <c r="I31" s="305"/>
      <c r="J31" s="305"/>
      <c r="K31" s="306"/>
      <c r="L31" s="177"/>
    </row>
    <row r="32" spans="1:12">
      <c r="A32" s="581" t="s">
        <v>221</v>
      </c>
      <c r="B32" s="550" t="s">
        <v>174</v>
      </c>
      <c r="C32" s="20">
        <v>329.91899999999998</v>
      </c>
      <c r="D32" s="20">
        <v>169.40199999999999</v>
      </c>
      <c r="E32" s="20">
        <v>45.85</v>
      </c>
      <c r="F32" s="448">
        <v>91.665999999999997</v>
      </c>
      <c r="G32" s="1845"/>
      <c r="H32" s="1834"/>
      <c r="I32" s="305"/>
      <c r="J32" s="305"/>
      <c r="K32" s="306"/>
      <c r="L32" s="177"/>
    </row>
    <row r="33" spans="1:12">
      <c r="A33" s="588" t="s">
        <v>222</v>
      </c>
      <c r="B33" s="589" t="s">
        <v>175</v>
      </c>
      <c r="C33" s="361">
        <f>SUM(C26:C32)</f>
        <v>28461.082999999999</v>
      </c>
      <c r="D33" s="361">
        <f>SUM(D26:D32)</f>
        <v>23232.333999999999</v>
      </c>
      <c r="E33" s="361">
        <f>SUM(E26:E32)</f>
        <v>960.77800000000002</v>
      </c>
      <c r="F33" s="1818">
        <f>SUM(F26:F32)</f>
        <v>2326.3830000000007</v>
      </c>
      <c r="G33" s="1845"/>
      <c r="H33" s="1834"/>
      <c r="I33" s="305"/>
      <c r="J33" s="305"/>
      <c r="K33" s="307"/>
      <c r="L33" s="177"/>
    </row>
    <row r="34" spans="1:12">
      <c r="A34" s="590" t="s">
        <v>232</v>
      </c>
      <c r="B34" s="591" t="s">
        <v>176</v>
      </c>
      <c r="C34" s="244">
        <v>10515.973</v>
      </c>
      <c r="D34" s="244">
        <v>7753.0730000000003</v>
      </c>
      <c r="E34" s="244">
        <v>651.41099999999994</v>
      </c>
      <c r="F34" s="1819">
        <v>1726.335</v>
      </c>
      <c r="G34" s="1845"/>
      <c r="H34" s="1834"/>
      <c r="I34" s="305"/>
      <c r="J34" s="305"/>
      <c r="K34" s="306"/>
      <c r="L34" s="177"/>
    </row>
    <row r="35" spans="1:12" ht="18.75">
      <c r="A35" s="827" t="s">
        <v>238</v>
      </c>
      <c r="B35" s="1223" t="s">
        <v>727</v>
      </c>
      <c r="C35" s="243">
        <v>6678.0050000000001</v>
      </c>
      <c r="D35" s="243">
        <v>5767.28</v>
      </c>
      <c r="E35" s="243">
        <v>316.69200000000001</v>
      </c>
      <c r="F35" s="1817">
        <v>366.58</v>
      </c>
      <c r="G35" s="1845"/>
      <c r="H35" s="1834"/>
      <c r="I35" s="305"/>
      <c r="J35" s="305"/>
      <c r="K35" s="306"/>
      <c r="L35" s="177"/>
    </row>
    <row r="36" spans="1:12">
      <c r="A36" s="585"/>
      <c r="B36" s="586" t="s">
        <v>177</v>
      </c>
      <c r="C36" s="828"/>
      <c r="D36" s="828"/>
      <c r="E36" s="828"/>
      <c r="F36" s="1820"/>
      <c r="G36" s="1845"/>
      <c r="H36" s="1834"/>
      <c r="I36" s="305"/>
      <c r="J36" s="305"/>
      <c r="K36" s="306"/>
      <c r="L36" s="177"/>
    </row>
    <row r="37" spans="1:12" ht="18.75">
      <c r="A37" s="579" t="s">
        <v>386</v>
      </c>
      <c r="B37" s="2257" t="s">
        <v>1212</v>
      </c>
      <c r="C37" s="20">
        <v>13774.674000000001</v>
      </c>
      <c r="D37" s="20">
        <v>11576.582</v>
      </c>
      <c r="E37" s="20">
        <v>1042.182</v>
      </c>
      <c r="F37" s="448">
        <v>508.01100000000002</v>
      </c>
      <c r="G37" s="1845"/>
      <c r="H37" s="1834"/>
      <c r="I37" s="305"/>
      <c r="J37" s="305"/>
      <c r="K37" s="306"/>
      <c r="L37" s="177"/>
    </row>
    <row r="38" spans="1:12">
      <c r="A38" s="581" t="s">
        <v>343</v>
      </c>
      <c r="B38" s="2201" t="s">
        <v>1213</v>
      </c>
      <c r="C38" s="20">
        <v>2727.9279999999999</v>
      </c>
      <c r="D38" s="20">
        <v>1925.2840000000001</v>
      </c>
      <c r="E38" s="20">
        <v>476.44499999999999</v>
      </c>
      <c r="F38" s="448">
        <v>225.73699999999999</v>
      </c>
      <c r="G38" s="1845"/>
      <c r="H38" s="1834"/>
      <c r="I38" s="305"/>
      <c r="J38" s="305"/>
      <c r="K38" s="306"/>
      <c r="L38" s="177"/>
    </row>
    <row r="39" spans="1:12">
      <c r="A39" s="579" t="s">
        <v>344</v>
      </c>
      <c r="B39" s="550" t="s">
        <v>18</v>
      </c>
      <c r="C39" s="20">
        <v>229.137</v>
      </c>
      <c r="D39" s="20">
        <v>139.821</v>
      </c>
      <c r="E39" s="20">
        <v>50.752000000000002</v>
      </c>
      <c r="F39" s="448">
        <v>18.353000000000002</v>
      </c>
      <c r="G39" s="1845"/>
      <c r="H39" s="1834"/>
      <c r="I39" s="305"/>
      <c r="J39" s="305"/>
      <c r="K39" s="306"/>
      <c r="L39" s="306"/>
    </row>
    <row r="40" spans="1:12">
      <c r="A40" s="588" t="s">
        <v>247</v>
      </c>
      <c r="B40" s="589" t="s">
        <v>19</v>
      </c>
      <c r="C40" s="361">
        <f>SUM(C37:C39)</f>
        <v>16731.738999999998</v>
      </c>
      <c r="D40" s="361">
        <f>SUM(D37:D39)</f>
        <v>13641.687</v>
      </c>
      <c r="E40" s="361">
        <f>SUM(E37:E39)</f>
        <v>1569.3789999999999</v>
      </c>
      <c r="F40" s="1818">
        <f>SUM(F37:F39)</f>
        <v>752.101</v>
      </c>
      <c r="G40" s="1845"/>
      <c r="H40" s="1834"/>
      <c r="I40" s="305"/>
      <c r="J40" s="305"/>
      <c r="K40" s="306"/>
      <c r="L40" s="306"/>
    </row>
    <row r="41" spans="1:12">
      <c r="A41" s="590" t="s">
        <v>248</v>
      </c>
      <c r="B41" s="591" t="s">
        <v>178</v>
      </c>
      <c r="C41" s="361">
        <f>C35+C40</f>
        <v>23409.743999999999</v>
      </c>
      <c r="D41" s="361">
        <f>D35+D40</f>
        <v>19408.967000000001</v>
      </c>
      <c r="E41" s="361">
        <f>E35+E40</f>
        <v>1886.0709999999999</v>
      </c>
      <c r="F41" s="1821">
        <f>F35+F40</f>
        <v>1118.681</v>
      </c>
      <c r="G41" s="1845"/>
      <c r="H41" s="1834"/>
      <c r="I41" s="305"/>
      <c r="J41" s="305"/>
      <c r="K41" s="306"/>
      <c r="L41" s="306"/>
    </row>
    <row r="42" spans="1:12" ht="18.75">
      <c r="A42" s="577" t="s">
        <v>249</v>
      </c>
      <c r="B42" s="592" t="s">
        <v>179</v>
      </c>
      <c r="C42" s="20">
        <v>9.3510000000000009</v>
      </c>
      <c r="D42" s="20">
        <v>6.8769999999999998</v>
      </c>
      <c r="E42" s="20">
        <v>2.3650000000000002</v>
      </c>
      <c r="F42" s="448">
        <v>0</v>
      </c>
      <c r="G42" s="1845"/>
      <c r="H42" s="1834"/>
      <c r="I42" s="305"/>
      <c r="J42" s="305"/>
      <c r="K42" s="306"/>
      <c r="L42" s="306"/>
    </row>
    <row r="43" spans="1:12">
      <c r="A43" s="593" t="s">
        <v>250</v>
      </c>
      <c r="B43" s="550" t="s">
        <v>97</v>
      </c>
      <c r="C43" s="20">
        <v>181.518</v>
      </c>
      <c r="D43" s="20">
        <v>129.81899999999999</v>
      </c>
      <c r="E43" s="20">
        <v>24.603999999999999</v>
      </c>
      <c r="F43" s="448">
        <v>8.8710000000000004</v>
      </c>
      <c r="G43" s="1845"/>
      <c r="H43" s="1834"/>
      <c r="I43" s="305"/>
      <c r="J43" s="305"/>
      <c r="K43" s="306"/>
      <c r="L43" s="177"/>
    </row>
    <row r="44" spans="1:12">
      <c r="A44" s="581" t="s">
        <v>428</v>
      </c>
      <c r="B44" s="594" t="s">
        <v>480</v>
      </c>
      <c r="C44" s="486">
        <v>4788.8680000000004</v>
      </c>
      <c r="D44" s="20">
        <v>2804.998</v>
      </c>
      <c r="E44" s="20">
        <v>685.86199999999997</v>
      </c>
      <c r="F44" s="448">
        <v>1020.456</v>
      </c>
      <c r="G44" s="1845"/>
      <c r="H44" s="1834"/>
      <c r="I44" s="305"/>
      <c r="J44" s="305"/>
      <c r="K44" s="306"/>
      <c r="L44" s="177"/>
    </row>
    <row r="45" spans="1:12" ht="18.75">
      <c r="A45" s="581" t="s">
        <v>492</v>
      </c>
      <c r="B45" s="587" t="s">
        <v>493</v>
      </c>
      <c r="C45" s="486">
        <v>1381.579</v>
      </c>
      <c r="D45" s="20">
        <v>927.87400000000002</v>
      </c>
      <c r="E45" s="20">
        <v>135.60300000000001</v>
      </c>
      <c r="F45" s="448">
        <v>197.357</v>
      </c>
      <c r="G45" s="1845"/>
      <c r="H45" s="1834"/>
      <c r="I45" s="305"/>
      <c r="J45" s="305"/>
      <c r="K45" s="306"/>
      <c r="L45" s="177"/>
    </row>
    <row r="46" spans="1:12">
      <c r="A46" s="581" t="s">
        <v>345</v>
      </c>
      <c r="B46" s="550" t="s">
        <v>180</v>
      </c>
      <c r="C46" s="20">
        <v>160.96700000000001</v>
      </c>
      <c r="D46" s="20">
        <v>80.405000000000001</v>
      </c>
      <c r="E46" s="20">
        <v>49.752000000000002</v>
      </c>
      <c r="F46" s="448">
        <v>14.398</v>
      </c>
      <c r="G46" s="1845"/>
      <c r="H46" s="1834"/>
      <c r="I46" s="305"/>
      <c r="J46" s="305"/>
      <c r="K46" s="306"/>
      <c r="L46" s="177"/>
    </row>
    <row r="47" spans="1:12">
      <c r="A47" s="588" t="s">
        <v>346</v>
      </c>
      <c r="B47" s="829" t="s">
        <v>181</v>
      </c>
      <c r="C47" s="361">
        <f>SUM(C42:C46)</f>
        <v>6522.2829999999994</v>
      </c>
      <c r="D47" s="361">
        <f>SUM(D42:D46)</f>
        <v>3949.9730000000004</v>
      </c>
      <c r="E47" s="361">
        <f>SUM(E42:E46)</f>
        <v>898.18599999999992</v>
      </c>
      <c r="F47" s="1818">
        <f>SUM(F42:F46)</f>
        <v>1241.0819999999999</v>
      </c>
      <c r="G47" s="1845"/>
      <c r="H47" s="1834"/>
      <c r="I47" s="305"/>
      <c r="J47" s="305"/>
      <c r="K47" s="307"/>
      <c r="L47" s="177"/>
    </row>
    <row r="48" spans="1:12">
      <c r="A48" s="590" t="s">
        <v>255</v>
      </c>
      <c r="B48" s="591" t="s">
        <v>182</v>
      </c>
      <c r="C48" s="244">
        <v>86.138999999999996</v>
      </c>
      <c r="D48" s="244">
        <v>47.268999999999998</v>
      </c>
      <c r="E48" s="244">
        <v>25.222000000000001</v>
      </c>
      <c r="F48" s="1819">
        <v>10.063000000000001</v>
      </c>
      <c r="G48" s="1845"/>
      <c r="H48" s="1834"/>
      <c r="I48" s="305"/>
      <c r="J48" s="305"/>
      <c r="K48" s="306"/>
      <c r="L48" s="177"/>
    </row>
    <row r="49" spans="1:12">
      <c r="A49" s="827" t="s">
        <v>256</v>
      </c>
      <c r="B49" s="589" t="s">
        <v>20</v>
      </c>
      <c r="C49" s="361">
        <f>SUM(C25,C33,C34,C41,C47,C48)</f>
        <v>69063.962</v>
      </c>
      <c r="D49" s="361">
        <f>SUM(D25,D33,D34,D41,D47,D48)</f>
        <v>54434.826000000001</v>
      </c>
      <c r="E49" s="361">
        <f>SUM(E25,E33,E34,E41,E47,E48)</f>
        <v>4432.7989999999991</v>
      </c>
      <c r="F49" s="1822">
        <f>SUM(F25,F33,F34,F41,F47,F48)</f>
        <v>6426.3470000000016</v>
      </c>
      <c r="G49" s="1845"/>
      <c r="H49" s="1834"/>
      <c r="I49" s="305"/>
      <c r="J49" s="305"/>
      <c r="K49" s="306"/>
      <c r="L49" s="177"/>
    </row>
    <row r="50" spans="1:12" ht="31.5" customHeight="1">
      <c r="A50" s="826" t="s">
        <v>257</v>
      </c>
      <c r="B50" s="587" t="s">
        <v>1195</v>
      </c>
      <c r="C50" s="20">
        <v>2011.6210000000001</v>
      </c>
      <c r="D50" s="20">
        <v>1527.857</v>
      </c>
      <c r="E50" s="20">
        <v>35.137999999999998</v>
      </c>
      <c r="F50" s="448">
        <v>193.93899999999999</v>
      </c>
      <c r="G50" s="1845"/>
      <c r="H50" s="1834"/>
      <c r="I50" s="305"/>
      <c r="J50" s="305"/>
      <c r="K50" s="306"/>
      <c r="L50" s="177"/>
    </row>
    <row r="51" spans="1:12">
      <c r="A51" s="593" t="s">
        <v>258</v>
      </c>
      <c r="B51" s="562" t="s">
        <v>21</v>
      </c>
      <c r="C51" s="20">
        <v>522.43899999999996</v>
      </c>
      <c r="D51" s="20">
        <v>488.30900000000003</v>
      </c>
      <c r="E51" s="20">
        <v>4.9829999999999997</v>
      </c>
      <c r="F51" s="448">
        <v>4.47</v>
      </c>
      <c r="G51" s="1845"/>
      <c r="H51" s="1834"/>
      <c r="I51" s="305"/>
      <c r="J51" s="305"/>
      <c r="K51" s="306"/>
      <c r="L51" s="177"/>
    </row>
    <row r="52" spans="1:12">
      <c r="A52" s="593" t="s">
        <v>259</v>
      </c>
      <c r="B52" s="562" t="s">
        <v>22</v>
      </c>
      <c r="C52" s="20">
        <v>492.46100000000001</v>
      </c>
      <c r="D52" s="20">
        <v>304</v>
      </c>
      <c r="E52" s="20">
        <v>39.844000000000001</v>
      </c>
      <c r="F52" s="448">
        <v>78.668999999999997</v>
      </c>
      <c r="G52" s="1845"/>
      <c r="H52" s="1834"/>
      <c r="I52" s="305"/>
      <c r="J52" s="305"/>
      <c r="K52" s="306"/>
      <c r="L52" s="177"/>
    </row>
    <row r="53" spans="1:12">
      <c r="A53" s="593" t="s">
        <v>260</v>
      </c>
      <c r="B53" s="562" t="s">
        <v>23</v>
      </c>
      <c r="C53" s="20">
        <v>3044.78</v>
      </c>
      <c r="D53" s="20">
        <v>2695.2220000000002</v>
      </c>
      <c r="E53" s="20">
        <v>16.010000000000002</v>
      </c>
      <c r="F53" s="448">
        <v>60.435000000000002</v>
      </c>
      <c r="G53" s="1845"/>
      <c r="H53" s="1834"/>
      <c r="I53" s="305"/>
      <c r="J53" s="305"/>
      <c r="K53" s="306"/>
      <c r="L53" s="177"/>
    </row>
    <row r="54" spans="1:12">
      <c r="A54" s="830" t="s">
        <v>261</v>
      </c>
      <c r="B54" s="831" t="s">
        <v>24</v>
      </c>
      <c r="C54" s="361">
        <f>SUM(C50:C53)</f>
        <v>6071.3009999999995</v>
      </c>
      <c r="D54" s="361">
        <f>SUM(D50:D53)</f>
        <v>5015.3880000000008</v>
      </c>
      <c r="E54" s="361">
        <f>SUM(E50:E53)</f>
        <v>95.975000000000009</v>
      </c>
      <c r="F54" s="1818">
        <f>SUM(F50:F53)</f>
        <v>337.51299999999998</v>
      </c>
      <c r="G54" s="1845"/>
      <c r="H54" s="1834"/>
      <c r="I54" s="305"/>
      <c r="J54" s="305"/>
      <c r="K54" s="307"/>
      <c r="L54" s="177"/>
    </row>
    <row r="55" spans="1:12" ht="18.75">
      <c r="A55" s="577" t="s">
        <v>262</v>
      </c>
      <c r="B55" s="832" t="s">
        <v>183</v>
      </c>
      <c r="C55" s="20">
        <v>12.677</v>
      </c>
      <c r="D55" s="20">
        <v>3.3940000000000001</v>
      </c>
      <c r="E55" s="20">
        <v>7.649</v>
      </c>
      <c r="F55" s="448">
        <v>0</v>
      </c>
      <c r="G55" s="1845"/>
      <c r="H55" s="1834"/>
      <c r="I55" s="305"/>
      <c r="J55" s="305"/>
      <c r="K55" s="306"/>
      <c r="L55" s="177"/>
    </row>
    <row r="56" spans="1:12">
      <c r="A56" s="593" t="s">
        <v>263</v>
      </c>
      <c r="B56" s="601" t="s">
        <v>807</v>
      </c>
      <c r="C56" s="20">
        <v>104.85</v>
      </c>
      <c r="D56" s="20">
        <v>95.971000000000004</v>
      </c>
      <c r="E56" s="20">
        <v>3.5579999999999998</v>
      </c>
      <c r="F56" s="448">
        <v>0</v>
      </c>
      <c r="G56" s="1845"/>
      <c r="H56" s="1834"/>
      <c r="I56" s="305"/>
      <c r="J56" s="305"/>
      <c r="K56" s="306"/>
      <c r="L56" s="177"/>
    </row>
    <row r="57" spans="1:12">
      <c r="A57" s="593" t="s">
        <v>264</v>
      </c>
      <c r="B57" s="833" t="s">
        <v>25</v>
      </c>
      <c r="C57" s="20">
        <v>2.8239999999999998</v>
      </c>
      <c r="D57" s="20">
        <v>1.526</v>
      </c>
      <c r="E57" s="20">
        <v>0.13400000000000001</v>
      </c>
      <c r="F57" s="448">
        <v>0</v>
      </c>
      <c r="G57" s="1845"/>
      <c r="H57" s="1834"/>
      <c r="I57" s="305"/>
      <c r="J57" s="305"/>
      <c r="K57" s="306"/>
      <c r="L57" s="177"/>
    </row>
    <row r="58" spans="1:12">
      <c r="A58" s="830" t="s">
        <v>265</v>
      </c>
      <c r="B58" s="591" t="s">
        <v>26</v>
      </c>
      <c r="C58" s="361">
        <f>SUM(C55:C57)</f>
        <v>120.35099999999998</v>
      </c>
      <c r="D58" s="361">
        <f>SUM(D55:D57)</f>
        <v>100.89100000000001</v>
      </c>
      <c r="E58" s="361">
        <f>SUM(E55:E57)</f>
        <v>11.341000000000001</v>
      </c>
      <c r="F58" s="1818">
        <f>SUM(F55:F57)</f>
        <v>0</v>
      </c>
      <c r="G58" s="1845"/>
      <c r="H58" s="1834"/>
      <c r="I58" s="305"/>
      <c r="J58" s="305"/>
      <c r="K58" s="307"/>
      <c r="L58" s="177"/>
    </row>
    <row r="59" spans="1:12" ht="18.75">
      <c r="A59" s="577" t="s">
        <v>266</v>
      </c>
      <c r="B59" s="592" t="s">
        <v>184</v>
      </c>
      <c r="C59" s="20">
        <v>46.68</v>
      </c>
      <c r="D59" s="20">
        <v>21.047000000000001</v>
      </c>
      <c r="E59" s="20">
        <v>12.472</v>
      </c>
      <c r="F59" s="448">
        <v>4.7279999999999998</v>
      </c>
      <c r="G59" s="1845"/>
      <c r="H59" s="1834"/>
      <c r="I59" s="305"/>
      <c r="J59" s="305"/>
      <c r="K59" s="306"/>
      <c r="L59" s="177"/>
    </row>
    <row r="60" spans="1:12">
      <c r="A60" s="593" t="s">
        <v>267</v>
      </c>
      <c r="B60" s="562" t="s">
        <v>27</v>
      </c>
      <c r="C60" s="20">
        <v>22.463999999999999</v>
      </c>
      <c r="D60" s="20">
        <v>18.616</v>
      </c>
      <c r="E60" s="20">
        <v>0.16400000000000001</v>
      </c>
      <c r="F60" s="448">
        <v>0.76800000000000002</v>
      </c>
      <c r="G60" s="1845"/>
      <c r="H60" s="1834"/>
      <c r="I60" s="305"/>
      <c r="J60" s="305"/>
      <c r="K60" s="306"/>
      <c r="L60" s="177"/>
    </row>
    <row r="61" spans="1:12">
      <c r="A61" s="593" t="s">
        <v>268</v>
      </c>
      <c r="B61" s="562" t="s">
        <v>28</v>
      </c>
      <c r="C61" s="20">
        <v>11408.535</v>
      </c>
      <c r="D61" s="20">
        <v>9581.1370000000006</v>
      </c>
      <c r="E61" s="20">
        <v>337.702</v>
      </c>
      <c r="F61" s="448">
        <v>407.27699999999999</v>
      </c>
      <c r="G61" s="1845"/>
      <c r="H61" s="1834"/>
      <c r="I61" s="305"/>
      <c r="J61" s="305"/>
      <c r="K61" s="306"/>
      <c r="L61" s="177"/>
    </row>
    <row r="62" spans="1:12">
      <c r="A62" s="593" t="s">
        <v>269</v>
      </c>
      <c r="B62" s="562" t="s">
        <v>29</v>
      </c>
      <c r="C62" s="20">
        <v>887.92100000000005</v>
      </c>
      <c r="D62" s="20">
        <v>597.14700000000005</v>
      </c>
      <c r="E62" s="20">
        <v>218.45400000000001</v>
      </c>
      <c r="F62" s="448">
        <v>11.654999999999999</v>
      </c>
      <c r="G62" s="1845"/>
      <c r="H62" s="1834"/>
      <c r="I62" s="305"/>
      <c r="J62" s="305"/>
      <c r="K62" s="306"/>
      <c r="L62" s="177"/>
    </row>
    <row r="63" spans="1:12">
      <c r="A63" s="830" t="s">
        <v>270</v>
      </c>
      <c r="B63" s="591" t="s">
        <v>185</v>
      </c>
      <c r="C63" s="361">
        <f>SUM(C59:C62)</f>
        <v>12365.6</v>
      </c>
      <c r="D63" s="361">
        <f>SUM(D59:D62)</f>
        <v>10217.947000000002</v>
      </c>
      <c r="E63" s="361">
        <f>SUM(E59:E62)</f>
        <v>568.79200000000003</v>
      </c>
      <c r="F63" s="1818">
        <f>SUM(F59:F62)</f>
        <v>424.42799999999994</v>
      </c>
      <c r="G63" s="1845"/>
      <c r="H63" s="1834"/>
      <c r="I63" s="305"/>
      <c r="J63" s="305"/>
      <c r="K63" s="307"/>
      <c r="L63" s="177"/>
    </row>
    <row r="64" spans="1:12">
      <c r="A64" s="827" t="s">
        <v>271</v>
      </c>
      <c r="B64" s="589" t="s">
        <v>30</v>
      </c>
      <c r="C64" s="361">
        <f>SUM(C54,C58,C63)</f>
        <v>18557.252</v>
      </c>
      <c r="D64" s="361">
        <f>SUM(D54,D58,D63)</f>
        <v>15334.226000000002</v>
      </c>
      <c r="E64" s="361">
        <f>SUM(E54,E58,E63)</f>
        <v>676.10800000000006</v>
      </c>
      <c r="F64" s="1822">
        <f>SUM(F54,F58,F63)</f>
        <v>761.94099999999992</v>
      </c>
      <c r="G64" s="1845"/>
      <c r="H64" s="1834"/>
      <c r="I64" s="305"/>
      <c r="J64" s="305"/>
      <c r="K64" s="306"/>
      <c r="L64" s="177"/>
    </row>
    <row r="65" spans="1:13" ht="13.5" thickBot="1">
      <c r="A65" s="834" t="s">
        <v>274</v>
      </c>
      <c r="B65" s="835" t="s">
        <v>32</v>
      </c>
      <c r="C65" s="245">
        <v>6487.5410000000002</v>
      </c>
      <c r="D65" s="245">
        <v>2175.422</v>
      </c>
      <c r="E65" s="245">
        <v>3005.1370000000002</v>
      </c>
      <c r="F65" s="1823">
        <v>1426.059</v>
      </c>
      <c r="G65" s="1845"/>
      <c r="H65" s="1834"/>
      <c r="I65" s="305"/>
      <c r="J65" s="305"/>
      <c r="K65" s="306"/>
      <c r="L65" s="177"/>
    </row>
    <row r="66" spans="1:13" ht="27" customHeight="1" thickBot="1">
      <c r="A66" s="836" t="s">
        <v>275</v>
      </c>
      <c r="B66" s="668" t="s">
        <v>33</v>
      </c>
      <c r="C66" s="365">
        <f>SUM(C49,C64,C65)</f>
        <v>94108.755000000005</v>
      </c>
      <c r="D66" s="365">
        <f>SUM(D49,D64,D65)</f>
        <v>71944.474000000002</v>
      </c>
      <c r="E66" s="365">
        <f>SUM(E49,E64,E65)</f>
        <v>8114.0439999999999</v>
      </c>
      <c r="F66" s="1824">
        <f>SUM(F49,F64,F65)</f>
        <v>8614.3470000000016</v>
      </c>
      <c r="G66" s="1845"/>
      <c r="H66" s="1834"/>
      <c r="I66" s="1199"/>
      <c r="J66" s="1434"/>
      <c r="K66" s="1207"/>
      <c r="L66" s="177"/>
    </row>
    <row r="67" spans="1:13" ht="10.5" customHeight="1">
      <c r="A67" s="296"/>
      <c r="B67" s="18"/>
      <c r="C67" s="71"/>
      <c r="D67" s="71"/>
      <c r="E67" s="71"/>
      <c r="F67" s="71"/>
      <c r="G67" s="2193"/>
      <c r="H67" s="2193"/>
      <c r="I67" s="2193"/>
      <c r="J67" s="2193"/>
      <c r="K67" s="2193"/>
      <c r="L67" s="4"/>
    </row>
    <row r="68" spans="1:13" ht="25.5" customHeight="1">
      <c r="A68" s="296"/>
      <c r="B68" s="18"/>
      <c r="C68" s="71"/>
      <c r="D68" s="71"/>
      <c r="E68" s="71"/>
      <c r="F68" s="71"/>
      <c r="G68" s="2193"/>
      <c r="H68" s="2193"/>
      <c r="I68" s="2193"/>
      <c r="J68" s="2193"/>
      <c r="K68" s="2193"/>
      <c r="L68" s="1836"/>
    </row>
    <row r="69" spans="1:13" ht="31.5" customHeight="1">
      <c r="A69" s="296"/>
      <c r="B69" s="18"/>
      <c r="C69" s="71"/>
      <c r="D69" s="71"/>
      <c r="E69" s="71"/>
      <c r="F69" s="71"/>
      <c r="G69" s="2193"/>
      <c r="H69" s="2193"/>
      <c r="I69" s="2193"/>
      <c r="J69" s="2193"/>
      <c r="K69" s="2193"/>
      <c r="L69" s="1836"/>
      <c r="M69" s="1219"/>
    </row>
    <row r="70" spans="1:13" ht="28.5" customHeight="1">
      <c r="A70" s="2527" t="s">
        <v>1085</v>
      </c>
      <c r="B70" s="2528"/>
      <c r="C70" s="2529"/>
      <c r="D70" s="2529"/>
      <c r="E70" s="2529"/>
      <c r="F70" s="2529"/>
      <c r="G70" s="71"/>
      <c r="H70" s="1281"/>
      <c r="I70" s="1811"/>
      <c r="J70" s="1811"/>
      <c r="K70" s="1811"/>
      <c r="L70" s="1811"/>
      <c r="M70" s="1219"/>
    </row>
    <row r="71" spans="1:13">
      <c r="A71" s="1697" t="s">
        <v>957</v>
      </c>
      <c r="B71" s="1338"/>
      <c r="C71" s="140"/>
      <c r="D71" s="68"/>
      <c r="F71" s="69"/>
      <c r="G71" s="70"/>
      <c r="H71" s="236"/>
      <c r="I71" s="1811"/>
      <c r="J71" s="1811"/>
      <c r="K71" s="1811"/>
      <c r="L71" s="1811"/>
      <c r="M71" s="1219"/>
    </row>
    <row r="72" spans="1:13" ht="32.25" customHeight="1" thickBot="1">
      <c r="A72" s="1693" t="s">
        <v>994</v>
      </c>
      <c r="B72" s="87"/>
      <c r="C72" s="1305"/>
      <c r="D72" s="39"/>
      <c r="E72" s="1217"/>
      <c r="F72" s="1218"/>
      <c r="G72" s="1218"/>
      <c r="H72" s="1218"/>
      <c r="I72" s="1835"/>
      <c r="J72" s="1835"/>
      <c r="K72" s="1835"/>
      <c r="L72" s="1835"/>
      <c r="M72" s="1219"/>
    </row>
    <row r="73" spans="1:13" ht="27">
      <c r="A73" s="1695" t="s">
        <v>955</v>
      </c>
      <c r="B73" s="2123" t="s">
        <v>956</v>
      </c>
      <c r="C73" s="1717"/>
      <c r="D73" s="144"/>
      <c r="E73" s="1218"/>
      <c r="F73" s="1218"/>
      <c r="G73" s="1864"/>
      <c r="H73" s="1218"/>
      <c r="I73" s="1864"/>
      <c r="J73" s="282"/>
      <c r="K73" s="282"/>
      <c r="L73" s="282"/>
      <c r="M73" s="1219"/>
    </row>
    <row r="74" spans="1:13" ht="15" customHeight="1">
      <c r="A74" s="1904" t="s">
        <v>414</v>
      </c>
      <c r="B74" s="2258" t="s">
        <v>1126</v>
      </c>
      <c r="C74" s="219">
        <v>3033.8829999999998</v>
      </c>
      <c r="D74" s="1876"/>
      <c r="E74" s="1218"/>
      <c r="F74" s="1218"/>
      <c r="G74" s="1837"/>
      <c r="H74" s="172"/>
      <c r="I74" s="172"/>
      <c r="J74" s="172"/>
      <c r="K74" s="172"/>
      <c r="L74" s="172"/>
      <c r="M74" s="1219"/>
    </row>
    <row r="75" spans="1:13" ht="13.5" thickBot="1">
      <c r="A75" s="1905">
        <v>705</v>
      </c>
      <c r="B75" s="2259" t="s">
        <v>1118</v>
      </c>
      <c r="C75" s="223">
        <v>7686.1589999999997</v>
      </c>
      <c r="D75" s="1876"/>
      <c r="E75" s="1218"/>
      <c r="F75" s="1218"/>
      <c r="G75" s="172"/>
      <c r="H75" s="281"/>
      <c r="I75" s="172"/>
      <c r="J75" s="172"/>
      <c r="K75" s="172"/>
      <c r="L75" s="172"/>
      <c r="M75" s="1219"/>
    </row>
    <row r="76" spans="1:13" ht="13.5" thickBot="1">
      <c r="A76" s="1340"/>
      <c r="B76" s="1339"/>
      <c r="C76" s="146"/>
      <c r="D76" s="1452"/>
      <c r="E76" s="1218"/>
      <c r="F76" s="1218"/>
      <c r="G76" s="1218"/>
      <c r="H76" s="1218"/>
      <c r="I76" s="1865"/>
      <c r="J76" s="1865"/>
      <c r="K76" s="1865"/>
      <c r="L76" s="1865"/>
      <c r="M76" s="1219"/>
    </row>
    <row r="77" spans="1:13" ht="26.25" customHeight="1">
      <c r="A77" s="1696" t="s">
        <v>468</v>
      </c>
      <c r="B77" s="2260" t="s">
        <v>1102</v>
      </c>
      <c r="C77" s="1866"/>
      <c r="D77" s="1452"/>
      <c r="E77" s="1218"/>
      <c r="F77" s="1218"/>
      <c r="G77" s="2193"/>
      <c r="H77" s="2193"/>
      <c r="I77" s="2193"/>
      <c r="J77" s="2193"/>
      <c r="K77" s="1865"/>
      <c r="L77" s="1865"/>
      <c r="M77" s="1219"/>
    </row>
    <row r="78" spans="1:13" ht="15" customHeight="1">
      <c r="A78" s="1906">
        <v>710</v>
      </c>
      <c r="B78" s="1133" t="s">
        <v>998</v>
      </c>
      <c r="C78" s="219">
        <v>21742.227999999999</v>
      </c>
      <c r="D78" s="1876"/>
      <c r="E78" s="1218"/>
      <c r="F78" s="1218"/>
      <c r="G78" s="2193"/>
      <c r="H78" s="2193"/>
      <c r="I78" s="2193"/>
      <c r="J78" s="2193"/>
      <c r="K78" s="1865"/>
      <c r="L78" s="1865"/>
      <c r="M78" s="1219"/>
    </row>
    <row r="79" spans="1:13" ht="15" customHeight="1">
      <c r="A79" s="1886" t="s">
        <v>958</v>
      </c>
      <c r="B79" s="1127" t="s">
        <v>985</v>
      </c>
      <c r="C79" s="219">
        <v>4327.0330000000004</v>
      </c>
      <c r="D79" s="1876"/>
      <c r="E79" s="1218"/>
      <c r="F79" s="1218"/>
      <c r="G79" s="2193"/>
      <c r="H79" s="2193"/>
      <c r="I79" s="2193"/>
      <c r="J79" s="2193"/>
      <c r="K79" s="1865"/>
      <c r="L79" s="1865"/>
      <c r="M79" s="1219"/>
    </row>
    <row r="80" spans="1:13" ht="15" customHeight="1">
      <c r="A80" s="1886" t="s">
        <v>959</v>
      </c>
      <c r="B80" s="1127" t="s">
        <v>986</v>
      </c>
      <c r="C80" s="219">
        <v>153.24799999999999</v>
      </c>
      <c r="D80" s="1876"/>
      <c r="E80" s="1218"/>
      <c r="F80" s="1218"/>
      <c r="G80" s="2193"/>
      <c r="H80" s="2193"/>
      <c r="I80" s="2193"/>
      <c r="J80" s="2193"/>
      <c r="K80" s="1865"/>
      <c r="L80" s="1865"/>
      <c r="M80" s="1219"/>
    </row>
    <row r="81" spans="1:13" ht="15" customHeight="1">
      <c r="A81" s="1886" t="s">
        <v>960</v>
      </c>
      <c r="B81" s="1127" t="s">
        <v>1098</v>
      </c>
      <c r="C81" s="219">
        <v>16496.977999999999</v>
      </c>
      <c r="D81" s="1876"/>
      <c r="E81" s="1218"/>
      <c r="F81" s="1218"/>
      <c r="G81" s="2193"/>
      <c r="H81" s="2193"/>
      <c r="I81" s="2193"/>
      <c r="J81" s="2193"/>
      <c r="K81" s="1865"/>
      <c r="L81" s="1865"/>
      <c r="M81" s="1219"/>
    </row>
    <row r="82" spans="1:13" ht="15" customHeight="1" thickBot="1">
      <c r="A82" s="2051" t="s">
        <v>964</v>
      </c>
      <c r="B82" s="1655" t="s">
        <v>1099</v>
      </c>
      <c r="C82" s="1862">
        <f>C78-C79-C80-C81</f>
        <v>764.96900000000096</v>
      </c>
      <c r="D82" s="1645"/>
      <c r="E82" s="1218"/>
      <c r="F82" s="1218"/>
      <c r="G82" s="2193"/>
      <c r="H82" s="2193"/>
      <c r="I82" s="2193"/>
      <c r="J82" s="2193"/>
      <c r="K82" s="1865"/>
      <c r="L82" s="1865"/>
      <c r="M82" s="1219"/>
    </row>
    <row r="83" spans="1:13">
      <c r="A83" s="1340"/>
      <c r="B83" s="1339"/>
      <c r="C83" s="146"/>
      <c r="D83" s="1452"/>
      <c r="E83" s="1218"/>
      <c r="F83" s="1218"/>
      <c r="G83" s="2193"/>
      <c r="H83" s="2193"/>
      <c r="I83" s="2193"/>
      <c r="J83" s="2193"/>
      <c r="K83" s="1865"/>
      <c r="L83" s="1865"/>
      <c r="M83" s="1219"/>
    </row>
    <row r="84" spans="1:13" ht="19.5" customHeight="1">
      <c r="A84" s="2527" t="s">
        <v>1086</v>
      </c>
      <c r="B84" s="2530"/>
      <c r="C84" s="2531"/>
      <c r="D84" s="2531"/>
      <c r="E84" s="2531"/>
      <c r="F84" s="2531"/>
      <c r="G84" s="2531"/>
      <c r="H84" s="2531"/>
      <c r="I84" s="2531"/>
      <c r="J84" s="2531"/>
      <c r="K84" s="2531"/>
      <c r="L84" s="1865"/>
      <c r="M84" s="1219"/>
    </row>
    <row r="85" spans="1:13">
      <c r="A85" s="2531"/>
      <c r="B85" s="2531"/>
      <c r="C85" s="2531"/>
      <c r="D85" s="2531"/>
      <c r="E85" s="2531"/>
      <c r="F85" s="2531"/>
      <c r="G85" s="2531"/>
      <c r="H85" s="2531"/>
      <c r="I85" s="2531"/>
      <c r="J85" s="2531"/>
      <c r="K85" s="2531"/>
      <c r="L85" s="1865"/>
      <c r="M85" s="1219"/>
    </row>
    <row r="86" spans="1:13">
      <c r="A86" s="1706" t="s">
        <v>995</v>
      </c>
      <c r="B86" s="1711"/>
      <c r="C86" s="1712"/>
      <c r="D86" s="1713"/>
      <c r="E86" s="1713"/>
      <c r="F86" s="1703"/>
      <c r="G86" s="1714"/>
      <c r="H86" s="1715"/>
      <c r="I86" s="1716"/>
      <c r="J86" s="1217"/>
      <c r="K86" s="1217"/>
      <c r="L86" s="1217"/>
      <c r="M86" s="1219"/>
    </row>
    <row r="87" spans="1:13">
      <c r="A87" s="1706" t="s">
        <v>961</v>
      </c>
      <c r="B87" s="1711"/>
      <c r="C87" s="1712"/>
      <c r="D87" s="1713"/>
      <c r="E87" s="1713"/>
      <c r="F87" s="1703"/>
      <c r="G87" s="1714"/>
      <c r="H87" s="1715"/>
      <c r="I87" s="1716"/>
      <c r="J87" s="1217"/>
      <c r="K87" s="1217"/>
      <c r="L87" s="1217"/>
      <c r="M87" s="1219"/>
    </row>
    <row r="88" spans="1:13" ht="21.75" customHeight="1" thickBot="1">
      <c r="A88" s="1706" t="s">
        <v>1221</v>
      </c>
      <c r="B88" s="1711"/>
      <c r="C88" s="1712"/>
      <c r="D88" s="1713"/>
      <c r="E88" s="1713"/>
      <c r="F88" s="1703"/>
      <c r="G88" s="1714"/>
      <c r="H88" s="1715"/>
      <c r="I88" s="1716"/>
      <c r="J88" s="1217"/>
      <c r="K88" s="1217"/>
      <c r="L88" s="1217"/>
      <c r="M88" s="1219"/>
    </row>
    <row r="89" spans="1:13" ht="21.75" customHeight="1">
      <c r="A89" s="1699" t="s">
        <v>468</v>
      </c>
      <c r="B89" s="1705" t="s">
        <v>962</v>
      </c>
      <c r="C89" s="1888" t="s">
        <v>963</v>
      </c>
      <c r="D89" s="1889" t="s">
        <v>963</v>
      </c>
      <c r="E89" s="1218"/>
      <c r="F89" s="1218"/>
      <c r="G89" s="1864"/>
      <c r="H89" s="1218"/>
      <c r="I89" s="1864"/>
      <c r="J89" s="282"/>
      <c r="K89" s="282"/>
      <c r="L89" s="282"/>
      <c r="M89" s="1219"/>
    </row>
    <row r="90" spans="1:13">
      <c r="A90" s="1698"/>
      <c r="B90" s="1707"/>
      <c r="C90" s="1961" t="s">
        <v>874</v>
      </c>
      <c r="D90" s="1890" t="s">
        <v>874</v>
      </c>
      <c r="E90" s="1218"/>
      <c r="F90" s="1218"/>
      <c r="G90" s="1838"/>
      <c r="H90" s="172"/>
      <c r="I90" s="172"/>
      <c r="J90" s="172"/>
      <c r="K90" s="172"/>
      <c r="L90" s="172"/>
      <c r="M90" s="1219"/>
    </row>
    <row r="91" spans="1:13">
      <c r="A91" s="1698"/>
      <c r="B91" s="1700"/>
      <c r="C91" s="1962" t="s">
        <v>1019</v>
      </c>
      <c r="D91" s="1891" t="s">
        <v>797</v>
      </c>
      <c r="E91" s="1218"/>
      <c r="F91" s="1218"/>
      <c r="G91" s="172"/>
      <c r="H91" s="172"/>
      <c r="I91" s="172"/>
      <c r="J91" s="172"/>
      <c r="K91" s="172"/>
      <c r="L91" s="172"/>
      <c r="M91" s="1219"/>
    </row>
    <row r="92" spans="1:13" ht="39.75" customHeight="1">
      <c r="A92" s="1698"/>
      <c r="B92" s="1707"/>
      <c r="C92" s="1963" t="s">
        <v>1020</v>
      </c>
      <c r="D92" s="1949" t="s">
        <v>974</v>
      </c>
      <c r="E92" s="1218"/>
      <c r="F92" s="1218"/>
      <c r="G92" s="1218"/>
      <c r="H92" s="1218"/>
      <c r="I92" s="1865"/>
      <c r="J92" s="1865"/>
      <c r="K92" s="1865"/>
      <c r="L92" s="1865"/>
      <c r="M92" s="1219"/>
    </row>
    <row r="93" spans="1:13">
      <c r="A93" s="1698"/>
      <c r="B93" s="1701"/>
      <c r="C93" s="1892"/>
      <c r="D93" s="1893"/>
      <c r="E93" s="1877"/>
      <c r="F93" s="1218"/>
      <c r="G93" s="1218"/>
      <c r="H93" s="1218"/>
      <c r="I93" s="1865"/>
      <c r="J93" s="1865"/>
      <c r="K93" s="1865"/>
      <c r="L93" s="1865"/>
      <c r="M93" s="1219"/>
    </row>
    <row r="94" spans="1:13">
      <c r="A94" s="1906" t="s">
        <v>966</v>
      </c>
      <c r="B94" s="2261" t="s">
        <v>965</v>
      </c>
      <c r="C94" s="1708">
        <v>33920.347999999998</v>
      </c>
      <c r="D94" s="1694">
        <v>293.55200000000002</v>
      </c>
      <c r="E94" s="1964"/>
      <c r="F94" s="1218"/>
      <c r="G94" s="1218"/>
      <c r="H94" s="1218"/>
      <c r="I94" s="1865"/>
      <c r="J94" s="1865"/>
      <c r="K94" s="1865"/>
      <c r="L94" s="1865"/>
      <c r="M94" s="1219"/>
    </row>
    <row r="95" spans="1:13">
      <c r="A95" s="1906" t="s">
        <v>968</v>
      </c>
      <c r="B95" s="2261" t="s">
        <v>967</v>
      </c>
      <c r="C95" s="1708">
        <v>24637.862000000001</v>
      </c>
      <c r="D95" s="1694">
        <v>237.655</v>
      </c>
      <c r="E95" s="1964"/>
      <c r="F95" s="1218"/>
      <c r="G95" s="1218"/>
      <c r="H95" s="1218"/>
      <c r="I95" s="1865"/>
      <c r="J95" s="1865"/>
      <c r="K95" s="1865"/>
      <c r="L95" s="1865"/>
      <c r="M95" s="1219"/>
    </row>
    <row r="96" spans="1:13">
      <c r="A96" s="1906" t="s">
        <v>970</v>
      </c>
      <c r="B96" s="2261" t="s">
        <v>969</v>
      </c>
      <c r="C96" s="1708">
        <v>2156.3739999999998</v>
      </c>
      <c r="D96" s="1694">
        <v>242.74199999999999</v>
      </c>
      <c r="E96" s="1964"/>
      <c r="F96" s="1218"/>
      <c r="G96" s="2193"/>
      <c r="H96" s="2193"/>
      <c r="I96" s="2193"/>
      <c r="J96" s="2193"/>
      <c r="K96" s="1865"/>
      <c r="L96" s="1865"/>
      <c r="M96" s="1219"/>
    </row>
    <row r="97" spans="1:13" ht="13.5" thickBot="1">
      <c r="A97" s="1907" t="s">
        <v>972</v>
      </c>
      <c r="B97" s="1707" t="s">
        <v>971</v>
      </c>
      <c r="C97" s="1709">
        <v>4496.59</v>
      </c>
      <c r="D97" s="1710">
        <v>45.848999999999997</v>
      </c>
      <c r="E97" s="1964"/>
      <c r="F97" s="1218"/>
      <c r="G97" s="2193"/>
      <c r="H97" s="2193"/>
      <c r="I97" s="2193"/>
      <c r="J97" s="2193"/>
      <c r="K97" s="1665"/>
      <c r="L97" s="1665"/>
      <c r="M97" s="1219"/>
    </row>
    <row r="98" spans="1:13" ht="13.5" thickBot="1">
      <c r="A98" s="1909" t="s">
        <v>990</v>
      </c>
      <c r="B98" s="1887" t="s">
        <v>973</v>
      </c>
      <c r="C98" s="1704">
        <f>SUM(C94:C97)</f>
        <v>65211.173999999999</v>
      </c>
      <c r="D98" s="1702">
        <f>SUM(D94:D97)</f>
        <v>819.798</v>
      </c>
      <c r="E98" s="1965" t="str">
        <f>IF(C98&gt;0.2*SUM(BR!E9+BR!E12),"Kontrollera invest.utgifterna.","")</f>
        <v/>
      </c>
      <c r="F98" s="1218"/>
      <c r="G98" s="2193"/>
      <c r="H98" s="2193"/>
      <c r="I98" s="2193"/>
      <c r="J98" s="2193"/>
      <c r="K98" s="1665"/>
      <c r="L98" s="1665"/>
      <c r="M98" s="1219"/>
    </row>
    <row r="99" spans="1:13">
      <c r="A99" s="1340"/>
      <c r="B99" s="1339"/>
      <c r="C99" s="146"/>
      <c r="D99" s="66"/>
      <c r="E99" s="1218"/>
      <c r="F99" s="1218"/>
      <c r="G99" s="1863" t="s">
        <v>450</v>
      </c>
      <c r="H99" s="1218"/>
      <c r="I99" s="1865"/>
      <c r="J99" s="1865"/>
      <c r="K99" s="1865"/>
      <c r="L99" s="1865"/>
      <c r="M99" s="1219"/>
    </row>
    <row r="100" spans="1:13">
      <c r="A100" s="1340"/>
      <c r="B100" s="1339"/>
      <c r="C100" s="146"/>
      <c r="D100" s="66"/>
      <c r="E100" s="1218"/>
      <c r="F100" s="1218"/>
      <c r="G100" s="1218"/>
      <c r="H100" s="1218"/>
      <c r="I100" s="1865"/>
      <c r="J100" s="1865"/>
      <c r="K100" s="1865"/>
      <c r="L100" s="1865"/>
      <c r="M100" s="1219"/>
    </row>
    <row r="101" spans="1:13">
      <c r="A101" s="1340"/>
      <c r="B101" s="1339"/>
      <c r="C101" s="146"/>
      <c r="D101" s="66"/>
      <c r="E101" s="1218"/>
      <c r="F101" s="1218"/>
      <c r="G101" s="1218"/>
      <c r="H101" s="1218"/>
      <c r="I101" s="1865"/>
      <c r="J101" s="1865"/>
      <c r="K101" s="1865"/>
      <c r="L101" s="1865"/>
      <c r="M101" s="1219"/>
    </row>
    <row r="102" spans="1:13">
      <c r="A102" s="1340"/>
      <c r="B102" s="1339"/>
      <c r="C102" s="146"/>
      <c r="D102" s="66"/>
      <c r="E102" s="1218"/>
      <c r="F102" s="1218"/>
      <c r="G102" s="1218"/>
      <c r="H102" s="1218"/>
      <c r="I102" s="1865"/>
      <c r="J102" s="1865"/>
      <c r="K102" s="1865"/>
      <c r="L102" s="1865"/>
      <c r="M102" s="1219"/>
    </row>
    <row r="103" spans="1:13">
      <c r="A103" s="1340"/>
      <c r="B103" s="1339"/>
      <c r="C103" s="146"/>
      <c r="D103" s="66"/>
      <c r="E103" s="1218"/>
      <c r="F103" s="1218"/>
      <c r="G103" s="1218"/>
      <c r="H103" s="1218"/>
      <c r="I103" s="1865"/>
      <c r="J103" s="1865"/>
      <c r="K103" s="1865"/>
      <c r="L103" s="1865"/>
      <c r="M103" s="1219"/>
    </row>
    <row r="104" spans="1:13">
      <c r="A104" s="1340"/>
      <c r="B104" s="1339"/>
      <c r="C104" s="146"/>
      <c r="D104" s="66"/>
      <c r="E104" s="1218"/>
      <c r="F104" s="1218"/>
      <c r="G104" s="1218"/>
      <c r="H104" s="1218"/>
      <c r="I104" s="1219"/>
      <c r="J104" s="1219"/>
      <c r="K104" s="1219"/>
      <c r="L104" s="1219"/>
      <c r="M104" s="1219"/>
    </row>
    <row r="105" spans="1:13" ht="14.25" hidden="1" customHeight="1">
      <c r="A105" s="1340"/>
      <c r="B105" s="1339"/>
      <c r="C105" s="146"/>
      <c r="D105" s="66"/>
      <c r="E105" s="1218"/>
      <c r="F105" s="1218"/>
      <c r="G105" s="1218"/>
      <c r="H105" s="1218"/>
      <c r="J105" s="168"/>
      <c r="K105" s="168"/>
    </row>
    <row r="106" spans="1:13" ht="14.25" hidden="1" customHeight="1">
      <c r="A106" s="1340"/>
      <c r="B106" s="1339"/>
      <c r="C106" s="146"/>
      <c r="D106" s="66"/>
      <c r="E106" s="1218"/>
      <c r="F106" s="1218"/>
      <c r="G106" s="1218"/>
      <c r="H106" s="1218"/>
      <c r="I106" s="144"/>
      <c r="J106" s="144"/>
      <c r="K106" s="145"/>
    </row>
    <row r="107" spans="1:13" ht="14.25" hidden="1" customHeight="1">
      <c r="A107" s="4"/>
      <c r="B107" s="4"/>
      <c r="C107" s="4"/>
      <c r="D107" s="4"/>
      <c r="E107" s="4"/>
      <c r="F107" s="4"/>
      <c r="G107" s="4"/>
      <c r="H107" s="4"/>
      <c r="J107" s="143"/>
      <c r="K107" s="145"/>
    </row>
    <row r="108" spans="1:13" ht="14.25" hidden="1" customHeight="1">
      <c r="A108" s="168"/>
      <c r="B108" s="168"/>
      <c r="C108" s="168"/>
      <c r="D108" s="168"/>
      <c r="E108" s="168"/>
      <c r="F108" s="168"/>
      <c r="G108" s="168"/>
      <c r="H108" s="168"/>
      <c r="I108" s="144"/>
      <c r="J108" s="144"/>
      <c r="K108" s="145"/>
    </row>
    <row r="109" spans="1:13" ht="14.25" hidden="1" customHeight="1">
      <c r="A109" s="237"/>
      <c r="B109" s="143"/>
      <c r="C109" s="144"/>
      <c r="D109" s="144"/>
      <c r="E109" s="144"/>
      <c r="F109" s="144"/>
      <c r="G109" s="144"/>
      <c r="H109" s="144"/>
      <c r="I109" s="144"/>
      <c r="J109" s="144"/>
      <c r="K109" s="145"/>
    </row>
    <row r="110" spans="1:13" ht="14.25" hidden="1" customHeight="1">
      <c r="A110" s="237"/>
      <c r="B110" s="143"/>
      <c r="C110" s="144"/>
      <c r="D110" s="144"/>
      <c r="E110" s="144"/>
      <c r="F110" s="144"/>
      <c r="G110" s="144"/>
      <c r="H110" s="144"/>
      <c r="I110" s="144"/>
      <c r="J110" s="144"/>
      <c r="K110" s="145"/>
    </row>
    <row r="111" spans="1:13" ht="14.25" hidden="1" customHeight="1">
      <c r="A111" s="237"/>
      <c r="B111" s="143"/>
      <c r="C111" s="144"/>
      <c r="D111" s="144"/>
      <c r="E111" s="144"/>
      <c r="F111" s="144"/>
      <c r="G111" s="144"/>
      <c r="H111" s="144"/>
      <c r="J111" s="143"/>
      <c r="K111" s="145"/>
    </row>
    <row r="112" spans="1:13" ht="14.25" hidden="1" customHeight="1">
      <c r="A112" s="237"/>
      <c r="B112" s="143"/>
      <c r="C112" s="144"/>
      <c r="D112" s="144"/>
      <c r="E112" s="144"/>
      <c r="F112" s="144"/>
      <c r="G112" s="144"/>
      <c r="H112" s="144"/>
      <c r="J112" s="168"/>
      <c r="K112" s="168"/>
    </row>
    <row r="113" spans="1:11" ht="14.25" hidden="1" customHeight="1">
      <c r="A113" s="145"/>
      <c r="B113" s="143"/>
      <c r="C113" s="143"/>
      <c r="D113" s="143"/>
      <c r="E113" s="143"/>
      <c r="F113" s="143"/>
      <c r="G113" s="144"/>
      <c r="H113" s="144"/>
      <c r="J113" s="168"/>
      <c r="K113" s="168"/>
    </row>
    <row r="114" spans="1:11" ht="14.25" hidden="1" customHeight="1">
      <c r="A114" s="143"/>
      <c r="B114" s="143"/>
      <c r="C114" s="143"/>
      <c r="D114" s="143"/>
      <c r="E114" s="143"/>
      <c r="F114" s="143"/>
      <c r="G114" s="143"/>
      <c r="H114" s="143"/>
      <c r="J114" s="168"/>
      <c r="K114" s="168"/>
    </row>
    <row r="115" spans="1:11">
      <c r="A115" s="168"/>
      <c r="B115" s="168"/>
      <c r="C115" s="168"/>
      <c r="D115" s="168"/>
      <c r="E115" s="168"/>
      <c r="F115" s="168"/>
      <c r="G115" s="168"/>
      <c r="H115" s="168"/>
    </row>
    <row r="116" spans="1:11">
      <c r="A116" s="168"/>
      <c r="B116" s="168"/>
      <c r="C116" s="168"/>
      <c r="D116" s="168"/>
      <c r="E116" s="168"/>
      <c r="F116" s="168"/>
      <c r="G116" s="168"/>
      <c r="H116" s="168"/>
    </row>
    <row r="117" spans="1:11">
      <c r="A117" s="168"/>
      <c r="B117" s="168"/>
      <c r="C117" s="168"/>
      <c r="D117" s="168"/>
      <c r="E117" s="168"/>
      <c r="F117" s="168"/>
      <c r="G117" s="168"/>
      <c r="H117" s="168"/>
    </row>
    <row r="118" spans="1:11"/>
    <row r="119" spans="1:11"/>
  </sheetData>
  <sheetProtection algorithmName="SHA-512" hashValue="2Ymxm/XpPHNH7zLamzOIqx3bchTJva1LbN7OyAVBkIwpvY+n5A1SSV9vOwqkbaJG9Yu8FfYYSjiEMUN09P1Dqg==" saltValue="Cz2d8+eR17dJV146eYjwUQ==" spinCount="100000" sheet="1" objects="1" scenarios="1"/>
  <customSheetViews>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1"/>
      <headerFooter>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3"/>
      <headerFooter alignWithMargins="0">
        <oddHeader>&amp;L&amp;8Statistiska Centralbyrå
Offentlig ekonomi&amp;R&amp;P</oddHeader>
      </headerFooter>
    </customSheetView>
  </customSheetViews>
  <mergeCells count="6">
    <mergeCell ref="E4:E5"/>
    <mergeCell ref="D4:D5"/>
    <mergeCell ref="C4:C5"/>
    <mergeCell ref="A70:F70"/>
    <mergeCell ref="A84:K85"/>
    <mergeCell ref="J12:M15"/>
  </mergeCells>
  <phoneticPr fontId="88" type="noConversion"/>
  <conditionalFormatting sqref="C74:C77 C34:F35 C37:F39 C42:F46 C48:F48 C50:F53 C55:F57 C59:F62 C65:F65 C86:C106 D98 C83 C25:H25 H65 H59:H62 H55:H57 H50:H53 H48 H42:H46 H37:H39 H34:H35 C26:F32 H26:H32 G26:G65">
    <cfRule type="cellIs" dxfId="105" priority="10" stopIfTrue="1" operator="lessThan">
      <formula>-500</formula>
    </cfRule>
  </conditionalFormatting>
  <conditionalFormatting sqref="D8:F8 D10:F11">
    <cfRule type="cellIs" dxfId="104" priority="12" stopIfTrue="1" operator="greaterThan">
      <formula>1</formula>
    </cfRule>
  </conditionalFormatting>
  <conditionalFormatting sqref="D7:F7 D9:F9">
    <cfRule type="cellIs" dxfId="103" priority="13" stopIfTrue="1" operator="lessThan">
      <formula>-1</formula>
    </cfRule>
  </conditionalFormatting>
  <conditionalFormatting sqref="C78:C82">
    <cfRule type="cellIs" dxfId="102" priority="7" stopIfTrue="1" operator="lessThan">
      <formula>-10</formula>
    </cfRule>
  </conditionalFormatting>
  <conditionalFormatting sqref="C8 C10:C11">
    <cfRule type="cellIs" dxfId="101" priority="4" stopIfTrue="1" operator="greaterThan">
      <formula>1</formula>
    </cfRule>
  </conditionalFormatting>
  <conditionalFormatting sqref="C7 C9">
    <cfRule type="cellIs" dxfId="100" priority="5" stopIfTrue="1" operator="lessThan">
      <formula>-1</formula>
    </cfRule>
  </conditionalFormatting>
  <dataValidations disablePrompts="1"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activeCell="C10" sqref="C10"/>
    </sheetView>
  </sheetViews>
  <sheetFormatPr defaultColWidth="0" defaultRowHeight="12.75" zeroHeight="1"/>
  <cols>
    <col min="1" max="1" width="3.5703125" style="200" customWidth="1"/>
    <col min="2" max="2" width="30.42578125" style="200" customWidth="1"/>
    <col min="3" max="3" width="10.42578125" style="200" customWidth="1"/>
    <col min="4" max="4" width="9.5703125" style="200" customWidth="1"/>
    <col min="5" max="5" width="8.5703125" style="200" customWidth="1"/>
    <col min="6" max="6" width="9.5703125" style="200" customWidth="1"/>
    <col min="7" max="7" width="11.42578125" style="200" customWidth="1"/>
    <col min="8" max="8" width="9.5703125" style="200" customWidth="1"/>
    <col min="9" max="10" width="8.5703125" style="200" customWidth="1"/>
    <col min="11" max="11" width="1.42578125" style="200" customWidth="1"/>
    <col min="12" max="14" width="8.5703125" style="200" customWidth="1"/>
    <col min="15" max="15" width="9.42578125" style="200" customWidth="1"/>
    <col min="16" max="16" width="10" style="200" customWidth="1"/>
    <col min="17" max="17" width="3.5703125" style="200" customWidth="1"/>
    <col min="18" max="19" width="8.5703125" style="200" customWidth="1"/>
    <col min="20" max="20" width="10.5703125" style="200" customWidth="1"/>
    <col min="21" max="21" width="2.42578125" style="200" customWidth="1"/>
    <col min="22" max="22" width="9" style="200" customWidth="1"/>
    <col min="23" max="23" width="10.5703125" style="200" customWidth="1"/>
    <col min="24" max="24" width="2.42578125" style="200" customWidth="1"/>
    <col min="25" max="25" width="11.5703125" style="200" customWidth="1"/>
    <col min="26" max="27" width="9.42578125" style="200" customWidth="1"/>
    <col min="28" max="28" width="8.5703125" style="142" customWidth="1"/>
    <col min="29" max="29" width="7.42578125" style="142" customWidth="1"/>
    <col min="30" max="30" width="1" style="168" customWidth="1"/>
    <col min="31" max="31" width="6.5703125" style="415" hidden="1" customWidth="1"/>
    <col min="32" max="33" width="10.42578125" style="168" customWidth="1"/>
    <col min="34" max="34" width="0.42578125" style="168" customWidth="1"/>
    <col min="35" max="36" width="9.42578125" style="168" customWidth="1"/>
    <col min="37" max="16384" width="0" style="168" hidden="1"/>
  </cols>
  <sheetData>
    <row r="1" spans="1:34" ht="21.75" customHeight="1">
      <c r="A1" s="167"/>
      <c r="B1" s="77"/>
      <c r="C1" s="76" t="str">
        <f>"Driftredovisning "&amp;År&amp;", miljoner kr"</f>
        <v>Driftredovisning 2023, miljoner kr</v>
      </c>
      <c r="D1" s="77"/>
      <c r="E1" s="77"/>
      <c r="F1" s="167"/>
      <c r="G1" s="167"/>
      <c r="H1" s="167"/>
      <c r="I1" s="510" t="s">
        <v>450</v>
      </c>
      <c r="J1" s="511" t="str">
        <f>Information!A2</f>
        <v>RIKSTOTAL</v>
      </c>
      <c r="K1" s="192"/>
      <c r="L1" s="167"/>
      <c r="M1" s="167"/>
      <c r="N1" s="167"/>
      <c r="O1" s="167"/>
      <c r="P1" s="167"/>
      <c r="Q1" s="167"/>
      <c r="R1" s="76" t="str">
        <f>"Driftredovisning "&amp;År&amp;", miljoner kr"</f>
        <v>Driftredovisning 2023, miljoner kr</v>
      </c>
      <c r="S1" s="167"/>
      <c r="T1" s="167"/>
      <c r="U1" s="167"/>
      <c r="V1" s="167"/>
      <c r="W1" s="167"/>
      <c r="X1" s="167"/>
      <c r="Y1" s="510" t="s">
        <v>450</v>
      </c>
      <c r="Z1" s="511" t="str">
        <f>Information!A2</f>
        <v>RIKSTOTAL</v>
      </c>
      <c r="AA1" s="167"/>
      <c r="AB1" s="412"/>
      <c r="AC1" s="412"/>
      <c r="AD1" s="167"/>
      <c r="AE1" s="412"/>
      <c r="AF1" s="167"/>
      <c r="AG1" s="167"/>
    </row>
    <row r="2" spans="1:34" ht="12.75" customHeight="1">
      <c r="A2" s="2193"/>
      <c r="B2" s="2193"/>
      <c r="C2" s="2193"/>
      <c r="D2" s="2193"/>
      <c r="E2" s="2193"/>
      <c r="F2" s="2193"/>
      <c r="G2" s="2193"/>
      <c r="H2" s="2193"/>
      <c r="I2" s="2193"/>
      <c r="J2" s="2193"/>
      <c r="K2" s="2193"/>
      <c r="L2" s="2193"/>
      <c r="M2" s="2193"/>
      <c r="N2" s="2193"/>
      <c r="O2" s="2193"/>
      <c r="P2" s="2193"/>
      <c r="Q2" s="2193"/>
      <c r="R2" s="2193"/>
      <c r="S2" s="2193"/>
      <c r="T2" s="2193"/>
      <c r="U2" s="2193"/>
      <c r="V2" s="2193"/>
      <c r="W2" s="2193"/>
      <c r="X2" s="2193"/>
      <c r="Y2" s="4"/>
      <c r="Z2" s="2193"/>
      <c r="AA2" s="2193"/>
      <c r="AB2" s="2193"/>
      <c r="AC2" s="2193"/>
      <c r="AD2" s="2193"/>
      <c r="AE2" s="2193"/>
      <c r="AF2" s="2193"/>
      <c r="AG2" s="2193"/>
    </row>
    <row r="3" spans="1:34" s="195" customFormat="1" ht="12.75" customHeight="1" thickBot="1">
      <c r="A3" s="2193"/>
      <c r="B3" s="2193"/>
      <c r="C3" s="2193"/>
      <c r="D3" s="2193"/>
      <c r="E3" s="2193"/>
      <c r="F3" s="2193"/>
      <c r="G3" s="2193"/>
      <c r="H3" s="2193"/>
      <c r="I3" s="2193"/>
      <c r="J3" s="2193"/>
      <c r="K3" s="2193"/>
      <c r="L3" s="2193"/>
      <c r="M3" s="2193"/>
      <c r="N3" s="2193"/>
      <c r="O3" s="2193"/>
      <c r="P3" s="2193"/>
      <c r="Q3" s="2193"/>
      <c r="R3" s="2193"/>
      <c r="S3" s="2193"/>
      <c r="T3" s="2193"/>
      <c r="U3" s="2193"/>
      <c r="V3" s="2193"/>
      <c r="W3" s="2193"/>
      <c r="X3" s="2193"/>
      <c r="Y3" s="194" t="s">
        <v>140</v>
      </c>
      <c r="Z3" s="2193"/>
      <c r="AA3" s="2193"/>
      <c r="AB3" s="2193"/>
      <c r="AC3" s="2193"/>
      <c r="AD3" s="2193"/>
      <c r="AE3" s="2193"/>
      <c r="AF3" s="2193"/>
      <c r="AG3" s="2193"/>
    </row>
    <row r="4" spans="1:34" s="180" customFormat="1" ht="44.45" customHeight="1">
      <c r="A4" s="837" t="s">
        <v>198</v>
      </c>
      <c r="B4" s="838" t="s">
        <v>13</v>
      </c>
      <c r="C4" s="2570" t="s">
        <v>34</v>
      </c>
      <c r="D4" s="2571"/>
      <c r="E4" s="2572" t="s">
        <v>35</v>
      </c>
      <c r="F4" s="2573"/>
      <c r="G4" s="2573"/>
      <c r="H4" s="2574"/>
      <c r="I4" s="2576" t="s">
        <v>36</v>
      </c>
      <c r="J4" s="2577"/>
      <c r="K4" s="39"/>
      <c r="L4" s="2536" t="s">
        <v>141</v>
      </c>
      <c r="M4" s="2575"/>
      <c r="N4" s="2575"/>
      <c r="O4" s="2571"/>
      <c r="P4" s="909"/>
      <c r="Q4" s="72"/>
      <c r="R4" s="2536" t="s">
        <v>37</v>
      </c>
      <c r="S4" s="2537"/>
      <c r="T4" s="2538"/>
      <c r="U4" s="109"/>
      <c r="V4" s="1846" t="s">
        <v>143</v>
      </c>
      <c r="W4" s="926"/>
      <c r="X4" s="39"/>
      <c r="Y4" s="1563" t="s">
        <v>904</v>
      </c>
      <c r="Z4" s="2539" t="s">
        <v>931</v>
      </c>
      <c r="AA4" s="2540"/>
      <c r="AB4" s="2541"/>
      <c r="AC4" s="2262" t="str">
        <f>"Förändring kostnader för eget åtagande "&amp;År-1&amp;"-"&amp;År&amp;" procent"</f>
        <v>Förändring kostnader för eget åtagande 2022-2023 procent</v>
      </c>
      <c r="AD4" s="2193"/>
      <c r="AE4" s="1181" t="str">
        <f>"Köp av verksamhet som andel av "</f>
        <v xml:space="preserve">Köp av verksamhet som andel av </v>
      </c>
      <c r="AF4" s="2322" t="s">
        <v>909</v>
      </c>
      <c r="AG4" s="2312" t="s">
        <v>910</v>
      </c>
      <c r="AH4" s="1902" t="s">
        <v>975</v>
      </c>
    </row>
    <row r="5" spans="1:34" ht="46.7" customHeight="1">
      <c r="A5" s="1276"/>
      <c r="B5" s="1277"/>
      <c r="C5" s="1261" t="s">
        <v>189</v>
      </c>
      <c r="D5" s="2338" t="s">
        <v>489</v>
      </c>
      <c r="E5" s="1350" t="s">
        <v>810</v>
      </c>
      <c r="F5" s="866" t="s">
        <v>751</v>
      </c>
      <c r="G5" s="867" t="s">
        <v>197</v>
      </c>
      <c r="H5" s="868" t="s">
        <v>740</v>
      </c>
      <c r="I5" s="869" t="s">
        <v>456</v>
      </c>
      <c r="J5" s="2340" t="s">
        <v>490</v>
      </c>
      <c r="K5" s="39"/>
      <c r="L5" s="924" t="s">
        <v>521</v>
      </c>
      <c r="M5" s="1537" t="s">
        <v>457</v>
      </c>
      <c r="N5" s="2559" t="s">
        <v>1017</v>
      </c>
      <c r="O5" s="2560"/>
      <c r="P5" s="910" t="s">
        <v>466</v>
      </c>
      <c r="Q5" s="48"/>
      <c r="R5" s="924" t="s">
        <v>669</v>
      </c>
      <c r="S5" s="868" t="s">
        <v>459</v>
      </c>
      <c r="T5" s="925" t="s">
        <v>460</v>
      </c>
      <c r="U5" s="33"/>
      <c r="V5" s="911"/>
      <c r="W5" s="927" t="s">
        <v>467</v>
      </c>
      <c r="X5" s="39"/>
      <c r="Y5" s="2551" t="s">
        <v>1050</v>
      </c>
      <c r="Z5" s="871" t="str">
        <f>"Netto-kostnader "&amp;År&amp;""</f>
        <v>Netto-kostnader 2023</v>
      </c>
      <c r="AA5" s="871" t="str">
        <f>"Kostnader för eget åtagande "&amp;År&amp;""</f>
        <v>Kostnader för eget åtagande 2023</v>
      </c>
      <c r="AB5" s="871" t="str">
        <f>"Kostnader för eget åtagande "&amp;År-1&amp;""</f>
        <v>Kostnader för eget åtagande 2022</v>
      </c>
      <c r="AC5" s="2263"/>
      <c r="AD5" s="2193"/>
      <c r="AE5" s="2293" t="str">
        <f>"verksamhetens kostnad för eget åtagande "&amp;År&amp;" procent"</f>
        <v>verksamhetens kostnad för eget åtagande 2023 procent</v>
      </c>
      <c r="AF5" s="2568" t="s">
        <v>911</v>
      </c>
      <c r="AG5" s="2566" t="s">
        <v>912</v>
      </c>
      <c r="AH5" s="2564" t="s">
        <v>976</v>
      </c>
    </row>
    <row r="6" spans="1:34" ht="56.25" customHeight="1" thickBot="1">
      <c r="A6" s="2489"/>
      <c r="B6" s="2169" t="str">
        <f>"BAS "&amp;År-2000&amp;""</f>
        <v>BAS 23</v>
      </c>
      <c r="C6" s="2078" t="s">
        <v>1071</v>
      </c>
      <c r="D6" s="2163"/>
      <c r="E6" s="2339" t="s">
        <v>1104</v>
      </c>
      <c r="F6" s="1341" t="s">
        <v>775</v>
      </c>
      <c r="G6" s="1394" t="s">
        <v>1116</v>
      </c>
      <c r="H6" s="1341" t="s">
        <v>43</v>
      </c>
      <c r="I6" s="1342" t="s">
        <v>44</v>
      </c>
      <c r="J6" s="2341" t="s">
        <v>1119</v>
      </c>
      <c r="K6" s="39"/>
      <c r="L6" s="2343" t="s">
        <v>1117</v>
      </c>
      <c r="M6" s="2164"/>
      <c r="N6" s="2165" t="s">
        <v>811</v>
      </c>
      <c r="O6" s="2166" t="s">
        <v>812</v>
      </c>
      <c r="P6" s="2168"/>
      <c r="Q6" s="72"/>
      <c r="R6" s="2120" t="s">
        <v>806</v>
      </c>
      <c r="S6" s="2121" t="s">
        <v>45</v>
      </c>
      <c r="T6" s="1343" t="s">
        <v>752</v>
      </c>
      <c r="U6" s="33"/>
      <c r="V6" s="2167"/>
      <c r="W6" s="2168"/>
      <c r="X6" s="39"/>
      <c r="Y6" s="2552"/>
      <c r="Z6" s="1599"/>
      <c r="AA6" s="1600"/>
      <c r="AB6" s="1601"/>
      <c r="AC6" s="2264"/>
      <c r="AD6" s="2193"/>
      <c r="AE6" s="2294"/>
      <c r="AF6" s="2569"/>
      <c r="AG6" s="2567"/>
      <c r="AH6" s="2565"/>
    </row>
    <row r="7" spans="1:34" ht="9.75" hidden="1" customHeight="1">
      <c r="A7" s="840"/>
      <c r="B7" s="1477"/>
      <c r="C7" s="1397"/>
      <c r="D7" s="1398"/>
      <c r="E7" s="1402"/>
      <c r="F7" s="1403"/>
      <c r="G7" s="1404"/>
      <c r="H7" s="1405"/>
      <c r="I7" s="1406"/>
      <c r="J7" s="1407"/>
      <c r="K7" s="33"/>
      <c r="L7" s="1264"/>
      <c r="M7" s="1265"/>
      <c r="N7" s="1262"/>
      <c r="O7" s="841"/>
      <c r="P7" s="912"/>
      <c r="Q7" s="48"/>
      <c r="R7" s="1428"/>
      <c r="S7" s="1429"/>
      <c r="T7" s="1430"/>
      <c r="U7" s="33"/>
      <c r="V7" s="911"/>
      <c r="W7" s="912"/>
      <c r="X7" s="33"/>
      <c r="Y7" s="1255"/>
      <c r="Z7" s="942"/>
      <c r="AA7" s="944"/>
      <c r="AB7" s="943"/>
      <c r="AC7" s="2263"/>
      <c r="AD7" s="2193"/>
      <c r="AE7" s="2294"/>
      <c r="AF7" s="2323"/>
      <c r="AG7" s="1562"/>
      <c r="AH7" s="1796"/>
    </row>
    <row r="8" spans="1:34" ht="12.75" hidden="1" customHeight="1">
      <c r="A8" s="842"/>
      <c r="B8" s="1399"/>
      <c r="C8" s="1400"/>
      <c r="D8" s="1401"/>
      <c r="E8" s="1408"/>
      <c r="F8" s="1409"/>
      <c r="G8" s="1410"/>
      <c r="H8" s="1411"/>
      <c r="I8" s="1412"/>
      <c r="J8" s="1413"/>
      <c r="K8" s="33"/>
      <c r="L8" s="911"/>
      <c r="M8" s="873"/>
      <c r="N8" s="1262"/>
      <c r="O8" s="841"/>
      <c r="P8" s="912"/>
      <c r="Q8" s="48"/>
      <c r="R8" s="1428"/>
      <c r="S8" s="1429"/>
      <c r="T8" s="1430"/>
      <c r="U8" s="33"/>
      <c r="V8" s="913"/>
      <c r="W8" s="912"/>
      <c r="X8" s="33"/>
      <c r="Y8" s="1255"/>
      <c r="Z8" s="945"/>
      <c r="AA8" s="946"/>
      <c r="AB8" s="872"/>
      <c r="AC8" s="2263"/>
      <c r="AD8" s="2193"/>
      <c r="AE8" s="2295"/>
      <c r="AF8" s="2323"/>
      <c r="AG8" s="1562"/>
      <c r="AH8" s="1796"/>
    </row>
    <row r="9" spans="1:34" ht="10.5" hidden="1" customHeight="1">
      <c r="A9" s="840"/>
      <c r="B9" s="1414"/>
      <c r="C9" s="1415"/>
      <c r="D9" s="1416"/>
      <c r="E9" s="1417"/>
      <c r="F9" s="1418"/>
      <c r="G9" s="1410"/>
      <c r="H9" s="1411"/>
      <c r="I9" s="1419"/>
      <c r="J9" s="1420"/>
      <c r="K9" s="11"/>
      <c r="L9" s="913"/>
      <c r="M9" s="873"/>
      <c r="N9" s="1174"/>
      <c r="O9" s="1182"/>
      <c r="P9" s="912"/>
      <c r="Q9" s="48"/>
      <c r="R9" s="1431"/>
      <c r="S9" s="1432"/>
      <c r="T9" s="1420"/>
      <c r="U9" s="11"/>
      <c r="V9" s="913"/>
      <c r="W9" s="928"/>
      <c r="X9" s="11"/>
      <c r="Y9" s="1255"/>
      <c r="Z9" s="945"/>
      <c r="AA9" s="945"/>
      <c r="AB9" s="872"/>
      <c r="AC9" s="2263"/>
      <c r="AD9" s="2193"/>
      <c r="AE9" s="2296"/>
      <c r="AF9" s="2323"/>
      <c r="AG9" s="1562"/>
      <c r="AH9" s="1796"/>
    </row>
    <row r="10" spans="1:34" ht="12" hidden="1" customHeight="1">
      <c r="A10" s="843"/>
      <c r="B10" s="1421"/>
      <c r="C10" s="1422"/>
      <c r="D10" s="1423"/>
      <c r="E10" s="1424"/>
      <c r="F10" s="1423"/>
      <c r="G10" s="1425"/>
      <c r="H10" s="1426"/>
      <c r="I10" s="1422"/>
      <c r="J10" s="1427"/>
      <c r="K10" s="11"/>
      <c r="L10" s="914"/>
      <c r="M10" s="874"/>
      <c r="N10" s="1031"/>
      <c r="O10" s="1263"/>
      <c r="P10" s="915"/>
      <c r="Q10" s="198"/>
      <c r="R10" s="1433"/>
      <c r="S10" s="1423"/>
      <c r="T10" s="1427"/>
      <c r="U10" s="110"/>
      <c r="V10" s="914"/>
      <c r="W10" s="929"/>
      <c r="X10" s="11"/>
      <c r="Y10" s="1612"/>
      <c r="Z10" s="1596"/>
      <c r="AA10" s="1597"/>
      <c r="AB10" s="1598"/>
      <c r="AC10" s="2265"/>
      <c r="AD10" s="2193"/>
      <c r="AE10" s="2297"/>
      <c r="AF10" s="2323"/>
      <c r="AG10" s="1562"/>
      <c r="AH10" s="1797"/>
    </row>
    <row r="11" spans="1:34" ht="39" customHeight="1" thickBot="1">
      <c r="A11" s="2488"/>
      <c r="B11" s="844" t="s">
        <v>14</v>
      </c>
      <c r="C11" s="875"/>
      <c r="D11" s="876"/>
      <c r="E11" s="875"/>
      <c r="F11" s="877"/>
      <c r="G11" s="878"/>
      <c r="H11" s="879"/>
      <c r="I11" s="875"/>
      <c r="J11" s="880"/>
      <c r="K11" s="199"/>
      <c r="L11" s="916"/>
      <c r="M11" s="877"/>
      <c r="N11" s="876"/>
      <c r="O11" s="917"/>
      <c r="P11" s="880"/>
      <c r="Q11" s="199"/>
      <c r="R11" s="916"/>
      <c r="S11" s="877"/>
      <c r="T11" s="880"/>
      <c r="U11" s="199"/>
      <c r="V11" s="930"/>
      <c r="W11" s="931"/>
      <c r="X11" s="37"/>
      <c r="Y11" s="1611" t="s">
        <v>48</v>
      </c>
      <c r="Z11" s="2556"/>
      <c r="AA11" s="2554"/>
      <c r="AB11" s="2554"/>
      <c r="AC11" s="2555"/>
      <c r="AD11" s="2193"/>
      <c r="AE11" s="2298"/>
      <c r="AF11" s="2323"/>
      <c r="AG11" s="1562"/>
      <c r="AH11" s="1798"/>
    </row>
    <row r="12" spans="1:34" ht="11.25" customHeight="1">
      <c r="A12" s="845"/>
      <c r="B12" s="846" t="s">
        <v>46</v>
      </c>
      <c r="C12" s="881"/>
      <c r="D12" s="882"/>
      <c r="E12" s="881"/>
      <c r="F12" s="883"/>
      <c r="G12" s="884"/>
      <c r="H12" s="885"/>
      <c r="I12" s="881"/>
      <c r="J12" s="886"/>
      <c r="K12" s="199"/>
      <c r="L12" s="918"/>
      <c r="M12" s="883"/>
      <c r="N12" s="882"/>
      <c r="O12" s="919"/>
      <c r="P12" s="886"/>
      <c r="Q12" s="199"/>
      <c r="R12" s="918"/>
      <c r="S12" s="883"/>
      <c r="T12" s="886"/>
      <c r="U12" s="199"/>
      <c r="V12" s="932"/>
      <c r="W12" s="933"/>
      <c r="X12" s="30"/>
      <c r="Y12" s="952"/>
      <c r="Z12" s="947"/>
      <c r="AA12" s="947"/>
      <c r="AB12" s="948"/>
      <c r="AC12" s="2266"/>
      <c r="AD12" s="2193"/>
      <c r="AE12" s="2298"/>
      <c r="AF12" s="2323"/>
      <c r="AG12" s="1562"/>
      <c r="AH12" s="1799"/>
    </row>
    <row r="13" spans="1:34">
      <c r="A13" s="2029" t="s">
        <v>207</v>
      </c>
      <c r="B13" s="847" t="s">
        <v>47</v>
      </c>
      <c r="C13" s="20">
        <v>2449.7739999999999</v>
      </c>
      <c r="D13" s="21">
        <v>870.37800000000004</v>
      </c>
      <c r="E13" s="22">
        <v>68.789000000000001</v>
      </c>
      <c r="F13" s="20">
        <v>21.827000000000002</v>
      </c>
      <c r="G13" s="20">
        <v>305.15800000000002</v>
      </c>
      <c r="H13" s="21">
        <v>50.7</v>
      </c>
      <c r="I13" s="20">
        <v>20.853000000000002</v>
      </c>
      <c r="J13" s="99">
        <v>13.929</v>
      </c>
      <c r="K13" s="31"/>
      <c r="L13" s="102">
        <v>69.783000000000001</v>
      </c>
      <c r="M13" s="20">
        <v>202.93899999999999</v>
      </c>
      <c r="N13" s="21">
        <v>13.41</v>
      </c>
      <c r="O13" s="439">
        <v>162.161</v>
      </c>
      <c r="P13" s="366">
        <f>SUM(C13:O13)</f>
        <v>4249.701</v>
      </c>
      <c r="Q13" s="49"/>
      <c r="R13" s="102">
        <v>6.2290000000000001</v>
      </c>
      <c r="S13" s="20">
        <v>1.137</v>
      </c>
      <c r="T13" s="99">
        <v>57.119</v>
      </c>
      <c r="U13" s="50"/>
      <c r="V13" s="112">
        <v>73.462999999999994</v>
      </c>
      <c r="W13" s="401">
        <f>SUM(R13:V13)</f>
        <v>137.94799999999998</v>
      </c>
      <c r="X13" s="56"/>
      <c r="Y13" s="1590">
        <v>4157.915</v>
      </c>
      <c r="Z13" s="1591"/>
      <c r="AA13" s="1592"/>
      <c r="AB13" s="1593"/>
      <c r="AC13" s="2267"/>
      <c r="AD13" s="2193"/>
      <c r="AE13" s="2299"/>
      <c r="AF13" s="2324">
        <v>4111.7529999999997</v>
      </c>
      <c r="AG13" s="2313">
        <v>4103.7089999999998</v>
      </c>
      <c r="AH13" s="1800">
        <f>W13-V13-(IF(AND(Motpart!$Y$9="",Motpart!$Z$9=""),0,IF(AND(Motpart!$Y$9=0,Motpart!$Z$9=0),0,((T13/$T$17)*(Motpart!$Y$9+Motpart!$Z$9)))))</f>
        <v>36.9729090612284</v>
      </c>
    </row>
    <row r="14" spans="1:34">
      <c r="A14" s="2029" t="s">
        <v>208</v>
      </c>
      <c r="B14" s="848" t="s">
        <v>49</v>
      </c>
      <c r="C14" s="23">
        <v>11.851000000000001</v>
      </c>
      <c r="D14" s="21">
        <v>4.5970000000000004</v>
      </c>
      <c r="E14" s="25">
        <v>0.79100000000000004</v>
      </c>
      <c r="F14" s="23">
        <v>3.5000000000000003E-2</v>
      </c>
      <c r="G14" s="23">
        <v>0.95399999999999996</v>
      </c>
      <c r="H14" s="24">
        <v>537.71</v>
      </c>
      <c r="I14" s="23">
        <v>0.20499999999999999</v>
      </c>
      <c r="J14" s="100">
        <v>0</v>
      </c>
      <c r="K14" s="31"/>
      <c r="L14" s="103">
        <v>1.4690000000000001</v>
      </c>
      <c r="M14" s="23">
        <v>2.5190000000000001</v>
      </c>
      <c r="N14" s="21">
        <v>0.214</v>
      </c>
      <c r="O14" s="367">
        <v>0.52300000000000002</v>
      </c>
      <c r="P14" s="366">
        <f>SUM(C14:O14)</f>
        <v>560.86800000000017</v>
      </c>
      <c r="Q14" s="49"/>
      <c r="R14" s="103">
        <v>0</v>
      </c>
      <c r="S14" s="23">
        <v>0</v>
      </c>
      <c r="T14" s="100">
        <v>0.19400000000000001</v>
      </c>
      <c r="U14" s="50"/>
      <c r="V14" s="113">
        <v>1.867</v>
      </c>
      <c r="W14" s="401">
        <f>SUM(R14:V14)</f>
        <v>2.0609999999999999</v>
      </c>
      <c r="X14" s="56"/>
      <c r="Y14" s="1472">
        <v>558.99699999999996</v>
      </c>
      <c r="Z14" s="1594"/>
      <c r="AA14" s="1595"/>
      <c r="AB14" s="1595"/>
      <c r="AC14" s="2268"/>
      <c r="AD14" s="2193"/>
      <c r="AE14" s="2299"/>
      <c r="AF14" s="2324">
        <v>558.80600000000004</v>
      </c>
      <c r="AG14" s="2313">
        <v>21.256</v>
      </c>
      <c r="AH14" s="1800">
        <f>W14-V14-(IF(AND(Motpart!$Y$9="",Motpart!$Z$9=""),0,IF(AND(Motpart!$Y$9=0,Motpart!$Z$9=0),0,((T14/$T$17)*(Motpart!$Y$9+Motpart!$Z$9)))))</f>
        <v>0.10055743899365026</v>
      </c>
    </row>
    <row r="15" spans="1:34">
      <c r="A15" s="2029" t="s">
        <v>209</v>
      </c>
      <c r="B15" s="848" t="s">
        <v>50</v>
      </c>
      <c r="C15" s="23">
        <v>154.45500000000001</v>
      </c>
      <c r="D15" s="21">
        <v>52.04</v>
      </c>
      <c r="E15" s="25">
        <v>3.5910000000000002</v>
      </c>
      <c r="F15" s="23">
        <v>2.9460000000000002</v>
      </c>
      <c r="G15" s="23">
        <v>288.62400000000002</v>
      </c>
      <c r="H15" s="24">
        <v>0.27200000000000002</v>
      </c>
      <c r="I15" s="23">
        <v>3.9079999999999999</v>
      </c>
      <c r="J15" s="100">
        <v>5.2999999999999999E-2</v>
      </c>
      <c r="K15" s="31"/>
      <c r="L15" s="103">
        <v>3.5630000000000002</v>
      </c>
      <c r="M15" s="23">
        <v>6.8369999999999997</v>
      </c>
      <c r="N15" s="21">
        <v>1.081</v>
      </c>
      <c r="O15" s="367">
        <v>21.231000000000002</v>
      </c>
      <c r="P15" s="366">
        <f>SUM(C15:O15)</f>
        <v>538.60100000000011</v>
      </c>
      <c r="Q15" s="49"/>
      <c r="R15" s="103">
        <v>5.3959999999999999</v>
      </c>
      <c r="S15" s="23">
        <v>0</v>
      </c>
      <c r="T15" s="100">
        <v>14.362</v>
      </c>
      <c r="U15" s="50"/>
      <c r="V15" s="113">
        <v>0.38800000000000001</v>
      </c>
      <c r="W15" s="401">
        <f>SUM(R15:V15)</f>
        <v>20.146000000000001</v>
      </c>
      <c r="X15" s="56"/>
      <c r="Y15" s="1472">
        <v>536.66899999999998</v>
      </c>
      <c r="Z15" s="1594"/>
      <c r="AA15" s="1595"/>
      <c r="AB15" s="1595"/>
      <c r="AC15" s="2268"/>
      <c r="AD15" s="2193"/>
      <c r="AE15" s="2299"/>
      <c r="AF15" s="2324">
        <v>518.45399999999995</v>
      </c>
      <c r="AG15" s="2313">
        <v>534.99400000000003</v>
      </c>
      <c r="AH15" s="1800">
        <f>W15-V15-(IF(AND(Motpart!$Y$9="",Motpart!$Z$9=""),0,IF(AND(Motpart!$Y$9=0,Motpart!$Z$9=0),0,((T15/$T$17)*(Motpart!$Y$9+Motpart!$Z$9)))))</f>
        <v>12.840360509416524</v>
      </c>
    </row>
    <row r="16" spans="1:34">
      <c r="A16" s="2029" t="s">
        <v>210</v>
      </c>
      <c r="B16" s="848" t="s">
        <v>51</v>
      </c>
      <c r="C16" s="23">
        <v>1323.1410000000001</v>
      </c>
      <c r="D16" s="21">
        <v>514.12300000000005</v>
      </c>
      <c r="E16" s="25">
        <v>24.22</v>
      </c>
      <c r="F16" s="23">
        <v>241.98400000000001</v>
      </c>
      <c r="G16" s="23">
        <v>606.43100000000004</v>
      </c>
      <c r="H16" s="24">
        <v>112.32</v>
      </c>
      <c r="I16" s="23">
        <v>15.718</v>
      </c>
      <c r="J16" s="100">
        <v>10.523999999999999</v>
      </c>
      <c r="K16" s="31"/>
      <c r="L16" s="103">
        <v>70.010000000000005</v>
      </c>
      <c r="M16" s="23">
        <v>207.136</v>
      </c>
      <c r="N16" s="21">
        <v>16.283999999999999</v>
      </c>
      <c r="O16" s="367">
        <v>96.195999999999998</v>
      </c>
      <c r="P16" s="366">
        <f>SUM(C16:O16)</f>
        <v>3238.0870000000004</v>
      </c>
      <c r="Q16" s="49"/>
      <c r="R16" s="103">
        <v>26.667000000000002</v>
      </c>
      <c r="S16" s="23">
        <v>0.30299999999999999</v>
      </c>
      <c r="T16" s="100">
        <v>344.88</v>
      </c>
      <c r="U16" s="50"/>
      <c r="V16" s="113">
        <v>123.184</v>
      </c>
      <c r="W16" s="401">
        <f>SUM(R16:V16)</f>
        <v>495.03399999999999</v>
      </c>
      <c r="X16" s="56"/>
      <c r="Y16" s="1472">
        <v>2934.13</v>
      </c>
      <c r="Z16" s="1594"/>
      <c r="AA16" s="1595"/>
      <c r="AB16" s="1595"/>
      <c r="AC16" s="2268"/>
      <c r="AD16" s="2193"/>
      <c r="AE16" s="2299"/>
      <c r="AF16" s="2324">
        <v>2743.05</v>
      </c>
      <c r="AG16" s="2313">
        <v>2760.598</v>
      </c>
      <c r="AH16" s="1800">
        <f>W16-V16-(IF(AND(Motpart!$Y$9="",Motpart!$Z$9=""),0,IF(AND(Motpart!$Y$9=0,Motpart!$Z$9=0),0,((T16/$T$17)*(Motpart!$Y$9+Motpart!$Z$9)))))</f>
        <v>205.73417299036146</v>
      </c>
    </row>
    <row r="17" spans="1:34" ht="12.75" customHeight="1" thickBot="1">
      <c r="A17" s="2042" t="s">
        <v>211</v>
      </c>
      <c r="B17" s="848" t="s">
        <v>52</v>
      </c>
      <c r="C17" s="359">
        <f>SUM(C13:C16)</f>
        <v>3939.221</v>
      </c>
      <c r="D17" s="26">
        <f t="shared" ref="D17:O17" si="0">SUM(D13:D16)</f>
        <v>1441.1379999999999</v>
      </c>
      <c r="E17" s="369">
        <f t="shared" si="0"/>
        <v>97.390999999999991</v>
      </c>
      <c r="F17" s="359">
        <f t="shared" si="0"/>
        <v>266.79200000000003</v>
      </c>
      <c r="G17" s="359">
        <f t="shared" si="0"/>
        <v>1201.1670000000001</v>
      </c>
      <c r="H17" s="26">
        <f t="shared" si="0"/>
        <v>701.00200000000018</v>
      </c>
      <c r="I17" s="359">
        <f t="shared" si="0"/>
        <v>40.683999999999997</v>
      </c>
      <c r="J17" s="104">
        <f t="shared" si="0"/>
        <v>24.506</v>
      </c>
      <c r="K17" s="146"/>
      <c r="L17" s="368">
        <f>SUM(L13:L16)</f>
        <v>144.82499999999999</v>
      </c>
      <c r="M17" s="359">
        <f t="shared" si="0"/>
        <v>419.43099999999998</v>
      </c>
      <c r="N17" s="26">
        <f t="shared" si="0"/>
        <v>30.988999999999997</v>
      </c>
      <c r="O17" s="26">
        <f t="shared" si="0"/>
        <v>280.11099999999999</v>
      </c>
      <c r="P17" s="104">
        <f>SUM(P6:P16)</f>
        <v>8587.2570000000014</v>
      </c>
      <c r="Q17" s="49"/>
      <c r="R17" s="368">
        <f>SUM(R13:R16)</f>
        <v>38.292000000000002</v>
      </c>
      <c r="S17" s="359">
        <f>SUM(S13:S16)</f>
        <v>1.44</v>
      </c>
      <c r="T17" s="104">
        <f>SUM(T13:T16)</f>
        <v>416.55500000000001</v>
      </c>
      <c r="U17" s="49"/>
      <c r="V17" s="116">
        <f>SUM(V13:V16)</f>
        <v>198.90199999999999</v>
      </c>
      <c r="W17" s="117">
        <f>SUM(W13:W16)</f>
        <v>655.18899999999996</v>
      </c>
      <c r="X17" s="56"/>
      <c r="Y17" s="954">
        <v>8187.7169999999996</v>
      </c>
      <c r="Z17" s="955">
        <f>(P17-W17)*1000/invanare</f>
        <v>751.73315559273965</v>
      </c>
      <c r="AA17" s="955">
        <f>Y17*1000/invanare</f>
        <v>775.96136814640511</v>
      </c>
      <c r="AB17" s="955">
        <v>770.99800000000005</v>
      </c>
      <c r="AC17" s="2269">
        <f>IF(ISERROR((AA17-AB17)/AB17)," ",((AA17-AB17)/AB17))</f>
        <v>6.4375888736482572E-3</v>
      </c>
      <c r="AD17" s="2193"/>
      <c r="AE17" s="2300"/>
      <c r="AF17" s="2325">
        <v>7932.067</v>
      </c>
      <c r="AG17" s="2314">
        <v>7420.5609999999997</v>
      </c>
      <c r="AH17" s="1800">
        <f>W17-V17-SUM(Motpart!Y9:Z9)</f>
        <v>255.648</v>
      </c>
    </row>
    <row r="18" spans="1:34" ht="37.5" customHeight="1" thickBot="1">
      <c r="A18" s="2043"/>
      <c r="B18" s="849" t="s">
        <v>53</v>
      </c>
      <c r="C18" s="887"/>
      <c r="D18" s="888"/>
      <c r="E18" s="887"/>
      <c r="F18" s="889"/>
      <c r="G18" s="889"/>
      <c r="H18" s="888"/>
      <c r="I18" s="889"/>
      <c r="J18" s="890"/>
      <c r="K18" s="31"/>
      <c r="L18" s="920"/>
      <c r="M18" s="889"/>
      <c r="N18" s="888"/>
      <c r="O18" s="888"/>
      <c r="P18" s="890"/>
      <c r="Q18" s="50"/>
      <c r="R18" s="920"/>
      <c r="S18" s="889"/>
      <c r="T18" s="890"/>
      <c r="U18" s="50"/>
      <c r="V18" s="934"/>
      <c r="W18" s="935"/>
      <c r="X18" s="31"/>
      <c r="Y18" s="1611" t="s">
        <v>929</v>
      </c>
      <c r="Z18" s="2556"/>
      <c r="AA18" s="2554"/>
      <c r="AB18" s="2554"/>
      <c r="AC18" s="2555"/>
      <c r="AD18" s="2193"/>
      <c r="AE18" s="2301"/>
      <c r="AF18" s="2326"/>
      <c r="AG18" s="2315"/>
      <c r="AH18" s="1801"/>
    </row>
    <row r="19" spans="1:34">
      <c r="A19" s="2029" t="s">
        <v>212</v>
      </c>
      <c r="B19" s="850" t="s">
        <v>54</v>
      </c>
      <c r="C19" s="20">
        <v>4909.1170000000002</v>
      </c>
      <c r="D19" s="21">
        <v>2114.163</v>
      </c>
      <c r="E19" s="20">
        <v>1360.4179999999999</v>
      </c>
      <c r="F19" s="20">
        <v>112.717</v>
      </c>
      <c r="G19" s="20">
        <v>2914.355</v>
      </c>
      <c r="H19" s="21">
        <v>60.715000000000003</v>
      </c>
      <c r="I19" s="20">
        <v>957.66800000000001</v>
      </c>
      <c r="J19" s="99">
        <v>1247.2850000000001</v>
      </c>
      <c r="K19" s="31"/>
      <c r="L19" s="102">
        <v>485.48399999999998</v>
      </c>
      <c r="M19" s="20">
        <v>1755.827</v>
      </c>
      <c r="N19" s="21">
        <v>111.953</v>
      </c>
      <c r="O19" s="367">
        <v>470.73700000000002</v>
      </c>
      <c r="P19" s="366">
        <f>SUM(C19:O19)</f>
        <v>16500.438999999998</v>
      </c>
      <c r="Q19" s="49"/>
      <c r="R19" s="102">
        <v>2994.011</v>
      </c>
      <c r="S19" s="20">
        <v>284.38400000000001</v>
      </c>
      <c r="T19" s="99">
        <v>2142.6570000000002</v>
      </c>
      <c r="U19" s="50"/>
      <c r="V19" s="112">
        <v>2878.645</v>
      </c>
      <c r="W19" s="401">
        <f t="shared" ref="W19:W29" si="1">SUM(R19:V19)</f>
        <v>8299.6970000000001</v>
      </c>
      <c r="X19" s="56"/>
      <c r="Y19" s="954">
        <v>13551.018</v>
      </c>
      <c r="Z19" s="1604"/>
      <c r="AA19" s="1605"/>
      <c r="AB19" s="1606"/>
      <c r="AC19" s="2270"/>
      <c r="AD19" s="2193"/>
      <c r="AE19" s="2301"/>
      <c r="AF19" s="2324">
        <v>8200.74</v>
      </c>
      <c r="AG19" s="2313">
        <v>13448.361999999999</v>
      </c>
      <c r="AH19" s="1800">
        <f>W19-V19-(IF(AND(Motpart!$Y$10="",Motpart!$Z$10=""),0,IF(AND(Motpart!$Y$10=0,Motpart!$Z$10=0),0,((T19/$T$30)*(Motpart!$Y$10+Motpart!$Z$10)))))</f>
        <v>5295.825665349701</v>
      </c>
    </row>
    <row r="20" spans="1:34">
      <c r="A20" s="2029" t="s">
        <v>213</v>
      </c>
      <c r="B20" s="848" t="s">
        <v>55</v>
      </c>
      <c r="C20" s="20">
        <v>664.06600000000003</v>
      </c>
      <c r="D20" s="21">
        <v>287.62700000000001</v>
      </c>
      <c r="E20" s="20">
        <v>61.521999999999998</v>
      </c>
      <c r="F20" s="20">
        <v>73.988</v>
      </c>
      <c r="G20" s="20">
        <v>613.56399999999996</v>
      </c>
      <c r="H20" s="21">
        <v>808.28499999999997</v>
      </c>
      <c r="I20" s="20">
        <v>40.110999999999997</v>
      </c>
      <c r="J20" s="99">
        <v>21.111999999999998</v>
      </c>
      <c r="K20" s="31"/>
      <c r="L20" s="103">
        <v>40.978999999999999</v>
      </c>
      <c r="M20" s="23">
        <v>81.283000000000001</v>
      </c>
      <c r="N20" s="21">
        <v>5.5449999999999999</v>
      </c>
      <c r="O20" s="367">
        <v>66.316999999999993</v>
      </c>
      <c r="P20" s="366">
        <f t="shared" ref="P20:P29" si="2">SUM(C20:O20)</f>
        <v>2764.3989999999994</v>
      </c>
      <c r="Q20" s="49"/>
      <c r="R20" s="103">
        <v>6.931</v>
      </c>
      <c r="S20" s="23">
        <v>6.984</v>
      </c>
      <c r="T20" s="100">
        <v>403.93</v>
      </c>
      <c r="U20" s="50"/>
      <c r="V20" s="113">
        <v>64.462999999999994</v>
      </c>
      <c r="W20" s="401">
        <f t="shared" si="1"/>
        <v>482.30799999999999</v>
      </c>
      <c r="X20" s="56"/>
      <c r="Y20" s="974">
        <v>2676.9270000000001</v>
      </c>
      <c r="Z20" s="1604"/>
      <c r="AA20" s="1605"/>
      <c r="AB20" s="1606"/>
      <c r="AC20" s="2270"/>
      <c r="AD20" s="2193"/>
      <c r="AE20" s="2301"/>
      <c r="AF20" s="2324">
        <v>2282.0909999999999</v>
      </c>
      <c r="AG20" s="2313">
        <v>1817.663</v>
      </c>
      <c r="AH20" s="1800">
        <f>W20-V20-(IF(AND(Motpart!$Y$10="",Motpart!$Z$10=""),0,IF(AND(Motpart!$Y$10=0,Motpart!$Z$10=0),0,((T20/$T$30)*(Motpart!$Y$10+Motpart!$Z$10)))))</f>
        <v>394.23754749813196</v>
      </c>
    </row>
    <row r="21" spans="1:34">
      <c r="A21" s="2029" t="s">
        <v>639</v>
      </c>
      <c r="B21" s="848" t="s">
        <v>56</v>
      </c>
      <c r="C21" s="20">
        <v>145.37200000000001</v>
      </c>
      <c r="D21" s="21">
        <v>63.045999999999999</v>
      </c>
      <c r="E21" s="20">
        <v>2.6360000000000001</v>
      </c>
      <c r="F21" s="20">
        <v>7.8959999999999999</v>
      </c>
      <c r="G21" s="20">
        <v>24.931999999999999</v>
      </c>
      <c r="H21" s="21">
        <v>1.1990000000000001</v>
      </c>
      <c r="I21" s="20">
        <v>3.9969999999999999</v>
      </c>
      <c r="J21" s="99">
        <v>0.24399999999999999</v>
      </c>
      <c r="K21" s="31"/>
      <c r="L21" s="103">
        <v>4.2750000000000004</v>
      </c>
      <c r="M21" s="23">
        <v>18.988</v>
      </c>
      <c r="N21" s="21">
        <v>1.8</v>
      </c>
      <c r="O21" s="367">
        <v>9.5280000000000005</v>
      </c>
      <c r="P21" s="366">
        <f t="shared" si="2"/>
        <v>283.91300000000001</v>
      </c>
      <c r="Q21" s="49"/>
      <c r="R21" s="103">
        <v>3.3010000000000002</v>
      </c>
      <c r="S21" s="23">
        <v>0.4</v>
      </c>
      <c r="T21" s="100">
        <v>94.721000000000004</v>
      </c>
      <c r="U21" s="50"/>
      <c r="V21" s="113">
        <v>8.1389999999999993</v>
      </c>
      <c r="W21" s="401">
        <f t="shared" si="1"/>
        <v>106.56099999999999</v>
      </c>
      <c r="X21" s="56"/>
      <c r="Y21" s="974">
        <v>269.798</v>
      </c>
      <c r="Z21" s="1604"/>
      <c r="AA21" s="1605"/>
      <c r="AB21" s="1606"/>
      <c r="AC21" s="2270"/>
      <c r="AD21" s="2193"/>
      <c r="AE21" s="2301"/>
      <c r="AF21" s="2324">
        <v>177.35</v>
      </c>
      <c r="AG21" s="2313">
        <v>266.67899999999997</v>
      </c>
      <c r="AH21" s="1800">
        <f>W21-V21-(IF(AND(Motpart!$Y$10="",Motpart!$Z$10=""),0,IF(AND(Motpart!$Y$10=0,Motpart!$Z$10=0),0,((T21/$T$30)*(Motpart!$Y$10+Motpart!$Z$10)))))</f>
        <v>92.886086578294638</v>
      </c>
    </row>
    <row r="22" spans="1:34">
      <c r="A22" s="2029" t="s">
        <v>214</v>
      </c>
      <c r="B22" s="848" t="s">
        <v>57</v>
      </c>
      <c r="C22" s="20">
        <v>179.57599999999999</v>
      </c>
      <c r="D22" s="21">
        <v>76.78</v>
      </c>
      <c r="E22" s="20">
        <v>59.683</v>
      </c>
      <c r="F22" s="20">
        <v>132.02600000000001</v>
      </c>
      <c r="G22" s="20">
        <v>184.834</v>
      </c>
      <c r="H22" s="21">
        <v>387.77600000000001</v>
      </c>
      <c r="I22" s="20">
        <v>20.116</v>
      </c>
      <c r="J22" s="99">
        <v>47.933</v>
      </c>
      <c r="K22" s="31"/>
      <c r="L22" s="103">
        <v>28.861000000000001</v>
      </c>
      <c r="M22" s="23">
        <v>37.287999999999997</v>
      </c>
      <c r="N22" s="21">
        <v>1.919</v>
      </c>
      <c r="O22" s="367">
        <v>25.202000000000002</v>
      </c>
      <c r="P22" s="366">
        <f t="shared" si="2"/>
        <v>1181.9940000000001</v>
      </c>
      <c r="Q22" s="49"/>
      <c r="R22" s="103">
        <v>49.118000000000002</v>
      </c>
      <c r="S22" s="23">
        <v>32.628999999999998</v>
      </c>
      <c r="T22" s="100">
        <v>147.678</v>
      </c>
      <c r="U22" s="50"/>
      <c r="V22" s="113">
        <v>16.759</v>
      </c>
      <c r="W22" s="401">
        <f t="shared" si="1"/>
        <v>246.18400000000003</v>
      </c>
      <c r="X22" s="56"/>
      <c r="Y22" s="974">
        <v>1159.153</v>
      </c>
      <c r="Z22" s="1607"/>
      <c r="AA22" s="1605"/>
      <c r="AB22" s="1606"/>
      <c r="AC22" s="2270"/>
      <c r="AD22" s="2193"/>
      <c r="AE22" s="2301"/>
      <c r="AF22" s="2324">
        <v>935.80600000000004</v>
      </c>
      <c r="AG22" s="2313">
        <v>645.42899999999997</v>
      </c>
      <c r="AH22" s="1800">
        <f>W22-V22-(IF(AND(Motpart!$Y$10="",Motpart!$Z$10=""),0,IF(AND(Motpart!$Y$10=0,Motpart!$Z$10=0),0,((T22/$T$30)*(Motpart!$Y$10+Motpart!$Z$10)))))</f>
        <v>220.79404569957453</v>
      </c>
    </row>
    <row r="23" spans="1:34">
      <c r="A23" s="2029" t="s">
        <v>215</v>
      </c>
      <c r="B23" s="856" t="s">
        <v>808</v>
      </c>
      <c r="C23" s="20">
        <v>2070.4780000000001</v>
      </c>
      <c r="D23" s="21">
        <v>899.81399999999996</v>
      </c>
      <c r="E23" s="20">
        <v>4496.09</v>
      </c>
      <c r="F23" s="20">
        <v>4545.2579999999998</v>
      </c>
      <c r="G23" s="20">
        <v>1777.5</v>
      </c>
      <c r="H23" s="21">
        <v>993.48099999999999</v>
      </c>
      <c r="I23" s="20">
        <v>103.886</v>
      </c>
      <c r="J23" s="99">
        <v>7513.54</v>
      </c>
      <c r="K23" s="31"/>
      <c r="L23" s="103">
        <v>369.32600000000002</v>
      </c>
      <c r="M23" s="23">
        <v>2506.3980000000001</v>
      </c>
      <c r="N23" s="21">
        <v>81.838999999999999</v>
      </c>
      <c r="O23" s="367">
        <v>652.45399999999995</v>
      </c>
      <c r="P23" s="366">
        <f t="shared" si="2"/>
        <v>26010.064000000002</v>
      </c>
      <c r="Q23" s="49"/>
      <c r="R23" s="103">
        <v>4250.9250000000002</v>
      </c>
      <c r="S23" s="23">
        <v>12.396000000000001</v>
      </c>
      <c r="T23" s="100">
        <v>3063.6559999999999</v>
      </c>
      <c r="U23" s="50"/>
      <c r="V23" s="113">
        <v>2530.067</v>
      </c>
      <c r="W23" s="401">
        <f t="shared" si="1"/>
        <v>9857.0439999999999</v>
      </c>
      <c r="X23" s="56"/>
      <c r="Y23" s="974">
        <v>23342.210999999999</v>
      </c>
      <c r="Z23" s="1607"/>
      <c r="AA23" s="1605"/>
      <c r="AB23" s="1606"/>
      <c r="AC23" s="2270"/>
      <c r="AD23" s="2193"/>
      <c r="AE23" s="2301"/>
      <c r="AF23" s="2324">
        <v>16153.018</v>
      </c>
      <c r="AG23" s="2313">
        <v>17941.256000000001</v>
      </c>
      <c r="AH23" s="1800">
        <f>W23-V23-(IF(AND(Motpart!$Y$10="",Motpart!$Z$10=""),0,IF(AND(Motpart!$Y$10=0,Motpart!$Z$10=0),0,((T23/$T$30)*(Motpart!$Y$10+Motpart!$Z$10)))))</f>
        <v>7147.9234176910277</v>
      </c>
    </row>
    <row r="24" spans="1:34">
      <c r="A24" s="2029" t="s">
        <v>216</v>
      </c>
      <c r="B24" s="848" t="s">
        <v>16</v>
      </c>
      <c r="C24" s="20">
        <v>1319.289</v>
      </c>
      <c r="D24" s="21">
        <v>570.77200000000005</v>
      </c>
      <c r="E24" s="20">
        <v>804.005</v>
      </c>
      <c r="F24" s="20">
        <v>1335.6110000000001</v>
      </c>
      <c r="G24" s="20">
        <v>544.23800000000006</v>
      </c>
      <c r="H24" s="21">
        <v>20.536999999999999</v>
      </c>
      <c r="I24" s="20">
        <v>39.957999999999998</v>
      </c>
      <c r="J24" s="99">
        <v>1374.0409999999999</v>
      </c>
      <c r="K24" s="31"/>
      <c r="L24" s="103">
        <v>111.396</v>
      </c>
      <c r="M24" s="23">
        <v>1424.3219999999999</v>
      </c>
      <c r="N24" s="21">
        <v>36.725000000000001</v>
      </c>
      <c r="O24" s="367">
        <v>188.518</v>
      </c>
      <c r="P24" s="366">
        <f t="shared" si="2"/>
        <v>7769.4120000000012</v>
      </c>
      <c r="Q24" s="49"/>
      <c r="R24" s="103">
        <v>23.091999999999999</v>
      </c>
      <c r="S24" s="23">
        <v>4.09</v>
      </c>
      <c r="T24" s="100">
        <v>661.02599999999995</v>
      </c>
      <c r="U24" s="50"/>
      <c r="V24" s="113">
        <v>928.00300000000004</v>
      </c>
      <c r="W24" s="401">
        <f t="shared" si="1"/>
        <v>1616.211</v>
      </c>
      <c r="X24" s="56"/>
      <c r="Y24" s="974">
        <v>6811.8310000000001</v>
      </c>
      <c r="Z24" s="1607"/>
      <c r="AA24" s="1605"/>
      <c r="AB24" s="1606"/>
      <c r="AC24" s="2270"/>
      <c r="AD24" s="2193"/>
      <c r="AE24" s="2301"/>
      <c r="AF24" s="2324">
        <v>6153.2060000000001</v>
      </c>
      <c r="AG24" s="2313">
        <v>5485.2669999999998</v>
      </c>
      <c r="AH24" s="1800">
        <f>W24-V24-(IF(AND(Motpart!$Y$10="",Motpart!$Z$10=""),0,IF(AND(Motpart!$Y$10=0,Motpart!$Z$10=0),0,((T24/$T$30)*(Motpart!$Y$10+Motpart!$Z$10)))))</f>
        <v>649.57472221053195</v>
      </c>
    </row>
    <row r="25" spans="1:34">
      <c r="A25" s="2029" t="s">
        <v>217</v>
      </c>
      <c r="B25" s="848" t="s">
        <v>59</v>
      </c>
      <c r="C25" s="20">
        <v>1594.3150000000001</v>
      </c>
      <c r="D25" s="21">
        <v>686.51400000000001</v>
      </c>
      <c r="E25" s="20">
        <v>109.72</v>
      </c>
      <c r="F25" s="20">
        <v>156.24199999999999</v>
      </c>
      <c r="G25" s="20">
        <v>216.92699999999999</v>
      </c>
      <c r="H25" s="21">
        <v>12.116</v>
      </c>
      <c r="I25" s="20">
        <v>38.073</v>
      </c>
      <c r="J25" s="99">
        <v>12.131</v>
      </c>
      <c r="K25" s="31"/>
      <c r="L25" s="103">
        <v>72.588999999999999</v>
      </c>
      <c r="M25" s="23">
        <v>230.28100000000001</v>
      </c>
      <c r="N25" s="21">
        <v>20.465</v>
      </c>
      <c r="O25" s="367">
        <v>107.56699999999999</v>
      </c>
      <c r="P25" s="366">
        <f t="shared" si="2"/>
        <v>3256.94</v>
      </c>
      <c r="Q25" s="49"/>
      <c r="R25" s="103">
        <v>1075.2470000000001</v>
      </c>
      <c r="S25" s="23">
        <v>0.155</v>
      </c>
      <c r="T25" s="100">
        <v>117.70099999999999</v>
      </c>
      <c r="U25" s="50"/>
      <c r="V25" s="113">
        <v>294.75400000000002</v>
      </c>
      <c r="W25" s="401">
        <f t="shared" si="1"/>
        <v>1487.857</v>
      </c>
      <c r="X25" s="56"/>
      <c r="Y25" s="974">
        <v>2943.46</v>
      </c>
      <c r="Z25" s="1591"/>
      <c r="AA25" s="1605"/>
      <c r="AB25" s="1606"/>
      <c r="AC25" s="2270"/>
      <c r="AD25" s="2193"/>
      <c r="AE25" s="2301"/>
      <c r="AF25" s="2324">
        <v>1769.085</v>
      </c>
      <c r="AG25" s="2313">
        <v>2793.83</v>
      </c>
      <c r="AH25" s="1800">
        <f>W25-V25-(IF(AND(Motpart!$Y$10="",Motpart!$Z$10=""),0,IF(AND(Motpart!$Y$10=0,Motpart!$Z$10=0),0,((T25/$T$30)*(Motpart!$Y$10+Motpart!$Z$10)))))</f>
        <v>1186.224033924387</v>
      </c>
    </row>
    <row r="26" spans="1:34">
      <c r="A26" s="2029" t="s">
        <v>218</v>
      </c>
      <c r="B26" s="848" t="s">
        <v>60</v>
      </c>
      <c r="C26" s="20">
        <v>644.72199999999998</v>
      </c>
      <c r="D26" s="21">
        <v>282.904</v>
      </c>
      <c r="E26" s="20">
        <v>299.29599999999999</v>
      </c>
      <c r="F26" s="20">
        <v>46.747</v>
      </c>
      <c r="G26" s="20">
        <v>566.37300000000005</v>
      </c>
      <c r="H26" s="21">
        <v>84.988</v>
      </c>
      <c r="I26" s="20">
        <v>20.97</v>
      </c>
      <c r="J26" s="99">
        <v>73.787000000000006</v>
      </c>
      <c r="K26" s="31"/>
      <c r="L26" s="103">
        <v>28.042000000000002</v>
      </c>
      <c r="M26" s="23">
        <v>203.53800000000001</v>
      </c>
      <c r="N26" s="21">
        <v>6.2119999999999997</v>
      </c>
      <c r="O26" s="367">
        <v>78.08</v>
      </c>
      <c r="P26" s="366">
        <f t="shared" si="2"/>
        <v>2335.6590000000001</v>
      </c>
      <c r="Q26" s="49"/>
      <c r="R26" s="103">
        <v>50.145000000000003</v>
      </c>
      <c r="S26" s="23">
        <v>1.099</v>
      </c>
      <c r="T26" s="100">
        <v>605.09199999999998</v>
      </c>
      <c r="U26" s="50"/>
      <c r="V26" s="113">
        <v>93.744</v>
      </c>
      <c r="W26" s="401">
        <f t="shared" si="1"/>
        <v>750.08</v>
      </c>
      <c r="X26" s="56"/>
      <c r="Y26" s="974">
        <v>2212.904</v>
      </c>
      <c r="Z26" s="1608"/>
      <c r="AA26" s="1595"/>
      <c r="AB26" s="1595"/>
      <c r="AC26" s="2268"/>
      <c r="AD26" s="2193"/>
      <c r="AE26" s="2301"/>
      <c r="AF26" s="2324">
        <v>1585.577</v>
      </c>
      <c r="AG26" s="2313">
        <v>2110.1799999999998</v>
      </c>
      <c r="AH26" s="1800">
        <f>W26-V26-(IF(AND(Motpart!$Y$10="",Motpart!$Z$10=""),0,IF(AND(Motpart!$Y$10=0,Motpart!$Z$10=0),0,((T26/$T$30)*(Motpart!$Y$10+Motpart!$Z$10)))))</f>
        <v>620.97175211234537</v>
      </c>
    </row>
    <row r="27" spans="1:34">
      <c r="A27" s="2029" t="s">
        <v>219</v>
      </c>
      <c r="B27" s="848" t="s">
        <v>61</v>
      </c>
      <c r="C27" s="20">
        <v>150.423</v>
      </c>
      <c r="D27" s="21">
        <v>64.754000000000005</v>
      </c>
      <c r="E27" s="20">
        <v>1.998</v>
      </c>
      <c r="F27" s="20">
        <v>11.616</v>
      </c>
      <c r="G27" s="20">
        <v>29.687000000000001</v>
      </c>
      <c r="H27" s="21">
        <v>0.315</v>
      </c>
      <c r="I27" s="20">
        <v>1.847</v>
      </c>
      <c r="J27" s="99">
        <v>0.45800000000000002</v>
      </c>
      <c r="K27" s="31"/>
      <c r="L27" s="103">
        <v>3.246</v>
      </c>
      <c r="M27" s="23">
        <v>26.041</v>
      </c>
      <c r="N27" s="21">
        <v>0.9</v>
      </c>
      <c r="O27" s="367">
        <v>10.135</v>
      </c>
      <c r="P27" s="366">
        <f t="shared" si="2"/>
        <v>301.41999999999996</v>
      </c>
      <c r="Q27" s="49"/>
      <c r="R27" s="103">
        <v>236.24199999999999</v>
      </c>
      <c r="S27" s="23">
        <v>7.0000000000000001E-3</v>
      </c>
      <c r="T27" s="100">
        <v>15.765000000000001</v>
      </c>
      <c r="U27" s="50"/>
      <c r="V27" s="113">
        <v>12.173</v>
      </c>
      <c r="W27" s="401">
        <f t="shared" si="1"/>
        <v>264.18700000000001</v>
      </c>
      <c r="X27" s="56"/>
      <c r="Y27" s="974">
        <v>286.98399999999998</v>
      </c>
      <c r="Z27" s="1594"/>
      <c r="AA27" s="1595"/>
      <c r="AB27" s="1595"/>
      <c r="AC27" s="2268"/>
      <c r="AD27" s="2193"/>
      <c r="AE27" s="2301"/>
      <c r="AF27" s="2324">
        <v>37.232999999999997</v>
      </c>
      <c r="AG27" s="2313">
        <v>277.31700000000001</v>
      </c>
      <c r="AH27" s="1800">
        <f>W27-V27-(IF(AND(Motpart!$Y$10="",Motpart!$Z$10=""),0,IF(AND(Motpart!$Y$10=0,Motpart!$Z$10=0),0,((T27/$T$30)*(Motpart!$Y$10+Motpart!$Z$10)))))</f>
        <v>251.09262379944064</v>
      </c>
    </row>
    <row r="28" spans="1:34">
      <c r="A28" s="2029" t="s">
        <v>220</v>
      </c>
      <c r="B28" s="848" t="s">
        <v>17</v>
      </c>
      <c r="C28" s="20">
        <v>1618.2180000000001</v>
      </c>
      <c r="D28" s="21">
        <v>701.11199999999997</v>
      </c>
      <c r="E28" s="20">
        <v>196.53299999999999</v>
      </c>
      <c r="F28" s="20">
        <v>5232.1890000000003</v>
      </c>
      <c r="G28" s="20">
        <v>392.83800000000002</v>
      </c>
      <c r="H28" s="21">
        <v>1021.872</v>
      </c>
      <c r="I28" s="20">
        <v>120.459</v>
      </c>
      <c r="J28" s="99">
        <v>218.398</v>
      </c>
      <c r="K28" s="31"/>
      <c r="L28" s="103">
        <v>231.596</v>
      </c>
      <c r="M28" s="23">
        <v>182.01</v>
      </c>
      <c r="N28" s="21">
        <v>29.965</v>
      </c>
      <c r="O28" s="367">
        <v>130.43100000000001</v>
      </c>
      <c r="P28" s="366">
        <f t="shared" si="2"/>
        <v>10075.620999999999</v>
      </c>
      <c r="Q28" s="49"/>
      <c r="R28" s="103">
        <v>140.52000000000001</v>
      </c>
      <c r="S28" s="23">
        <v>38.497</v>
      </c>
      <c r="T28" s="100">
        <v>470.71699999999998</v>
      </c>
      <c r="U28" s="50"/>
      <c r="V28" s="113">
        <v>185.01</v>
      </c>
      <c r="W28" s="401">
        <f t="shared" si="1"/>
        <v>834.74399999999991</v>
      </c>
      <c r="X28" s="56"/>
      <c r="Y28" s="974">
        <v>9760.0740000000005</v>
      </c>
      <c r="Z28" s="1594"/>
      <c r="AA28" s="1595"/>
      <c r="AB28" s="1595"/>
      <c r="AC28" s="2268"/>
      <c r="AD28" s="2193"/>
      <c r="AE28" s="2301"/>
      <c r="AF28" s="2324">
        <v>9240.8790000000008</v>
      </c>
      <c r="AG28" s="2313">
        <v>3636.5520000000001</v>
      </c>
      <c r="AH28" s="1800">
        <f>W28-V28-(IF(AND(Motpart!$Y$10="",Motpart!$Z$10=""),0,IF(AND(Motpart!$Y$10=0,Motpart!$Z$10=0),0,((T28/$T$30)*(Motpart!$Y$10+Motpart!$Z$10)))))</f>
        <v>622.22322036164223</v>
      </c>
    </row>
    <row r="29" spans="1:34">
      <c r="A29" s="2029" t="s">
        <v>221</v>
      </c>
      <c r="B29" s="848" t="s">
        <v>62</v>
      </c>
      <c r="C29" s="20">
        <v>349.25599999999997</v>
      </c>
      <c r="D29" s="21">
        <v>149.37100000000001</v>
      </c>
      <c r="E29" s="20">
        <v>45.167000000000002</v>
      </c>
      <c r="F29" s="20">
        <v>22.468</v>
      </c>
      <c r="G29" s="20">
        <v>328.31099999999998</v>
      </c>
      <c r="H29" s="21">
        <v>11.067</v>
      </c>
      <c r="I29" s="20">
        <v>8.1489999999999991</v>
      </c>
      <c r="J29" s="99">
        <v>37.030999999999999</v>
      </c>
      <c r="K29" s="31"/>
      <c r="L29" s="103">
        <v>24.619</v>
      </c>
      <c r="M29" s="23">
        <v>75.453000000000003</v>
      </c>
      <c r="N29" s="21">
        <v>3.2490000000000001</v>
      </c>
      <c r="O29" s="367">
        <v>39.597000000000001</v>
      </c>
      <c r="P29" s="366">
        <f t="shared" si="2"/>
        <v>1093.7379999999998</v>
      </c>
      <c r="Q29" s="49"/>
      <c r="R29" s="103">
        <v>9.2059999999999995</v>
      </c>
      <c r="S29" s="23">
        <v>2.1850000000000001</v>
      </c>
      <c r="T29" s="100">
        <v>522.27599999999995</v>
      </c>
      <c r="U29" s="50"/>
      <c r="V29" s="113">
        <v>67.001000000000005</v>
      </c>
      <c r="W29" s="401">
        <f t="shared" si="1"/>
        <v>600.66799999999989</v>
      </c>
      <c r="X29" s="56"/>
      <c r="Y29" s="974">
        <v>998.58299999999997</v>
      </c>
      <c r="Z29" s="1602"/>
      <c r="AA29" s="1603"/>
      <c r="AB29" s="1603"/>
      <c r="AC29" s="2271"/>
      <c r="AD29" s="2193"/>
      <c r="AE29" s="2301"/>
      <c r="AF29" s="2324">
        <v>493.07299999999998</v>
      </c>
      <c r="AG29" s="2313">
        <v>993.20500000000004</v>
      </c>
      <c r="AH29" s="1800">
        <f>W29-V29-(IF(AND(Motpart!$Y$10="",Motpart!$Z$10=""),0,IF(AND(Motpart!$Y$10=0,Motpart!$Z$10=0),0,((T29/$T$30)*(Motpart!$Y$10+Motpart!$Z$10)))))</f>
        <v>503.14288477492221</v>
      </c>
    </row>
    <row r="30" spans="1:34" ht="12.75" customHeight="1" thickBot="1">
      <c r="A30" s="2042" t="s">
        <v>222</v>
      </c>
      <c r="B30" s="848" t="s">
        <v>63</v>
      </c>
      <c r="C30" s="359">
        <f t="shared" ref="C30:M30" si="3">SUM(C19:C29)</f>
        <v>13644.832000000002</v>
      </c>
      <c r="D30" s="26">
        <f t="shared" si="3"/>
        <v>5896.8569999999991</v>
      </c>
      <c r="E30" s="26">
        <f t="shared" si="3"/>
        <v>7437.0680000000011</v>
      </c>
      <c r="F30" s="370">
        <f t="shared" si="3"/>
        <v>11676.758000000002</v>
      </c>
      <c r="G30" s="371">
        <f t="shared" si="3"/>
        <v>7593.5589999999993</v>
      </c>
      <c r="H30" s="372">
        <f t="shared" si="3"/>
        <v>3402.3509999999997</v>
      </c>
      <c r="I30" s="359">
        <f t="shared" si="3"/>
        <v>1355.2340000000002</v>
      </c>
      <c r="J30" s="104">
        <f t="shared" si="3"/>
        <v>10545.96</v>
      </c>
      <c r="K30" s="146"/>
      <c r="L30" s="368">
        <f>SUM(L19:L29)</f>
        <v>1400.4129999999998</v>
      </c>
      <c r="M30" s="359">
        <f t="shared" si="3"/>
        <v>6541.4290000000001</v>
      </c>
      <c r="N30" s="26">
        <f t="shared" ref="N30:W30" si="4">SUM(N19:N29)</f>
        <v>300.57199999999995</v>
      </c>
      <c r="O30" s="26">
        <f t="shared" si="4"/>
        <v>1778.5659999999998</v>
      </c>
      <c r="P30" s="104">
        <f t="shared" si="4"/>
        <v>71573.599000000002</v>
      </c>
      <c r="Q30" s="49"/>
      <c r="R30" s="368">
        <f t="shared" si="4"/>
        <v>8838.7380000000012</v>
      </c>
      <c r="S30" s="359">
        <f t="shared" si="4"/>
        <v>382.82599999999996</v>
      </c>
      <c r="T30" s="104">
        <f t="shared" si="4"/>
        <v>8245.2189999999991</v>
      </c>
      <c r="U30" s="49"/>
      <c r="V30" s="116">
        <f t="shared" si="4"/>
        <v>7078.7579999999998</v>
      </c>
      <c r="W30" s="117">
        <f t="shared" si="4"/>
        <v>24545.541000000005</v>
      </c>
      <c r="X30" s="56"/>
      <c r="Y30" s="1610">
        <v>64012.957000000002</v>
      </c>
      <c r="Z30" s="955">
        <f>(P30-W30)*1000/invanare</f>
        <v>4456.9146963614512</v>
      </c>
      <c r="AA30" s="955">
        <f>Y30*1000/invanare</f>
        <v>6066.5972813687868</v>
      </c>
      <c r="AB30" s="955">
        <v>5752.0540000000001</v>
      </c>
      <c r="AC30" s="2269">
        <f>IF(ISERROR((AA30-AB30)/AB30)," ",((AA30-AB30)/AB30))</f>
        <v>5.4683645419320935E-2</v>
      </c>
      <c r="AD30" s="2193"/>
      <c r="AE30" s="2302">
        <f>IF(ISERROR(F30/(AA30/1000*invanare)),"",(F30/(AA30/100000*invanare)))</f>
        <v>18.24124137867901</v>
      </c>
      <c r="AF30" s="2324">
        <v>47028.057000000001</v>
      </c>
      <c r="AG30" s="2314">
        <v>49415.737000000001</v>
      </c>
      <c r="AH30" s="1802">
        <f>W30-V30-SUM(Motpart!Y10:Z10)</f>
        <v>16984.896000000004</v>
      </c>
    </row>
    <row r="31" spans="1:34" ht="37.5" customHeight="1" thickBot="1">
      <c r="A31" s="2038"/>
      <c r="B31" s="851" t="s">
        <v>64</v>
      </c>
      <c r="C31" s="891"/>
      <c r="D31" s="892"/>
      <c r="E31" s="893"/>
      <c r="F31" s="894"/>
      <c r="G31" s="895"/>
      <c r="H31" s="896"/>
      <c r="I31" s="895"/>
      <c r="J31" s="897"/>
      <c r="K31" s="31"/>
      <c r="L31" s="921"/>
      <c r="M31" s="895"/>
      <c r="N31" s="892"/>
      <c r="O31" s="892"/>
      <c r="P31" s="897"/>
      <c r="Q31" s="50"/>
      <c r="R31" s="921"/>
      <c r="S31" s="895"/>
      <c r="T31" s="897"/>
      <c r="U31" s="50"/>
      <c r="V31" s="936"/>
      <c r="W31" s="937"/>
      <c r="X31" s="31"/>
      <c r="Y31" s="1611" t="s">
        <v>926</v>
      </c>
      <c r="Z31" s="2553"/>
      <c r="AA31" s="2554"/>
      <c r="AB31" s="2554"/>
      <c r="AC31" s="2555"/>
      <c r="AD31" s="2193"/>
      <c r="AE31" s="2301">
        <f>IF(ISERROR(F30/(AA30/1000*invanare)),"",(SUM(Motpart!D10,Motpart!F10)/(AA30/100000*invanare)))</f>
        <v>7.9394254510067395</v>
      </c>
      <c r="AF31" s="2327"/>
      <c r="AG31" s="2316"/>
      <c r="AH31" s="1803"/>
    </row>
    <row r="32" spans="1:34" ht="9" customHeight="1">
      <c r="A32" s="2044"/>
      <c r="B32" s="852" t="s">
        <v>65</v>
      </c>
      <c r="C32" s="898"/>
      <c r="D32" s="899"/>
      <c r="E32" s="900"/>
      <c r="F32" s="901"/>
      <c r="G32" s="902"/>
      <c r="H32" s="903"/>
      <c r="I32" s="902"/>
      <c r="J32" s="904"/>
      <c r="K32" s="31"/>
      <c r="L32" s="922"/>
      <c r="M32" s="902"/>
      <c r="N32" s="899"/>
      <c r="O32" s="899"/>
      <c r="P32" s="904"/>
      <c r="Q32" s="50"/>
      <c r="R32" s="922"/>
      <c r="S32" s="902"/>
      <c r="T32" s="904"/>
      <c r="U32" s="50"/>
      <c r="V32" s="938"/>
      <c r="W32" s="939"/>
      <c r="X32" s="31"/>
      <c r="Y32" s="1471"/>
      <c r="Z32" s="949"/>
      <c r="AA32" s="950"/>
      <c r="AB32" s="951"/>
      <c r="AC32" s="2272"/>
      <c r="AD32" s="2193"/>
      <c r="AE32" s="2301"/>
      <c r="AF32" s="2328"/>
      <c r="AG32" s="2317"/>
      <c r="AH32" s="1804"/>
    </row>
    <row r="33" spans="1:34" ht="12" customHeight="1">
      <c r="A33" s="2029" t="s">
        <v>223</v>
      </c>
      <c r="B33" s="850" t="s">
        <v>66</v>
      </c>
      <c r="C33" s="20">
        <v>6.0949999999999998</v>
      </c>
      <c r="D33" s="21">
        <v>2.6139999999999999</v>
      </c>
      <c r="E33" s="447">
        <v>0.622</v>
      </c>
      <c r="F33" s="448">
        <v>0.161</v>
      </c>
      <c r="G33" s="20">
        <v>7.6790000000000003</v>
      </c>
      <c r="H33" s="449">
        <v>569.98299999999995</v>
      </c>
      <c r="I33" s="20">
        <v>1.071</v>
      </c>
      <c r="J33" s="99">
        <v>0.251</v>
      </c>
      <c r="K33" s="31"/>
      <c r="L33" s="102">
        <v>4.798</v>
      </c>
      <c r="M33" s="20">
        <v>1.7649999999999999</v>
      </c>
      <c r="N33" s="21">
        <v>0.58699999999999997</v>
      </c>
      <c r="O33" s="367">
        <v>1.0620000000000001</v>
      </c>
      <c r="P33" s="366">
        <f>SUM(C33:O33)</f>
        <v>596.68799999999999</v>
      </c>
      <c r="Q33" s="49"/>
      <c r="R33" s="102">
        <v>0.17100000000000001</v>
      </c>
      <c r="S33" s="20">
        <v>8.6999999999999994E-2</v>
      </c>
      <c r="T33" s="99">
        <v>3.2410000000000001</v>
      </c>
      <c r="U33" s="50"/>
      <c r="V33" s="112">
        <v>2.8450000000000002</v>
      </c>
      <c r="W33" s="401">
        <f>SUM(R33:V33)</f>
        <v>6.3440000000000003</v>
      </c>
      <c r="X33" s="56"/>
      <c r="Y33" s="954">
        <v>593.71100000000001</v>
      </c>
      <c r="Z33" s="949"/>
      <c r="AA33" s="949"/>
      <c r="AB33" s="949"/>
      <c r="AC33" s="2273"/>
      <c r="AD33" s="2193"/>
      <c r="AE33" s="2301"/>
      <c r="AF33" s="2324">
        <v>590.34299999999996</v>
      </c>
      <c r="AG33" s="2313">
        <v>23.698</v>
      </c>
      <c r="AH33" s="1800">
        <f>W33-V33-(IF(AND(Motpart!$Y$11="",Motpart!$Z$11=""),0,IF(AND(Motpart!$Y$11=0,Motpart!$Z$11=0),0,((T33/$T$37)*(Motpart!$Y$11+Motpart!$Z$11)))))</f>
        <v>3.4456878515438314</v>
      </c>
    </row>
    <row r="34" spans="1:34">
      <c r="A34" s="2029" t="s">
        <v>224</v>
      </c>
      <c r="B34" s="848" t="s">
        <v>67</v>
      </c>
      <c r="C34" s="20">
        <v>1430.5830000000001</v>
      </c>
      <c r="D34" s="21">
        <v>612.73099999999999</v>
      </c>
      <c r="E34" s="20">
        <v>251.40199999999999</v>
      </c>
      <c r="F34" s="20">
        <v>191.215</v>
      </c>
      <c r="G34" s="20">
        <v>954.61699999999996</v>
      </c>
      <c r="H34" s="24">
        <v>1318.15</v>
      </c>
      <c r="I34" s="23">
        <v>343.11500000000001</v>
      </c>
      <c r="J34" s="100">
        <v>146</v>
      </c>
      <c r="K34" s="31"/>
      <c r="L34" s="103">
        <v>806.99099999999999</v>
      </c>
      <c r="M34" s="23">
        <v>386.39699999999999</v>
      </c>
      <c r="N34" s="21">
        <v>17.181999999999999</v>
      </c>
      <c r="O34" s="367">
        <v>160.95500000000001</v>
      </c>
      <c r="P34" s="366">
        <f>SUM(C34:O34)</f>
        <v>6619.3379999999997</v>
      </c>
      <c r="Q34" s="49"/>
      <c r="R34" s="103">
        <v>129.31299999999999</v>
      </c>
      <c r="S34" s="23">
        <v>102.65900000000001</v>
      </c>
      <c r="T34" s="100">
        <v>820.40599999999995</v>
      </c>
      <c r="U34" s="50"/>
      <c r="V34" s="113">
        <v>340.87</v>
      </c>
      <c r="W34" s="401">
        <f>SUM(R34:V34)</f>
        <v>1393.248</v>
      </c>
      <c r="X34" s="56"/>
      <c r="Y34" s="974">
        <v>6268.2250000000004</v>
      </c>
      <c r="Z34" s="949"/>
      <c r="AA34" s="949"/>
      <c r="AB34" s="949"/>
      <c r="AC34" s="2273"/>
      <c r="AD34" s="2193"/>
      <c r="AE34" s="2301"/>
      <c r="AF34" s="2324">
        <v>5226.0870000000004</v>
      </c>
      <c r="AG34" s="2313">
        <v>4769.1030000000001</v>
      </c>
      <c r="AH34" s="1800">
        <f>W34-V34-(IF(AND(Motpart!$Y$11="",Motpart!$Z$11=""),0,IF(AND(Motpart!$Y$11=0,Motpart!$Z$11=0),0,((T34/$T$37)*(Motpart!$Y$11+Motpart!$Z$11)))))</f>
        <v>1038.8829038980775</v>
      </c>
    </row>
    <row r="35" spans="1:34">
      <c r="A35" s="2029" t="s">
        <v>225</v>
      </c>
      <c r="B35" s="848" t="s">
        <v>68</v>
      </c>
      <c r="C35" s="20">
        <v>2116.2020000000002</v>
      </c>
      <c r="D35" s="21">
        <v>913.65599999999995</v>
      </c>
      <c r="E35" s="23">
        <v>604.38499999999999</v>
      </c>
      <c r="F35" s="23">
        <v>39.99</v>
      </c>
      <c r="G35" s="23">
        <v>518.08100000000002</v>
      </c>
      <c r="H35" s="24">
        <v>7.3689999999999998</v>
      </c>
      <c r="I35" s="23">
        <v>374.22399999999999</v>
      </c>
      <c r="J35" s="100">
        <v>143.608</v>
      </c>
      <c r="K35" s="31"/>
      <c r="L35" s="103">
        <v>665.21500000000003</v>
      </c>
      <c r="M35" s="23">
        <v>299.02199999999999</v>
      </c>
      <c r="N35" s="21">
        <v>31.82</v>
      </c>
      <c r="O35" s="367">
        <v>208.14</v>
      </c>
      <c r="P35" s="366">
        <f>SUM(C35:O35)</f>
        <v>5921.7120000000004</v>
      </c>
      <c r="Q35" s="49"/>
      <c r="R35" s="103">
        <v>35.637999999999998</v>
      </c>
      <c r="S35" s="23">
        <v>4.8650000000000002</v>
      </c>
      <c r="T35" s="100">
        <v>382.495</v>
      </c>
      <c r="U35" s="50"/>
      <c r="V35" s="113">
        <v>209.005</v>
      </c>
      <c r="W35" s="401">
        <f>SUM(R35:V35)</f>
        <v>632.00299999999993</v>
      </c>
      <c r="X35" s="56"/>
      <c r="Y35" s="974">
        <v>5704.4740000000002</v>
      </c>
      <c r="Z35" s="949"/>
      <c r="AA35" s="949"/>
      <c r="AB35" s="949"/>
      <c r="AC35" s="2273"/>
      <c r="AD35" s="2193"/>
      <c r="AE35" s="2301"/>
      <c r="AF35" s="2324">
        <v>5289.7049999999999</v>
      </c>
      <c r="AG35" s="2313">
        <v>5665.3429999999998</v>
      </c>
      <c r="AH35" s="1800">
        <f>W35-V35-(IF(AND(Motpart!$Y$11="",Motpart!$Z$11=""),0,IF(AND(Motpart!$Y$11=0,Motpart!$Z$11=0),0,((T35/$T$37)*(Motpart!$Y$11+Motpart!$Z$11)))))</f>
        <v>416.70622887264966</v>
      </c>
    </row>
    <row r="36" spans="1:34">
      <c r="A36" s="2029" t="s">
        <v>226</v>
      </c>
      <c r="B36" s="848" t="s">
        <v>69</v>
      </c>
      <c r="C36" s="20">
        <v>1852.981</v>
      </c>
      <c r="D36" s="21">
        <v>795.61500000000001</v>
      </c>
      <c r="E36" s="23">
        <v>89.997</v>
      </c>
      <c r="F36" s="23">
        <v>92.847999999999999</v>
      </c>
      <c r="G36" s="23">
        <v>209.18899999999999</v>
      </c>
      <c r="H36" s="24">
        <v>16.367000000000001</v>
      </c>
      <c r="I36" s="23">
        <v>123.113</v>
      </c>
      <c r="J36" s="100">
        <v>30.94</v>
      </c>
      <c r="K36" s="31"/>
      <c r="L36" s="103">
        <v>245.86699999999999</v>
      </c>
      <c r="M36" s="23">
        <v>196.99</v>
      </c>
      <c r="N36" s="21">
        <v>16.440999999999999</v>
      </c>
      <c r="O36" s="367">
        <v>136.00800000000001</v>
      </c>
      <c r="P36" s="366">
        <f>SUM(C36:O36)</f>
        <v>3806.3559999999998</v>
      </c>
      <c r="Q36" s="49"/>
      <c r="R36" s="103">
        <v>254.744</v>
      </c>
      <c r="S36" s="23">
        <v>3.5379999999999998</v>
      </c>
      <c r="T36" s="100">
        <v>262.73599999999999</v>
      </c>
      <c r="U36" s="50"/>
      <c r="V36" s="113">
        <v>166.81299999999999</v>
      </c>
      <c r="W36" s="401">
        <f>SUM(R36:V36)</f>
        <v>687.83100000000002</v>
      </c>
      <c r="X36" s="56"/>
      <c r="Y36" s="974">
        <v>3633.9749999999999</v>
      </c>
      <c r="Z36" s="956">
        <f>(P36-W36)*1000/invanare</f>
        <v>295.5469669504659</v>
      </c>
      <c r="AA36" s="956">
        <f>Y36*1000/inv7_15</f>
        <v>3216.1461559974373</v>
      </c>
      <c r="AB36" s="956">
        <v>3056.47</v>
      </c>
      <c r="AC36" s="2274">
        <f>IF(ISERROR((AA36-AB36)/AB36)," ",((AA36-AB36)/AB36))</f>
        <v>5.2242016442967706E-2</v>
      </c>
      <c r="AD36" s="2193"/>
      <c r="AE36" s="2301"/>
      <c r="AF36" s="2324">
        <v>3118.5239999999999</v>
      </c>
      <c r="AG36" s="2313">
        <v>3530.328</v>
      </c>
      <c r="AH36" s="1800">
        <f>W36-V36-(IF(AND(Motpart!$Y$11="",Motpart!$Z$11=""),0,IF(AND(Motpart!$Y$11=0,Motpart!$Z$11=0),0,((T36/$T$37)*(Motpart!$Y$11+Motpart!$Z$11)))))</f>
        <v>516.69617937772909</v>
      </c>
    </row>
    <row r="37" spans="1:34">
      <c r="A37" s="2029" t="s">
        <v>227</v>
      </c>
      <c r="B37" s="848" t="s">
        <v>70</v>
      </c>
      <c r="C37" s="359">
        <f t="shared" ref="C37:M37" si="5">SUM(C33:C36)</f>
        <v>5405.8609999999999</v>
      </c>
      <c r="D37" s="26">
        <f t="shared" si="5"/>
        <v>2324.616</v>
      </c>
      <c r="E37" s="359">
        <f t="shared" si="5"/>
        <v>946.40599999999995</v>
      </c>
      <c r="F37" s="359">
        <f t="shared" si="5"/>
        <v>324.214</v>
      </c>
      <c r="G37" s="359">
        <f t="shared" si="5"/>
        <v>1689.566</v>
      </c>
      <c r="H37" s="26">
        <f t="shared" si="5"/>
        <v>1911.8689999999999</v>
      </c>
      <c r="I37" s="359">
        <f t="shared" si="5"/>
        <v>841.52300000000014</v>
      </c>
      <c r="J37" s="104">
        <f t="shared" si="5"/>
        <v>320.79900000000004</v>
      </c>
      <c r="K37" s="146"/>
      <c r="L37" s="368">
        <f>SUM(L33:L36)</f>
        <v>1722.8709999999999</v>
      </c>
      <c r="M37" s="359">
        <f t="shared" si="5"/>
        <v>884.17399999999998</v>
      </c>
      <c r="N37" s="26">
        <f t="shared" ref="N37:W37" si="6">SUM(N33:N36)</f>
        <v>66.03</v>
      </c>
      <c r="O37" s="26">
        <f t="shared" si="6"/>
        <v>506.16500000000008</v>
      </c>
      <c r="P37" s="104">
        <f t="shared" si="6"/>
        <v>16944.094000000001</v>
      </c>
      <c r="Q37" s="49"/>
      <c r="R37" s="368">
        <f t="shared" si="6"/>
        <v>419.86599999999999</v>
      </c>
      <c r="S37" s="359">
        <f t="shared" si="6"/>
        <v>111.149</v>
      </c>
      <c r="T37" s="104">
        <f t="shared" si="6"/>
        <v>1468.8779999999997</v>
      </c>
      <c r="U37" s="49"/>
      <c r="V37" s="116">
        <f t="shared" si="6"/>
        <v>719.53300000000002</v>
      </c>
      <c r="W37" s="117">
        <f t="shared" si="6"/>
        <v>2719.4259999999999</v>
      </c>
      <c r="X37" s="56"/>
      <c r="Y37" s="954">
        <v>16200.397000000001</v>
      </c>
      <c r="Z37" s="957">
        <f>(P37-W37)*1000/invanare</f>
        <v>1348.0916405279261</v>
      </c>
      <c r="AA37" s="958">
        <f>Y37*1000/invanare</f>
        <v>1535.33423549384</v>
      </c>
      <c r="AB37" s="958">
        <v>1468.748</v>
      </c>
      <c r="AC37" s="2275">
        <f>IF(ISERROR((AA37-AB37)/AB37)," ",((AA37-AB37)/AB37))</f>
        <v>4.5335371005672802E-2</v>
      </c>
      <c r="AD37" s="2193"/>
      <c r="AE37" s="2301"/>
      <c r="AF37" s="2324">
        <v>14224.665000000001</v>
      </c>
      <c r="AG37" s="2313">
        <v>13988.477000000001</v>
      </c>
      <c r="AH37" s="1800">
        <f>W37-V37-SUM(Motpart!Y11:Z11)</f>
        <v>1975.731</v>
      </c>
    </row>
    <row r="38" spans="1:34" ht="9" customHeight="1">
      <c r="A38" s="2044"/>
      <c r="B38" s="852" t="s">
        <v>71</v>
      </c>
      <c r="C38" s="905"/>
      <c r="D38" s="906"/>
      <c r="E38" s="907"/>
      <c r="F38" s="907"/>
      <c r="G38" s="907"/>
      <c r="H38" s="906"/>
      <c r="I38" s="907"/>
      <c r="J38" s="908"/>
      <c r="K38" s="31"/>
      <c r="L38" s="923"/>
      <c r="M38" s="907"/>
      <c r="N38" s="906"/>
      <c r="O38" s="906"/>
      <c r="P38" s="908"/>
      <c r="Q38" s="50"/>
      <c r="R38" s="923"/>
      <c r="S38" s="907"/>
      <c r="T38" s="908"/>
      <c r="U38" s="50"/>
      <c r="V38" s="940"/>
      <c r="W38" s="941"/>
      <c r="X38" s="31"/>
      <c r="Y38" s="1471"/>
      <c r="Z38" s="949"/>
      <c r="AA38" s="950"/>
      <c r="AB38" s="951"/>
      <c r="AC38" s="2272"/>
      <c r="AD38" s="2193"/>
      <c r="AE38" s="2301"/>
      <c r="AF38" s="2324">
        <f t="shared" ref="AF38" si="7">P38-W38</f>
        <v>0</v>
      </c>
      <c r="AG38" s="2313">
        <f t="shared" ref="AG38:AG62" si="8">P38-F38-H38-V38</f>
        <v>0</v>
      </c>
      <c r="AH38" s="1800"/>
    </row>
    <row r="39" spans="1:34" ht="11.25" customHeight="1">
      <c r="A39" s="2029" t="s">
        <v>228</v>
      </c>
      <c r="B39" s="850" t="s">
        <v>72</v>
      </c>
      <c r="C39" s="20">
        <v>445.30099999999999</v>
      </c>
      <c r="D39" s="21">
        <v>192.59899999999999</v>
      </c>
      <c r="E39" s="20">
        <v>80.472999999999999</v>
      </c>
      <c r="F39" s="20">
        <v>80.438000000000002</v>
      </c>
      <c r="G39" s="20">
        <v>178.12</v>
      </c>
      <c r="H39" s="21">
        <v>1711.829</v>
      </c>
      <c r="I39" s="20">
        <v>85.123000000000005</v>
      </c>
      <c r="J39" s="99">
        <v>34.826000000000001</v>
      </c>
      <c r="K39" s="31"/>
      <c r="L39" s="102">
        <v>235.49799999999999</v>
      </c>
      <c r="M39" s="20">
        <v>125.098</v>
      </c>
      <c r="N39" s="21">
        <v>11.214</v>
      </c>
      <c r="O39" s="367">
        <v>43.957000000000001</v>
      </c>
      <c r="P39" s="366">
        <f>SUM(C39:O39)</f>
        <v>3224.4759999999997</v>
      </c>
      <c r="Q39" s="49"/>
      <c r="R39" s="102">
        <v>19.126000000000001</v>
      </c>
      <c r="S39" s="20">
        <v>18.940000000000001</v>
      </c>
      <c r="T39" s="99">
        <v>161.31700000000001</v>
      </c>
      <c r="U39" s="50"/>
      <c r="V39" s="112">
        <v>93.483000000000004</v>
      </c>
      <c r="W39" s="401">
        <f>SUM(R39:V39)</f>
        <v>292.86599999999999</v>
      </c>
      <c r="X39" s="56"/>
      <c r="Y39" s="974">
        <v>3128.18</v>
      </c>
      <c r="Z39" s="1613"/>
      <c r="AA39" s="1614"/>
      <c r="AB39" s="1614"/>
      <c r="AC39" s="2276"/>
      <c r="AD39" s="2193"/>
      <c r="AE39" s="2301"/>
      <c r="AF39" s="2324">
        <v>2931.6109999999999</v>
      </c>
      <c r="AG39" s="2313">
        <v>1338.7260000000001</v>
      </c>
      <c r="AH39" s="1800">
        <f>W39-V39-(IF(AND(Motpart!$Y$12="",Motpart!$Z$12=""),0,IF(AND(Motpart!$Y$12=0,Motpart!$Z$12=0),0,((T39/$T$42)*(Motpart!$Y$12+Motpart!$Z$12)))))</f>
        <v>196.43191676914105</v>
      </c>
    </row>
    <row r="40" spans="1:34">
      <c r="A40" s="2029" t="s">
        <v>229</v>
      </c>
      <c r="B40" s="848" t="s">
        <v>73</v>
      </c>
      <c r="C40" s="20">
        <v>2299.239</v>
      </c>
      <c r="D40" s="21">
        <v>990.02599999999995</v>
      </c>
      <c r="E40" s="23">
        <v>1608.365</v>
      </c>
      <c r="F40" s="23">
        <v>637.18200000000002</v>
      </c>
      <c r="G40" s="23">
        <v>1046.223</v>
      </c>
      <c r="H40" s="24">
        <v>409.50799999999998</v>
      </c>
      <c r="I40" s="23">
        <v>1565.2919999999999</v>
      </c>
      <c r="J40" s="100">
        <v>1436.4079999999999</v>
      </c>
      <c r="K40" s="31"/>
      <c r="L40" s="103">
        <v>6060.2640000000001</v>
      </c>
      <c r="M40" s="23">
        <v>1209.4090000000001</v>
      </c>
      <c r="N40" s="21">
        <v>46.043999999999997</v>
      </c>
      <c r="O40" s="367">
        <v>571.36800000000005</v>
      </c>
      <c r="P40" s="366">
        <f>SUM(C40:O40)</f>
        <v>17879.327999999998</v>
      </c>
      <c r="Q40" s="49"/>
      <c r="R40" s="103">
        <v>1034.83</v>
      </c>
      <c r="S40" s="23">
        <v>465.10199999999998</v>
      </c>
      <c r="T40" s="100">
        <v>1288.847</v>
      </c>
      <c r="U40" s="50"/>
      <c r="V40" s="113">
        <v>1443.9749999999999</v>
      </c>
      <c r="W40" s="401">
        <f>SUM(R40:V40)</f>
        <v>4232.753999999999</v>
      </c>
      <c r="X40" s="56"/>
      <c r="Y40" s="974">
        <v>16410.857</v>
      </c>
      <c r="Z40" s="1613"/>
      <c r="AA40" s="1614"/>
      <c r="AB40" s="1614"/>
      <c r="AC40" s="2276"/>
      <c r="AD40" s="2193"/>
      <c r="AE40" s="2301"/>
      <c r="AF40" s="2324">
        <v>13646.578</v>
      </c>
      <c r="AG40" s="2313">
        <v>15388.666999999999</v>
      </c>
      <c r="AH40" s="1800">
        <f>W40-V40-(IF(AND(Motpart!$Y$12="",Motpart!$Z$12=""),0,IF(AND(Motpart!$Y$12=0,Motpart!$Z$12=0),0,((T40/$T$42)*(Motpart!$Y$12+Motpart!$Z$12)))))</f>
        <v>2765.2012321959683</v>
      </c>
    </row>
    <row r="41" spans="1:34">
      <c r="A41" s="2029" t="s">
        <v>230</v>
      </c>
      <c r="B41" s="848" t="s">
        <v>74</v>
      </c>
      <c r="C41" s="20">
        <v>1359.8820000000001</v>
      </c>
      <c r="D41" s="21">
        <v>584.726</v>
      </c>
      <c r="E41" s="23">
        <v>150.45699999999999</v>
      </c>
      <c r="F41" s="23">
        <v>145.94</v>
      </c>
      <c r="G41" s="23">
        <v>191.21</v>
      </c>
      <c r="H41" s="24">
        <v>63.872</v>
      </c>
      <c r="I41" s="23">
        <v>116.854</v>
      </c>
      <c r="J41" s="100">
        <v>26.044</v>
      </c>
      <c r="K41" s="31"/>
      <c r="L41" s="103">
        <v>266.93900000000002</v>
      </c>
      <c r="M41" s="23">
        <v>213.14699999999999</v>
      </c>
      <c r="N41" s="21">
        <v>12.281000000000001</v>
      </c>
      <c r="O41" s="367">
        <v>106.337</v>
      </c>
      <c r="P41" s="366">
        <f>SUM(C41:O41)</f>
        <v>3237.6889999999994</v>
      </c>
      <c r="Q41" s="49"/>
      <c r="R41" s="103">
        <v>28.106000000000002</v>
      </c>
      <c r="S41" s="23">
        <v>6.3330000000000002</v>
      </c>
      <c r="T41" s="100">
        <v>105.509</v>
      </c>
      <c r="U41" s="50"/>
      <c r="V41" s="113">
        <v>166.29599999999999</v>
      </c>
      <c r="W41" s="401">
        <f>SUM(R41:V41)</f>
        <v>306.24400000000003</v>
      </c>
      <c r="X41" s="56"/>
      <c r="Y41" s="974">
        <v>3070.2469999999998</v>
      </c>
      <c r="Z41" s="1613"/>
      <c r="AA41" s="1614"/>
      <c r="AB41" s="1614"/>
      <c r="AC41" s="2276"/>
      <c r="AD41" s="2193"/>
      <c r="AE41" s="2301"/>
      <c r="AF41" s="2324">
        <v>2931.4470000000001</v>
      </c>
      <c r="AG41" s="2313">
        <v>2861.5819999999999</v>
      </c>
      <c r="AH41" s="1800">
        <f>W41-V41-(IF(AND(Motpart!$Y$12="",Motpart!$Z$12=""),0,IF(AND(Motpart!$Y$12=0,Motpart!$Z$12=0),0,((T41/$T$42)*(Motpart!$Y$12+Motpart!$Z$12)))))</f>
        <v>138.01785103488976</v>
      </c>
    </row>
    <row r="42" spans="1:34">
      <c r="A42" s="2029" t="s">
        <v>231</v>
      </c>
      <c r="B42" s="848" t="s">
        <v>75</v>
      </c>
      <c r="C42" s="359">
        <f t="shared" ref="C42:W42" si="9">SUM(C39:C41)</f>
        <v>4104.4220000000005</v>
      </c>
      <c r="D42" s="26">
        <f t="shared" si="9"/>
        <v>1767.3510000000001</v>
      </c>
      <c r="E42" s="359">
        <f t="shared" si="9"/>
        <v>1839.2950000000001</v>
      </c>
      <c r="F42" s="359">
        <f t="shared" si="9"/>
        <v>863.56</v>
      </c>
      <c r="G42" s="359">
        <f t="shared" si="9"/>
        <v>1415.5529999999999</v>
      </c>
      <c r="H42" s="26">
        <f t="shared" si="9"/>
        <v>2185.2089999999998</v>
      </c>
      <c r="I42" s="359">
        <f t="shared" si="9"/>
        <v>1767.269</v>
      </c>
      <c r="J42" s="104">
        <f t="shared" si="9"/>
        <v>1497.278</v>
      </c>
      <c r="K42" s="146"/>
      <c r="L42" s="368">
        <f>SUM(L39:L41)</f>
        <v>6562.701</v>
      </c>
      <c r="M42" s="359">
        <f t="shared" si="9"/>
        <v>1547.654</v>
      </c>
      <c r="N42" s="26">
        <f t="shared" si="9"/>
        <v>69.539000000000001</v>
      </c>
      <c r="O42" s="26">
        <f t="shared" si="9"/>
        <v>721.66200000000003</v>
      </c>
      <c r="P42" s="366">
        <f>SUM(C42:O42)</f>
        <v>24341.492999999999</v>
      </c>
      <c r="Q42" s="49"/>
      <c r="R42" s="368">
        <f t="shared" si="9"/>
        <v>1082.0619999999999</v>
      </c>
      <c r="S42" s="359">
        <f t="shared" si="9"/>
        <v>490.375</v>
      </c>
      <c r="T42" s="104">
        <f t="shared" si="9"/>
        <v>1555.673</v>
      </c>
      <c r="U42" s="49"/>
      <c r="V42" s="116">
        <f t="shared" si="9"/>
        <v>1703.7539999999999</v>
      </c>
      <c r="W42" s="117">
        <f t="shared" si="9"/>
        <v>4831.8639999999987</v>
      </c>
      <c r="X42" s="56"/>
      <c r="Y42" s="954">
        <v>22609.297999999999</v>
      </c>
      <c r="Z42" s="957">
        <f>(P42-W42)*1000/invanare</f>
        <v>1848.9547710147751</v>
      </c>
      <c r="AA42" s="958">
        <f>Y42*1000/invanare</f>
        <v>2142.7147285268629</v>
      </c>
      <c r="AB42" s="958">
        <v>1991.123</v>
      </c>
      <c r="AC42" s="2275">
        <f>IF(ISERROR((AA42-AB42)/AB42)," ",((AA42-AB42)/AB42))</f>
        <v>7.6133784063999496E-2</v>
      </c>
      <c r="AD42" s="2193"/>
      <c r="AE42" s="2301"/>
      <c r="AF42" s="2324">
        <v>19509.646000000001</v>
      </c>
      <c r="AG42" s="2313">
        <v>19588.988000000001</v>
      </c>
      <c r="AH42" s="1800">
        <f>W42-V42-SUM(Motpart!Y12:Z12)</f>
        <v>3099.6509999999989</v>
      </c>
    </row>
    <row r="43" spans="1:34" ht="12.75" customHeight="1" thickBot="1">
      <c r="A43" s="2040" t="s">
        <v>232</v>
      </c>
      <c r="B43" s="853" t="s">
        <v>76</v>
      </c>
      <c r="C43" s="373">
        <f>SUM(C37,C42)</f>
        <v>9510.2829999999994</v>
      </c>
      <c r="D43" s="374">
        <f t="shared" ref="D43:P43" si="10">SUM(D37,D42)</f>
        <v>4091.9670000000001</v>
      </c>
      <c r="E43" s="373">
        <f t="shared" si="10"/>
        <v>2785.701</v>
      </c>
      <c r="F43" s="373">
        <f t="shared" si="10"/>
        <v>1187.7739999999999</v>
      </c>
      <c r="G43" s="373">
        <f t="shared" si="10"/>
        <v>3105.1189999999997</v>
      </c>
      <c r="H43" s="374">
        <f t="shared" si="10"/>
        <v>4097.0779999999995</v>
      </c>
      <c r="I43" s="373">
        <f t="shared" si="10"/>
        <v>2608.7920000000004</v>
      </c>
      <c r="J43" s="375">
        <f t="shared" si="10"/>
        <v>1818.077</v>
      </c>
      <c r="K43" s="146"/>
      <c r="L43" s="376">
        <f>SUM(L37,L42)</f>
        <v>8285.5720000000001</v>
      </c>
      <c r="M43" s="373">
        <f t="shared" si="10"/>
        <v>2431.828</v>
      </c>
      <c r="N43" s="374">
        <f t="shared" si="10"/>
        <v>135.56900000000002</v>
      </c>
      <c r="O43" s="374">
        <f t="shared" si="10"/>
        <v>1227.8270000000002</v>
      </c>
      <c r="P43" s="375">
        <f t="shared" si="10"/>
        <v>41285.587</v>
      </c>
      <c r="Q43" s="49"/>
      <c r="R43" s="376">
        <f>SUM(R37,R42)</f>
        <v>1501.9279999999999</v>
      </c>
      <c r="S43" s="373">
        <f>SUM(S37,S42)</f>
        <v>601.524</v>
      </c>
      <c r="T43" s="375">
        <f>SUM(T37,T42)</f>
        <v>3024.5509999999995</v>
      </c>
      <c r="U43" s="49"/>
      <c r="V43" s="403">
        <f>SUM(V37,V42)</f>
        <v>2423.2869999999998</v>
      </c>
      <c r="W43" s="402">
        <f>SUM(W37,W42)</f>
        <v>7551.2899999999991</v>
      </c>
      <c r="X43" s="56"/>
      <c r="Y43" s="981">
        <v>38809.68</v>
      </c>
      <c r="Z43" s="959"/>
      <c r="AA43" s="960"/>
      <c r="AB43" s="961"/>
      <c r="AC43" s="2277"/>
      <c r="AD43" s="2193"/>
      <c r="AE43" s="2303"/>
      <c r="AF43" s="2325">
        <v>33734.296000000002</v>
      </c>
      <c r="AG43" s="2314">
        <v>33577.449999999997</v>
      </c>
      <c r="AH43" s="1802">
        <f>AH37+AH42</f>
        <v>5075.3819999999987</v>
      </c>
    </row>
    <row r="44" spans="1:34" ht="48" customHeight="1" thickBot="1">
      <c r="A44" s="2044"/>
      <c r="B44" s="854" t="s">
        <v>77</v>
      </c>
      <c r="C44" s="963"/>
      <c r="D44" s="964"/>
      <c r="E44" s="965"/>
      <c r="F44" s="965"/>
      <c r="G44" s="965"/>
      <c r="H44" s="964"/>
      <c r="I44" s="965"/>
      <c r="J44" s="966"/>
      <c r="K44" s="32"/>
      <c r="L44" s="477"/>
      <c r="M44" s="478"/>
      <c r="N44" s="471"/>
      <c r="O44" s="471"/>
      <c r="P44" s="473"/>
      <c r="Q44" s="201"/>
      <c r="R44" s="477"/>
      <c r="S44" s="472"/>
      <c r="T44" s="473"/>
      <c r="U44" s="201"/>
      <c r="V44" s="481"/>
      <c r="W44" s="482"/>
      <c r="X44" s="32"/>
      <c r="Y44" s="1611" t="s">
        <v>927</v>
      </c>
      <c r="Z44" s="2556"/>
      <c r="AA44" s="2554"/>
      <c r="AB44" s="2554"/>
      <c r="AC44" s="2555"/>
      <c r="AD44" s="2193"/>
      <c r="AE44" s="2301"/>
      <c r="AF44" s="2329"/>
      <c r="AG44" s="2316"/>
      <c r="AH44" s="1803"/>
    </row>
    <row r="45" spans="1:34" ht="39.75" customHeight="1">
      <c r="A45" s="2045" t="s">
        <v>378</v>
      </c>
      <c r="B45" s="855" t="s">
        <v>525</v>
      </c>
      <c r="C45" s="967"/>
      <c r="D45" s="968"/>
      <c r="E45" s="969"/>
      <c r="F45" s="969"/>
      <c r="G45" s="969"/>
      <c r="H45" s="968"/>
      <c r="I45" s="969"/>
      <c r="J45" s="970"/>
      <c r="K45" s="32"/>
      <c r="L45" s="479"/>
      <c r="M45" s="480"/>
      <c r="N45" s="474"/>
      <c r="O45" s="474"/>
      <c r="P45" s="476"/>
      <c r="Q45" s="201"/>
      <c r="R45" s="479"/>
      <c r="S45" s="475"/>
      <c r="T45" s="476"/>
      <c r="U45" s="201"/>
      <c r="V45" s="483"/>
      <c r="W45" s="484"/>
      <c r="X45" s="32"/>
      <c r="Y45" s="1623"/>
      <c r="Z45" s="2557" t="s">
        <v>930</v>
      </c>
      <c r="AA45" s="2558"/>
      <c r="AB45" s="1632"/>
      <c r="AC45" s="2278"/>
      <c r="AD45" s="2193"/>
      <c r="AE45" s="2301"/>
      <c r="AF45" s="2330"/>
      <c r="AG45" s="2317"/>
      <c r="AH45" s="1804"/>
    </row>
    <row r="46" spans="1:34">
      <c r="A46" s="2029" t="s">
        <v>233</v>
      </c>
      <c r="B46" s="850" t="s">
        <v>78</v>
      </c>
      <c r="C46" s="20">
        <v>268.05099999999999</v>
      </c>
      <c r="D46" s="21">
        <v>113.60899999999999</v>
      </c>
      <c r="E46" s="20">
        <v>14.38</v>
      </c>
      <c r="F46" s="20">
        <v>18.672999999999998</v>
      </c>
      <c r="G46" s="20">
        <v>26.672999999999998</v>
      </c>
      <c r="H46" s="21">
        <v>0.161</v>
      </c>
      <c r="I46" s="20">
        <v>40.545000000000002</v>
      </c>
      <c r="J46" s="99">
        <v>3.125</v>
      </c>
      <c r="K46" s="31"/>
      <c r="L46" s="102">
        <v>63.009</v>
      </c>
      <c r="M46" s="20">
        <v>72.552999999999997</v>
      </c>
      <c r="N46" s="21">
        <v>1.9970000000000001</v>
      </c>
      <c r="O46" s="367">
        <v>19.655000000000001</v>
      </c>
      <c r="P46" s="366">
        <f>SUM(C46:O46)</f>
        <v>642.43099999999993</v>
      </c>
      <c r="Q46" s="49"/>
      <c r="R46" s="102">
        <v>2.5790000000000002</v>
      </c>
      <c r="S46" s="20">
        <v>2.742</v>
      </c>
      <c r="T46" s="99">
        <v>24.158999999999999</v>
      </c>
      <c r="U46" s="50"/>
      <c r="V46" s="112">
        <v>63.625999999999998</v>
      </c>
      <c r="W46" s="401">
        <f t="shared" ref="W46:W51" si="11">SUM(R46:V46)</f>
        <v>93.105999999999995</v>
      </c>
      <c r="X46" s="56"/>
      <c r="Y46" s="954">
        <v>577.36900000000003</v>
      </c>
      <c r="Z46" s="1591"/>
      <c r="AA46" s="1605"/>
      <c r="AB46" s="1606"/>
      <c r="AC46" s="2270"/>
      <c r="AD46" s="2193"/>
      <c r="AE46" s="2301"/>
      <c r="AF46" s="2324">
        <v>549.32600000000002</v>
      </c>
      <c r="AG46" s="2313">
        <v>559.971</v>
      </c>
      <c r="AH46" s="1800">
        <f>W46-V46-(IF(AND(Motpart!$Y$16="",Motpart!$Z$16=""),0,IF(AND(Motpart!$Y$16=0,Motpart!$Z$16=0),0,((T46/($T$46+$T$49))*(Motpart!$Y$16+Motpart!$Z$16)))))</f>
        <v>27.279408270286506</v>
      </c>
    </row>
    <row r="47" spans="1:34">
      <c r="A47" s="2029" t="s">
        <v>234</v>
      </c>
      <c r="B47" s="848" t="s">
        <v>79</v>
      </c>
      <c r="C47" s="20">
        <v>36224.803</v>
      </c>
      <c r="D47" s="21">
        <v>15664.08</v>
      </c>
      <c r="E47" s="23">
        <v>2125.971</v>
      </c>
      <c r="F47" s="23">
        <v>18866.375</v>
      </c>
      <c r="G47" s="23">
        <v>2304.9760000000001</v>
      </c>
      <c r="H47" s="24">
        <v>52.158000000000001</v>
      </c>
      <c r="I47" s="23">
        <v>2651.0549999999998</v>
      </c>
      <c r="J47" s="100">
        <v>617.25199999999995</v>
      </c>
      <c r="K47" s="31"/>
      <c r="L47" s="103">
        <v>6250.0169999999998</v>
      </c>
      <c r="M47" s="23">
        <v>14855.567999999999</v>
      </c>
      <c r="N47" s="21">
        <v>296.60500000000002</v>
      </c>
      <c r="O47" s="367">
        <v>2695.9470000000001</v>
      </c>
      <c r="P47" s="366">
        <f>SUM(C47:O47)</f>
        <v>102604.80699999997</v>
      </c>
      <c r="Q47" s="49"/>
      <c r="R47" s="1855">
        <v>5736.4650000000001</v>
      </c>
      <c r="S47" s="1856">
        <v>16.047000000000001</v>
      </c>
      <c r="T47" s="219">
        <v>6889.1440000000002</v>
      </c>
      <c r="U47" s="50"/>
      <c r="V47" s="113">
        <v>10481.428</v>
      </c>
      <c r="W47" s="401">
        <f t="shared" si="11"/>
        <v>23123.083999999999</v>
      </c>
      <c r="X47" s="56"/>
      <c r="Y47" s="954">
        <v>91666.346999999994</v>
      </c>
      <c r="Z47" s="1608"/>
      <c r="AA47" s="1595"/>
      <c r="AB47" s="1595"/>
      <c r="AC47" s="2268"/>
      <c r="AD47" s="2193"/>
      <c r="AE47" s="2301"/>
      <c r="AF47" s="2324">
        <v>79481.728000000003</v>
      </c>
      <c r="AG47" s="2313">
        <v>73204.851999999999</v>
      </c>
      <c r="AH47" s="1800">
        <f>W47-V47-SUM(Motpart!Y13:Z13)</f>
        <v>12184.615999999998</v>
      </c>
    </row>
    <row r="48" spans="1:34">
      <c r="A48" s="2029" t="s">
        <v>235</v>
      </c>
      <c r="B48" s="848" t="s">
        <v>80</v>
      </c>
      <c r="C48" s="23">
        <v>245.20699999999999</v>
      </c>
      <c r="D48" s="21">
        <v>103.018</v>
      </c>
      <c r="E48" s="23">
        <v>5.8810000000000002</v>
      </c>
      <c r="F48" s="23">
        <v>561.87699999999995</v>
      </c>
      <c r="G48" s="23">
        <v>27.251999999999999</v>
      </c>
      <c r="H48" s="24">
        <v>0.27400000000000002</v>
      </c>
      <c r="I48" s="27">
        <v>5.1369999999999996</v>
      </c>
      <c r="J48" s="100">
        <v>0.71099999999999997</v>
      </c>
      <c r="K48" s="31"/>
      <c r="L48" s="103">
        <v>16.411999999999999</v>
      </c>
      <c r="M48" s="23">
        <v>88.68</v>
      </c>
      <c r="N48" s="21">
        <v>2.532</v>
      </c>
      <c r="O48" s="367">
        <v>15.303000000000001</v>
      </c>
      <c r="P48" s="366">
        <f>SUM(C48:O48)</f>
        <v>1072.2839999999999</v>
      </c>
      <c r="Q48" s="49"/>
      <c r="R48" s="1855">
        <v>52.73</v>
      </c>
      <c r="S48" s="1856">
        <v>0.221</v>
      </c>
      <c r="T48" s="219">
        <v>53.634999999999998</v>
      </c>
      <c r="U48" s="50"/>
      <c r="V48" s="113">
        <v>74.86</v>
      </c>
      <c r="W48" s="401">
        <f t="shared" si="11"/>
        <v>181.44599999999997</v>
      </c>
      <c r="X48" s="56"/>
      <c r="Y48" s="974">
        <v>994.51199999999994</v>
      </c>
      <c r="Z48" s="1594"/>
      <c r="AA48" s="1595"/>
      <c r="AB48" s="1595"/>
      <c r="AC48" s="2268"/>
      <c r="AD48" s="2193"/>
      <c r="AE48" s="2304">
        <f>(SUM(I51:L51))*1000/invanare</f>
        <v>1188.7943818000251</v>
      </c>
      <c r="AF48" s="2324">
        <v>890.84</v>
      </c>
      <c r="AG48" s="2313">
        <v>435.274</v>
      </c>
      <c r="AH48" s="1800">
        <f>W48-V48-SUM(Motpart!Y14:Z14)</f>
        <v>103.67299999999997</v>
      </c>
    </row>
    <row r="49" spans="1:34">
      <c r="A49" s="2029" t="s">
        <v>236</v>
      </c>
      <c r="B49" s="850" t="s">
        <v>81</v>
      </c>
      <c r="C49" s="20">
        <v>131.626</v>
      </c>
      <c r="D49" s="21">
        <v>56.93</v>
      </c>
      <c r="E49" s="20">
        <v>12.214</v>
      </c>
      <c r="F49" s="20">
        <v>72.388999999999996</v>
      </c>
      <c r="G49" s="20">
        <v>9.68</v>
      </c>
      <c r="H49" s="21">
        <v>1.5960000000000001</v>
      </c>
      <c r="I49" s="20">
        <v>8.3279999999999994</v>
      </c>
      <c r="J49" s="99">
        <v>0.46800000000000003</v>
      </c>
      <c r="K49" s="31"/>
      <c r="L49" s="102">
        <v>26.556000000000001</v>
      </c>
      <c r="M49" s="20">
        <v>85.450999999999993</v>
      </c>
      <c r="N49" s="21">
        <v>4.1260000000000003</v>
      </c>
      <c r="O49" s="367">
        <v>10.695</v>
      </c>
      <c r="P49" s="366">
        <f>SUM(C49:O49)</f>
        <v>420.05899999999991</v>
      </c>
      <c r="Q49" s="49"/>
      <c r="R49" s="1857">
        <v>52.427</v>
      </c>
      <c r="S49" s="1858">
        <v>1E-3</v>
      </c>
      <c r="T49" s="222">
        <v>12.454000000000001</v>
      </c>
      <c r="U49" s="50"/>
      <c r="V49" s="112">
        <v>75.777000000000001</v>
      </c>
      <c r="W49" s="401">
        <f t="shared" si="11"/>
        <v>140.65899999999999</v>
      </c>
      <c r="X49" s="56"/>
      <c r="Y49" s="974">
        <v>342.38299999999998</v>
      </c>
      <c r="Z49" s="1594"/>
      <c r="AA49" s="1595"/>
      <c r="AB49" s="1595"/>
      <c r="AC49" s="2268"/>
      <c r="AD49" s="2193"/>
      <c r="AE49" s="2304">
        <f>(R51)*1000/invanare</f>
        <v>894.36401143435842</v>
      </c>
      <c r="AF49" s="2324">
        <v>279.399</v>
      </c>
      <c r="AG49" s="2313">
        <v>270.29700000000003</v>
      </c>
      <c r="AH49" s="1800">
        <f>W49-V49-(IF(AND(Motpart!$Y$16="",Motpart!$Z$16=""),0,IF(AND(Motpart!$Y$16=0,Motpart!$Z$16=0),0,((T49/($T$49+$T$46))*(Motpart!$Y$16+Motpart!$Z$16)))))</f>
        <v>63.747591729713477</v>
      </c>
    </row>
    <row r="50" spans="1:34">
      <c r="A50" s="2029" t="s">
        <v>237</v>
      </c>
      <c r="B50" s="848" t="s">
        <v>82</v>
      </c>
      <c r="C50" s="20">
        <v>9483.2289999999994</v>
      </c>
      <c r="D50" s="21">
        <v>4113.902</v>
      </c>
      <c r="E50" s="23">
        <v>403.988</v>
      </c>
      <c r="F50" s="23">
        <v>2864.5169999999998</v>
      </c>
      <c r="G50" s="23">
        <v>472.82299999999998</v>
      </c>
      <c r="H50" s="24">
        <v>2.9249999999999998</v>
      </c>
      <c r="I50" s="27">
        <v>698.43299999999999</v>
      </c>
      <c r="J50" s="100">
        <v>96.19</v>
      </c>
      <c r="K50" s="31"/>
      <c r="L50" s="103">
        <v>2066.5720000000001</v>
      </c>
      <c r="M50" s="23">
        <v>4510.674</v>
      </c>
      <c r="N50" s="21">
        <v>85.004999999999995</v>
      </c>
      <c r="O50" s="367">
        <v>710.41800000000001</v>
      </c>
      <c r="P50" s="366">
        <f>SUM(C50:O50)</f>
        <v>25508.675999999999</v>
      </c>
      <c r="Q50" s="49"/>
      <c r="R50" s="1855">
        <v>3592.866</v>
      </c>
      <c r="S50" s="1856">
        <v>1.2789999999999999</v>
      </c>
      <c r="T50" s="219">
        <v>1063.0229999999999</v>
      </c>
      <c r="U50" s="50"/>
      <c r="V50" s="113">
        <v>3143.8440000000001</v>
      </c>
      <c r="W50" s="401">
        <f t="shared" si="11"/>
        <v>7801.0119999999997</v>
      </c>
      <c r="X50" s="56"/>
      <c r="Y50" s="974">
        <v>22199.633999999998</v>
      </c>
      <c r="Z50" s="1594"/>
      <c r="AA50" s="1595"/>
      <c r="AB50" s="1595"/>
      <c r="AC50" s="2268"/>
      <c r="AD50" s="2193"/>
      <c r="AE50" s="2301"/>
      <c r="AF50" s="2324">
        <v>17707.663</v>
      </c>
      <c r="AG50" s="2313">
        <v>19497.388999999999</v>
      </c>
      <c r="AH50" s="1800">
        <f>W50-V50-SUM(Motpart!Y15:Z15)</f>
        <v>4491.9719999999998</v>
      </c>
    </row>
    <row r="51" spans="1:34" ht="13.5" thickBot="1">
      <c r="A51" s="2029" t="s">
        <v>238</v>
      </c>
      <c r="B51" s="856" t="s">
        <v>1196</v>
      </c>
      <c r="C51" s="359">
        <f t="shared" ref="C51:M51" si="12">SUM(C46:C50)</f>
        <v>46352.915999999997</v>
      </c>
      <c r="D51" s="26">
        <f t="shared" si="12"/>
        <v>20051.539000000001</v>
      </c>
      <c r="E51" s="359">
        <f t="shared" si="12"/>
        <v>2562.4339999999997</v>
      </c>
      <c r="F51" s="359">
        <f t="shared" si="12"/>
        <v>22383.830999999998</v>
      </c>
      <c r="G51" s="359">
        <f t="shared" si="12"/>
        <v>2841.4039999999995</v>
      </c>
      <c r="H51" s="26">
        <f t="shared" si="12"/>
        <v>57.114000000000004</v>
      </c>
      <c r="I51" s="359">
        <f t="shared" si="12"/>
        <v>3403.498</v>
      </c>
      <c r="J51" s="104">
        <f t="shared" si="12"/>
        <v>717.74599999999987</v>
      </c>
      <c r="K51" s="146"/>
      <c r="L51" s="368">
        <f>SUM(L46:L50)</f>
        <v>8422.5659999999989</v>
      </c>
      <c r="M51" s="359">
        <f t="shared" si="12"/>
        <v>19612.925999999999</v>
      </c>
      <c r="N51" s="26">
        <f t="shared" ref="N51:V51" si="13">SUM(N46:N50)</f>
        <v>390.26499999999999</v>
      </c>
      <c r="O51" s="26">
        <f t="shared" si="13"/>
        <v>3452.0180000000005</v>
      </c>
      <c r="P51" s="104">
        <f t="shared" si="13"/>
        <v>130248.25699999995</v>
      </c>
      <c r="Q51" s="49"/>
      <c r="R51" s="368">
        <f t="shared" si="13"/>
        <v>9437.0669999999991</v>
      </c>
      <c r="S51" s="359">
        <f t="shared" si="13"/>
        <v>20.290000000000003</v>
      </c>
      <c r="T51" s="104">
        <f>SUM(T46:T50)</f>
        <v>8042.415</v>
      </c>
      <c r="U51" s="49"/>
      <c r="V51" s="116">
        <f t="shared" si="13"/>
        <v>13839.535</v>
      </c>
      <c r="W51" s="401">
        <f t="shared" si="11"/>
        <v>31339.307000000001</v>
      </c>
      <c r="X51" s="56"/>
      <c r="Y51" s="954">
        <v>115780.24400000001</v>
      </c>
      <c r="Z51" s="1627">
        <f>(P51-W51)*1000/invanare</f>
        <v>9373.7392442758264</v>
      </c>
      <c r="AA51" s="1628">
        <f>Y51*1000/invanare</f>
        <v>10972.655324868289</v>
      </c>
      <c r="AB51" s="1628">
        <v>10408.716</v>
      </c>
      <c r="AC51" s="2279">
        <f>IF(ISERROR((AA51-AB51)/AB51)," ",((AA51-AB51)/AB51))</f>
        <v>5.4179528470974535E-2</v>
      </c>
      <c r="AD51" s="2193"/>
      <c r="AE51" s="2305">
        <f>IF(ISERROR(F51/(AA51/1000*invanare)),"",(F51/(AA51/100000*invanare)))</f>
        <v>19.333031462604275</v>
      </c>
      <c r="AF51" s="2324">
        <v>98908.956999999995</v>
      </c>
      <c r="AG51" s="2313">
        <v>93967.785000000003</v>
      </c>
      <c r="AH51" s="1800">
        <f>W51-V51-SUM(Motpart!Y13:Z16)</f>
        <v>16871.288</v>
      </c>
    </row>
    <row r="52" spans="1:34" ht="44.25" customHeight="1" thickBot="1">
      <c r="A52" s="2046"/>
      <c r="B52" s="854" t="s">
        <v>83</v>
      </c>
      <c r="C52" s="470"/>
      <c r="D52" s="469"/>
      <c r="E52" s="467"/>
      <c r="F52" s="467"/>
      <c r="G52" s="467"/>
      <c r="H52" s="469"/>
      <c r="I52" s="467"/>
      <c r="J52" s="468"/>
      <c r="K52" s="31"/>
      <c r="L52" s="466"/>
      <c r="M52" s="467"/>
      <c r="N52" s="469"/>
      <c r="O52" s="485"/>
      <c r="P52" s="468"/>
      <c r="Q52" s="50"/>
      <c r="R52" s="466"/>
      <c r="S52" s="467"/>
      <c r="T52" s="468"/>
      <c r="U52" s="50"/>
      <c r="V52" s="464"/>
      <c r="W52" s="465"/>
      <c r="X52" s="31"/>
      <c r="Y52" s="1611" t="s">
        <v>599</v>
      </c>
      <c r="Z52" s="2556"/>
      <c r="AA52" s="2554"/>
      <c r="AB52" s="2554"/>
      <c r="AC52" s="2555"/>
      <c r="AD52" s="2193"/>
      <c r="AE52" s="2301">
        <f>IF(ISERROR(F51/(AA51/1000*invanare)),"",(SUM(Motpart!D13:D16,Motpart!F13:F16)/(AA51/100000*invanare)))</f>
        <v>18.707842764608444</v>
      </c>
      <c r="AF52" s="2331"/>
      <c r="AG52" s="2318"/>
      <c r="AH52" s="1805"/>
    </row>
    <row r="53" spans="1:34">
      <c r="A53" s="2029" t="s">
        <v>385</v>
      </c>
      <c r="B53" s="841" t="s">
        <v>470</v>
      </c>
      <c r="C53" s="20">
        <v>3451.357</v>
      </c>
      <c r="D53" s="21">
        <v>1473.1189999999999</v>
      </c>
      <c r="E53" s="20">
        <v>204.36199999999999</v>
      </c>
      <c r="F53" s="20">
        <v>1257.4179999999999</v>
      </c>
      <c r="G53" s="20">
        <v>376.95800000000003</v>
      </c>
      <c r="H53" s="21">
        <v>1.069</v>
      </c>
      <c r="I53" s="20">
        <v>425.71800000000002</v>
      </c>
      <c r="J53" s="99">
        <v>51.03</v>
      </c>
      <c r="K53" s="31"/>
      <c r="L53" s="102">
        <v>932.05499999999995</v>
      </c>
      <c r="M53" s="20">
        <v>1832.057</v>
      </c>
      <c r="N53" s="21">
        <v>41.872</v>
      </c>
      <c r="O53" s="367">
        <v>276.25799999999998</v>
      </c>
      <c r="P53" s="366">
        <f>SUM(C53:O53)</f>
        <v>10323.272999999999</v>
      </c>
      <c r="Q53" s="49"/>
      <c r="R53" s="102">
        <v>0.75600000000000001</v>
      </c>
      <c r="S53" s="20">
        <v>0.32600000000000001</v>
      </c>
      <c r="T53" s="99">
        <v>524.79399999999998</v>
      </c>
      <c r="U53" s="50"/>
      <c r="V53" s="112">
        <v>1311.2529999999999</v>
      </c>
      <c r="W53" s="401">
        <f>SUM(R53:V53)</f>
        <v>1837.1289999999999</v>
      </c>
      <c r="X53" s="56"/>
      <c r="Y53" s="1472">
        <v>8957.0169999999998</v>
      </c>
      <c r="Z53" s="1872"/>
      <c r="AA53" s="1873"/>
      <c r="AB53" s="1874"/>
      <c r="AC53" s="2280"/>
      <c r="AD53" s="2193"/>
      <c r="AE53" s="2301"/>
      <c r="AF53" s="2330">
        <v>8486.1440000000002</v>
      </c>
      <c r="AG53" s="2317">
        <v>7753.5349999999999</v>
      </c>
      <c r="AH53" s="1804">
        <f>W53-V53-SUM(Motpart!Y17:Z17)</f>
        <v>470.87</v>
      </c>
    </row>
    <row r="54" spans="1:34">
      <c r="A54" s="2029" t="s">
        <v>469</v>
      </c>
      <c r="B54" s="839" t="s">
        <v>367</v>
      </c>
      <c r="C54" s="20">
        <v>60439.203999999998</v>
      </c>
      <c r="D54" s="21">
        <v>26084.133000000002</v>
      </c>
      <c r="E54" s="23">
        <v>4800.2470000000003</v>
      </c>
      <c r="F54" s="23">
        <v>23054.218000000001</v>
      </c>
      <c r="G54" s="23">
        <v>9321.2559999999994</v>
      </c>
      <c r="H54" s="24">
        <v>47.151000000000003</v>
      </c>
      <c r="I54" s="23">
        <v>4447.5200000000004</v>
      </c>
      <c r="J54" s="100">
        <v>1643.6089999999999</v>
      </c>
      <c r="K54" s="31"/>
      <c r="L54" s="103">
        <v>11189.82</v>
      </c>
      <c r="M54" s="23">
        <v>24265.381000000001</v>
      </c>
      <c r="N54" s="21">
        <v>537.89200000000005</v>
      </c>
      <c r="O54" s="367">
        <v>4915.9769999999999</v>
      </c>
      <c r="P54" s="366">
        <f>SUM(C54:O54)</f>
        <v>170746.408</v>
      </c>
      <c r="Q54" s="49"/>
      <c r="R54" s="103">
        <v>38.953000000000003</v>
      </c>
      <c r="S54" s="23">
        <v>24.305</v>
      </c>
      <c r="T54" s="100">
        <v>15118.703</v>
      </c>
      <c r="U54" s="50"/>
      <c r="V54" s="113">
        <v>17408.393</v>
      </c>
      <c r="W54" s="401">
        <f>SUM(R54:V54)</f>
        <v>32590.353999999999</v>
      </c>
      <c r="X54" s="56"/>
      <c r="Y54" s="1472">
        <v>151731.41099999999</v>
      </c>
      <c r="Z54" s="1624"/>
      <c r="AA54" s="1625"/>
      <c r="AB54" s="1875"/>
      <c r="AC54" s="2267"/>
      <c r="AD54" s="2193"/>
      <c r="AE54" s="2301"/>
      <c r="AF54" s="2324">
        <v>138156.05600000001</v>
      </c>
      <c r="AG54" s="2313">
        <v>130236.649</v>
      </c>
      <c r="AH54" s="1804">
        <f>W54-V54-SUM(Motpart!Y18:Z18)</f>
        <v>13575.355</v>
      </c>
    </row>
    <row r="55" spans="1:34">
      <c r="A55" s="2029" t="s">
        <v>239</v>
      </c>
      <c r="B55" s="2335" t="s">
        <v>1204</v>
      </c>
      <c r="C55" s="20">
        <v>3878.1280000000002</v>
      </c>
      <c r="D55" s="21">
        <v>1684.0820000000001</v>
      </c>
      <c r="E55" s="23">
        <v>135.155</v>
      </c>
      <c r="F55" s="23">
        <v>715.21199999999999</v>
      </c>
      <c r="G55" s="23">
        <v>908.20500000000004</v>
      </c>
      <c r="H55" s="24">
        <v>0.45500000000000002</v>
      </c>
      <c r="I55" s="23">
        <v>154.48500000000001</v>
      </c>
      <c r="J55" s="100">
        <v>31.119</v>
      </c>
      <c r="K55" s="31"/>
      <c r="L55" s="103">
        <v>425.26799999999997</v>
      </c>
      <c r="M55" s="23">
        <v>1166.002</v>
      </c>
      <c r="N55" s="21">
        <v>29.925000000000001</v>
      </c>
      <c r="O55" s="367">
        <v>281.99700000000001</v>
      </c>
      <c r="P55" s="366">
        <f>SUM(C55:O55)</f>
        <v>9410.0329999999976</v>
      </c>
      <c r="Q55" s="49"/>
      <c r="R55" s="103">
        <v>4.7320000000000002</v>
      </c>
      <c r="S55" s="23">
        <v>0.28299999999999997</v>
      </c>
      <c r="T55" s="100">
        <v>481.43700000000001</v>
      </c>
      <c r="U55" s="50"/>
      <c r="V55" s="113">
        <v>921.61699999999996</v>
      </c>
      <c r="W55" s="401">
        <f>SUM(R55:V55)</f>
        <v>1408.069</v>
      </c>
      <c r="X55" s="56"/>
      <c r="Y55" s="1472">
        <v>8175.3789999999999</v>
      </c>
      <c r="Z55" s="1624"/>
      <c r="AA55" s="1625"/>
      <c r="AB55" s="1875"/>
      <c r="AC55" s="2267"/>
      <c r="AD55" s="2193"/>
      <c r="AE55" s="2301"/>
      <c r="AF55" s="2324">
        <v>8001.9639999999999</v>
      </c>
      <c r="AG55" s="2313">
        <v>7772.75</v>
      </c>
      <c r="AH55" s="1804">
        <f>W55-V55-SUM(Motpart!Y19:Z19)</f>
        <v>173.41399999999999</v>
      </c>
    </row>
    <row r="56" spans="1:34">
      <c r="A56" s="2029" t="s">
        <v>240</v>
      </c>
      <c r="B56" s="848" t="s">
        <v>84</v>
      </c>
      <c r="C56" s="20">
        <v>14887.846</v>
      </c>
      <c r="D56" s="21">
        <v>6431.9110000000001</v>
      </c>
      <c r="E56" s="23">
        <v>1576.9190000000001</v>
      </c>
      <c r="F56" s="23">
        <v>25254.949000000001</v>
      </c>
      <c r="G56" s="23">
        <v>3530.7269999999999</v>
      </c>
      <c r="H56" s="24">
        <v>247.03399999999999</v>
      </c>
      <c r="I56" s="23">
        <v>1268.2339999999999</v>
      </c>
      <c r="J56" s="100">
        <v>435.16500000000002</v>
      </c>
      <c r="K56" s="31"/>
      <c r="L56" s="103">
        <v>3275.5050000000001</v>
      </c>
      <c r="M56" s="23">
        <v>6318.29</v>
      </c>
      <c r="N56" s="21">
        <v>158.61199999999999</v>
      </c>
      <c r="O56" s="367">
        <v>1189.3789999999999</v>
      </c>
      <c r="P56" s="366">
        <f>SUM(C56:O56)</f>
        <v>64574.570999999996</v>
      </c>
      <c r="Q56" s="49"/>
      <c r="R56" s="103">
        <v>37.872</v>
      </c>
      <c r="S56" s="23">
        <v>37.484999999999999</v>
      </c>
      <c r="T56" s="100">
        <v>11235.687</v>
      </c>
      <c r="U56" s="50"/>
      <c r="V56" s="113">
        <v>4509.9780000000001</v>
      </c>
      <c r="W56" s="401">
        <f>SUM(R56:V56)</f>
        <v>15821.022000000001</v>
      </c>
      <c r="X56" s="56"/>
      <c r="Y56" s="1472">
        <v>51911.716999999997</v>
      </c>
      <c r="Z56" s="1278"/>
      <c r="AA56" s="1626"/>
      <c r="AB56" s="754"/>
      <c r="AC56" s="2267"/>
      <c r="AD56" s="2193"/>
      <c r="AE56" s="2301"/>
      <c r="AF56" s="2324">
        <v>48753.553999999996</v>
      </c>
      <c r="AG56" s="2313">
        <v>34562.614999999998</v>
      </c>
      <c r="AH56" s="1804">
        <f>W56-V56-SUM(Motpart!Y20:Z20)</f>
        <v>3158.1620000000012</v>
      </c>
    </row>
    <row r="57" spans="1:34">
      <c r="A57" s="2029" t="s">
        <v>241</v>
      </c>
      <c r="B57" s="2335" t="s">
        <v>1205</v>
      </c>
      <c r="C57" s="20">
        <v>1564.2750000000001</v>
      </c>
      <c r="D57" s="21">
        <v>679.83199999999999</v>
      </c>
      <c r="E57" s="23">
        <v>73.555999999999997</v>
      </c>
      <c r="F57" s="23">
        <v>1289.3140000000001</v>
      </c>
      <c r="G57" s="23">
        <v>421.923</v>
      </c>
      <c r="H57" s="24">
        <v>2.5390000000000001</v>
      </c>
      <c r="I57" s="23">
        <v>91.414000000000001</v>
      </c>
      <c r="J57" s="100">
        <v>12.869</v>
      </c>
      <c r="K57" s="31"/>
      <c r="L57" s="103">
        <v>183.726</v>
      </c>
      <c r="M57" s="23">
        <v>472.91199999999998</v>
      </c>
      <c r="N57" s="21">
        <v>13.946999999999999</v>
      </c>
      <c r="O57" s="367">
        <v>107.014</v>
      </c>
      <c r="P57" s="366">
        <f>SUM(C57:O57)</f>
        <v>4913.3209999999999</v>
      </c>
      <c r="Q57" s="49"/>
      <c r="R57" s="103">
        <v>3.9980000000000002</v>
      </c>
      <c r="S57" s="23">
        <v>8.5999999999999993E-2</v>
      </c>
      <c r="T57" s="100">
        <v>897.74599999999998</v>
      </c>
      <c r="U57" s="50"/>
      <c r="V57" s="113">
        <v>361.39299999999997</v>
      </c>
      <c r="W57" s="401">
        <f>SUM(R57:V57)</f>
        <v>1263.223</v>
      </c>
      <c r="X57" s="56"/>
      <c r="Y57" s="974">
        <v>3774.0369999999998</v>
      </c>
      <c r="Z57" s="1278"/>
      <c r="AA57" s="1592"/>
      <c r="AB57" s="754"/>
      <c r="AC57" s="2267"/>
      <c r="AD57" s="2193"/>
      <c r="AE57" s="2301"/>
      <c r="AF57" s="2324">
        <v>3650.098</v>
      </c>
      <c r="AG57" s="2313">
        <v>3260.0770000000002</v>
      </c>
      <c r="AH57" s="1804">
        <f>W57-V57-SUM(Motpart!Y21:Z21)</f>
        <v>123.93899999999996</v>
      </c>
    </row>
    <row r="58" spans="1:34">
      <c r="A58" s="2029" t="s">
        <v>242</v>
      </c>
      <c r="B58" s="848" t="s">
        <v>85</v>
      </c>
      <c r="C58" s="359">
        <f t="shared" ref="C58:J58" si="14">SUM(C53:C57)</f>
        <v>84220.81</v>
      </c>
      <c r="D58" s="26">
        <f t="shared" si="14"/>
        <v>36353.076999999997</v>
      </c>
      <c r="E58" s="359">
        <f t="shared" si="14"/>
        <v>6790.2389999999996</v>
      </c>
      <c r="F58" s="359">
        <f t="shared" si="14"/>
        <v>51571.111000000004</v>
      </c>
      <c r="G58" s="359">
        <f t="shared" si="14"/>
        <v>14559.069000000001</v>
      </c>
      <c r="H58" s="26">
        <f t="shared" si="14"/>
        <v>298.24799999999999</v>
      </c>
      <c r="I58" s="359">
        <f t="shared" si="14"/>
        <v>6387.3710000000001</v>
      </c>
      <c r="J58" s="104">
        <f t="shared" si="14"/>
        <v>2173.7919999999999</v>
      </c>
      <c r="K58" s="146"/>
      <c r="L58" s="368">
        <f>SUM(L53:L57)</f>
        <v>16006.374000000002</v>
      </c>
      <c r="M58" s="359">
        <f>SUM(M53:M57)</f>
        <v>34054.642</v>
      </c>
      <c r="N58" s="26">
        <f>SUM(N53:N57)</f>
        <v>782.24799999999993</v>
      </c>
      <c r="O58" s="26">
        <f>SUM(O53:O57)</f>
        <v>6770.625</v>
      </c>
      <c r="P58" s="104">
        <f>SUM(P53:P57)</f>
        <v>259967.60599999997</v>
      </c>
      <c r="Q58" s="49"/>
      <c r="R58" s="368">
        <f>SUM(R53:R57)</f>
        <v>86.311000000000007</v>
      </c>
      <c r="S58" s="359">
        <f>SUM(S53:S57)</f>
        <v>62.484999999999999</v>
      </c>
      <c r="T58" s="104">
        <f>SUM(T53:T57)</f>
        <v>28258.366999999998</v>
      </c>
      <c r="U58" s="49"/>
      <c r="V58" s="116">
        <f>SUM(V53:V57)</f>
        <v>24512.633999999998</v>
      </c>
      <c r="W58" s="117">
        <f>SUM(W53:W57)</f>
        <v>52919.797000000006</v>
      </c>
      <c r="X58" s="56"/>
      <c r="Y58" s="1629">
        <v>224549.57399999999</v>
      </c>
      <c r="Z58" s="1607"/>
      <c r="AA58" s="1592"/>
      <c r="AB58" s="1593"/>
      <c r="AC58" s="2267"/>
      <c r="AD58" s="2193"/>
      <c r="AE58" s="2301"/>
      <c r="AF58" s="2324">
        <v>207047.83</v>
      </c>
      <c r="AG58" s="2313">
        <v>183585.63500000001</v>
      </c>
      <c r="AH58" s="1800">
        <f>W58-V58-SUM(Motpart!Y17:Z21)</f>
        <v>17501.740000000005</v>
      </c>
    </row>
    <row r="59" spans="1:34" ht="13.5" customHeight="1">
      <c r="A59" s="2047"/>
      <c r="B59" s="857" t="s">
        <v>86</v>
      </c>
      <c r="C59" s="487"/>
      <c r="D59" s="488"/>
      <c r="E59" s="489"/>
      <c r="F59" s="490"/>
      <c r="G59" s="489"/>
      <c r="H59" s="491"/>
      <c r="I59" s="489"/>
      <c r="J59" s="492"/>
      <c r="K59" s="32"/>
      <c r="L59" s="493"/>
      <c r="M59" s="489"/>
      <c r="N59" s="488"/>
      <c r="O59" s="488"/>
      <c r="P59" s="492"/>
      <c r="Q59" s="201"/>
      <c r="R59" s="493"/>
      <c r="S59" s="489"/>
      <c r="T59" s="492"/>
      <c r="U59" s="201"/>
      <c r="V59" s="494"/>
      <c r="W59" s="495"/>
      <c r="X59" s="32"/>
      <c r="Y59" s="1630"/>
      <c r="Z59" s="1631"/>
      <c r="AA59" s="1631"/>
      <c r="AB59" s="1631"/>
      <c r="AC59" s="2281"/>
      <c r="AD59" s="2193"/>
      <c r="AE59" s="2301"/>
      <c r="AF59" s="2324"/>
      <c r="AG59" s="2313"/>
      <c r="AH59" s="1800"/>
    </row>
    <row r="60" spans="1:34">
      <c r="A60" s="2048" t="s">
        <v>477</v>
      </c>
      <c r="B60" s="858" t="s">
        <v>368</v>
      </c>
      <c r="C60" s="486">
        <v>607.30600000000004</v>
      </c>
      <c r="D60" s="21">
        <v>258.05700000000002</v>
      </c>
      <c r="E60" s="20">
        <v>30</v>
      </c>
      <c r="F60" s="20">
        <v>438.47300000000001</v>
      </c>
      <c r="G60" s="20">
        <v>67.710999999999999</v>
      </c>
      <c r="H60" s="21">
        <v>2.2269999999999999</v>
      </c>
      <c r="I60" s="20">
        <v>48.2</v>
      </c>
      <c r="J60" s="99">
        <v>9.468</v>
      </c>
      <c r="K60" s="31"/>
      <c r="L60" s="102">
        <v>95.364999999999995</v>
      </c>
      <c r="M60" s="20">
        <v>116.70699999999999</v>
      </c>
      <c r="N60" s="21">
        <v>6.85</v>
      </c>
      <c r="O60" s="367">
        <v>42.683</v>
      </c>
      <c r="P60" s="366">
        <f>SUM(C60:O60)</f>
        <v>1723.047</v>
      </c>
      <c r="Q60" s="49"/>
      <c r="R60" s="102">
        <v>0.56799999999999995</v>
      </c>
      <c r="S60" s="20">
        <v>0.184</v>
      </c>
      <c r="T60" s="99">
        <v>189.47</v>
      </c>
      <c r="U60" s="50"/>
      <c r="V60" s="112">
        <v>79.573999999999998</v>
      </c>
      <c r="W60" s="401">
        <f t="shared" ref="W60:W66" si="15">SUM(R60:V60)</f>
        <v>269.79599999999999</v>
      </c>
      <c r="X60" s="56"/>
      <c r="Y60" s="974">
        <v>1585.0820000000001</v>
      </c>
      <c r="Z60" s="1607"/>
      <c r="AA60" s="1592"/>
      <c r="AB60" s="1593"/>
      <c r="AC60" s="2267"/>
      <c r="AD60" s="2193"/>
      <c r="AE60" s="2301"/>
      <c r="AF60" s="2324">
        <v>1453.2550000000001</v>
      </c>
      <c r="AG60" s="2313">
        <v>1202.777</v>
      </c>
      <c r="AH60" s="1800">
        <f>W60-V60-SUM(Motpart!Y22:Z22)</f>
        <v>131.82799999999997</v>
      </c>
    </row>
    <row r="61" spans="1:34">
      <c r="A61" s="2042" t="s">
        <v>478</v>
      </c>
      <c r="B61" s="859" t="s">
        <v>369</v>
      </c>
      <c r="C61" s="22">
        <v>1892.3019999999999</v>
      </c>
      <c r="D61" s="21">
        <v>818.09400000000005</v>
      </c>
      <c r="E61" s="20">
        <v>129.535</v>
      </c>
      <c r="F61" s="20">
        <v>2217.4140000000002</v>
      </c>
      <c r="G61" s="20">
        <v>304.40300000000002</v>
      </c>
      <c r="H61" s="21">
        <v>27.347999999999999</v>
      </c>
      <c r="I61" s="20">
        <v>155.97900000000001</v>
      </c>
      <c r="J61" s="99">
        <v>27.922000000000001</v>
      </c>
      <c r="K61" s="496"/>
      <c r="L61" s="102">
        <v>264.06700000000001</v>
      </c>
      <c r="M61" s="20">
        <v>560.56700000000001</v>
      </c>
      <c r="N61" s="21">
        <v>19.954000000000001</v>
      </c>
      <c r="O61" s="367">
        <v>137.46</v>
      </c>
      <c r="P61" s="366">
        <f>SUM(C61:O61)</f>
        <v>6555.0449999999992</v>
      </c>
      <c r="Q61" s="49"/>
      <c r="R61" s="103">
        <v>9.5289999999999999</v>
      </c>
      <c r="S61" s="23">
        <v>3.1909999999999998</v>
      </c>
      <c r="T61" s="100">
        <v>3185.4929999999999</v>
      </c>
      <c r="U61" s="50"/>
      <c r="V61" s="113">
        <v>449.27800000000002</v>
      </c>
      <c r="W61" s="401">
        <f t="shared" si="15"/>
        <v>3647.491</v>
      </c>
      <c r="X61" s="56"/>
      <c r="Y61" s="974">
        <v>5718.741</v>
      </c>
      <c r="Z61" s="1591"/>
      <c r="AA61" s="1592"/>
      <c r="AB61" s="1593"/>
      <c r="AC61" s="2267"/>
      <c r="AD61" s="2193"/>
      <c r="AE61" s="2301"/>
      <c r="AF61" s="2324">
        <v>2907.5569999999998</v>
      </c>
      <c r="AG61" s="2313">
        <v>3861.01</v>
      </c>
      <c r="AH61" s="1800">
        <f>W61-V61-SUM(Motpart!Y23:Z23)</f>
        <v>2811.1839999999997</v>
      </c>
    </row>
    <row r="62" spans="1:34" ht="13.5" customHeight="1">
      <c r="A62" s="2044"/>
      <c r="B62" s="854" t="s">
        <v>18</v>
      </c>
      <c r="C62" s="470"/>
      <c r="D62" s="469"/>
      <c r="E62" s="467"/>
      <c r="F62" s="490"/>
      <c r="G62" s="467"/>
      <c r="H62" s="491"/>
      <c r="I62" s="467"/>
      <c r="J62" s="468"/>
      <c r="K62" s="496"/>
      <c r="L62" s="466"/>
      <c r="M62" s="467"/>
      <c r="N62" s="469"/>
      <c r="O62" s="469"/>
      <c r="P62" s="468"/>
      <c r="Q62" s="50"/>
      <c r="R62" s="466"/>
      <c r="S62" s="467"/>
      <c r="T62" s="468"/>
      <c r="U62" s="50"/>
      <c r="V62" s="464"/>
      <c r="W62" s="465"/>
      <c r="X62" s="31"/>
      <c r="Y62" s="1471"/>
      <c r="Z62" s="1608"/>
      <c r="AA62" s="1595"/>
      <c r="AB62" s="1595"/>
      <c r="AC62" s="2268"/>
      <c r="AD62" s="2193"/>
      <c r="AE62" s="2301"/>
      <c r="AF62" s="2324"/>
      <c r="AG62" s="2313">
        <f t="shared" si="8"/>
        <v>0</v>
      </c>
      <c r="AH62" s="1800"/>
    </row>
    <row r="63" spans="1:34">
      <c r="A63" s="2029" t="s">
        <v>243</v>
      </c>
      <c r="B63" s="2336" t="s">
        <v>1211</v>
      </c>
      <c r="C63" s="20">
        <v>149.85599999999999</v>
      </c>
      <c r="D63" s="21">
        <v>63.396000000000001</v>
      </c>
      <c r="E63" s="20">
        <v>6.8289999999999997</v>
      </c>
      <c r="F63" s="20">
        <v>52.305</v>
      </c>
      <c r="G63" s="20">
        <v>10.045999999999999</v>
      </c>
      <c r="H63" s="21">
        <v>0.28199999999999997</v>
      </c>
      <c r="I63" s="20">
        <v>12.935</v>
      </c>
      <c r="J63" s="99">
        <v>1.23</v>
      </c>
      <c r="K63" s="31"/>
      <c r="L63" s="102">
        <v>19.884</v>
      </c>
      <c r="M63" s="20">
        <v>29.658999999999999</v>
      </c>
      <c r="N63" s="21">
        <v>0.82299999999999995</v>
      </c>
      <c r="O63" s="367">
        <v>10.590999999999999</v>
      </c>
      <c r="P63" s="366">
        <f>SUM(C63:O63)</f>
        <v>357.83600000000001</v>
      </c>
      <c r="Q63" s="49"/>
      <c r="R63" s="102">
        <v>5.3999999999999999E-2</v>
      </c>
      <c r="S63" s="20">
        <v>1.7999999999999999E-2</v>
      </c>
      <c r="T63" s="99">
        <v>34.143999999999998</v>
      </c>
      <c r="U63" s="50"/>
      <c r="V63" s="112">
        <v>20.606000000000002</v>
      </c>
      <c r="W63" s="401">
        <f t="shared" si="15"/>
        <v>54.822000000000003</v>
      </c>
      <c r="X63" s="56"/>
      <c r="Y63" s="954">
        <v>322.27999999999997</v>
      </c>
      <c r="Z63" s="1594"/>
      <c r="AA63" s="1595"/>
      <c r="AB63" s="1595"/>
      <c r="AC63" s="2268"/>
      <c r="AD63" s="2193"/>
      <c r="AE63" s="2301"/>
      <c r="AF63" s="2324">
        <v>303.01499999999999</v>
      </c>
      <c r="AG63" s="2313">
        <v>284.64400000000001</v>
      </c>
      <c r="AH63" s="1800">
        <f>W63-V63-SUM(Motpart!Y24:Z24)</f>
        <v>19.265000000000001</v>
      </c>
    </row>
    <row r="64" spans="1:34">
      <c r="A64" s="2029" t="s">
        <v>244</v>
      </c>
      <c r="B64" s="848" t="s">
        <v>87</v>
      </c>
      <c r="C64" s="20">
        <v>363.61200000000002</v>
      </c>
      <c r="D64" s="21">
        <v>153.94499999999999</v>
      </c>
      <c r="E64" s="23">
        <v>43.195999999999998</v>
      </c>
      <c r="F64" s="23">
        <v>119.551</v>
      </c>
      <c r="G64" s="23">
        <v>187.68299999999999</v>
      </c>
      <c r="H64" s="24">
        <v>52.701000000000001</v>
      </c>
      <c r="I64" s="23">
        <v>77.834999999999994</v>
      </c>
      <c r="J64" s="100">
        <v>13.451000000000001</v>
      </c>
      <c r="K64" s="31"/>
      <c r="L64" s="103">
        <v>115.697</v>
      </c>
      <c r="M64" s="23">
        <v>55.246000000000002</v>
      </c>
      <c r="N64" s="21">
        <v>1.4570000000000001</v>
      </c>
      <c r="O64" s="367">
        <v>39.124000000000002</v>
      </c>
      <c r="P64" s="366">
        <f>SUM(C64:O64)</f>
        <v>1223.4980000000005</v>
      </c>
      <c r="Q64" s="49"/>
      <c r="R64" s="103">
        <v>4.4379999999999997</v>
      </c>
      <c r="S64" s="23">
        <v>11.454000000000001</v>
      </c>
      <c r="T64" s="100">
        <v>684.35</v>
      </c>
      <c r="U64" s="50"/>
      <c r="V64" s="113">
        <v>28.132999999999999</v>
      </c>
      <c r="W64" s="401">
        <f t="shared" si="15"/>
        <v>728.37500000000011</v>
      </c>
      <c r="X64" s="56"/>
      <c r="Y64" s="974">
        <v>1171.6959999999999</v>
      </c>
      <c r="Z64" s="1594"/>
      <c r="AA64" s="1595"/>
      <c r="AB64" s="1595"/>
      <c r="AC64" s="2268"/>
      <c r="AD64" s="2193"/>
      <c r="AE64" s="2301"/>
      <c r="AF64" s="2324">
        <v>495.12099999999998</v>
      </c>
      <c r="AG64" s="2313">
        <v>1023.112</v>
      </c>
      <c r="AH64" s="1800">
        <f>W64-V64-(IF(AND(Motpart!$Y$25="",Motpart!$Z$25=""),0,IF(AND(Motpart!$Y$25=0,Motpart!$Z$25=0),0,((T64/($T$64+$T$65+$T$66))*(Motpart!$Y$25+Motpart!$Z$25)))))</f>
        <v>655.37088850311522</v>
      </c>
    </row>
    <row r="65" spans="1:34">
      <c r="A65" s="2029" t="s">
        <v>245</v>
      </c>
      <c r="B65" s="848" t="s">
        <v>92</v>
      </c>
      <c r="C65" s="20">
        <v>1455.8869999999999</v>
      </c>
      <c r="D65" s="21">
        <v>622.12699999999995</v>
      </c>
      <c r="E65" s="23">
        <v>62.883000000000003</v>
      </c>
      <c r="F65" s="23">
        <v>854.28099999999995</v>
      </c>
      <c r="G65" s="23">
        <v>120.34399999999999</v>
      </c>
      <c r="H65" s="24">
        <v>2.379</v>
      </c>
      <c r="I65" s="23">
        <v>91.837999999999994</v>
      </c>
      <c r="J65" s="100">
        <v>14.292999999999999</v>
      </c>
      <c r="K65" s="31"/>
      <c r="L65" s="103">
        <v>197.07</v>
      </c>
      <c r="M65" s="23">
        <v>283.10000000000002</v>
      </c>
      <c r="N65" s="21">
        <v>16.709</v>
      </c>
      <c r="O65" s="367">
        <v>99.441000000000003</v>
      </c>
      <c r="P65" s="366">
        <f>SUM(C65:O65)</f>
        <v>3820.3519999999999</v>
      </c>
      <c r="Q65" s="49"/>
      <c r="R65" s="103">
        <v>1.494</v>
      </c>
      <c r="S65" s="23">
        <v>0.437</v>
      </c>
      <c r="T65" s="100">
        <v>653.66600000000005</v>
      </c>
      <c r="U65" s="50"/>
      <c r="V65" s="113">
        <v>242.85400000000001</v>
      </c>
      <c r="W65" s="401">
        <f t="shared" si="15"/>
        <v>898.45100000000014</v>
      </c>
      <c r="X65" s="56"/>
      <c r="Y65" s="974">
        <v>3505.5680000000002</v>
      </c>
      <c r="Z65" s="1594"/>
      <c r="AA65" s="1595"/>
      <c r="AB65" s="1595"/>
      <c r="AC65" s="2268"/>
      <c r="AD65" s="2193"/>
      <c r="AE65" s="2301"/>
      <c r="AF65" s="2324">
        <v>2921.9050000000002</v>
      </c>
      <c r="AG65" s="2313">
        <v>2720.8389999999999</v>
      </c>
      <c r="AH65" s="1800">
        <f>W65-V65-(IF(AND(Motpart!$Y$25="",Motpart!$Z$25=""),0,IF(AND(Motpart!$Y$25=0,Motpart!$Z$25=0),0,((T65/($T$64+$T$65+$T$66))*(Motpart!$Y$25+Motpart!$Z$25)))))</f>
        <v>612.73776135351409</v>
      </c>
    </row>
    <row r="66" spans="1:34">
      <c r="A66" s="2029" t="s">
        <v>246</v>
      </c>
      <c r="B66" s="856" t="s">
        <v>895</v>
      </c>
      <c r="C66" s="20">
        <v>185.02799999999999</v>
      </c>
      <c r="D66" s="21">
        <v>79.777000000000001</v>
      </c>
      <c r="E66" s="23">
        <v>10.433</v>
      </c>
      <c r="F66" s="23">
        <v>5.3659999999999997</v>
      </c>
      <c r="G66" s="23">
        <v>57.591999999999999</v>
      </c>
      <c r="H66" s="24">
        <v>1.0189999999999999</v>
      </c>
      <c r="I66" s="23">
        <v>5.86</v>
      </c>
      <c r="J66" s="100">
        <v>2.528</v>
      </c>
      <c r="K66" s="31"/>
      <c r="L66" s="103">
        <v>29.414999999999999</v>
      </c>
      <c r="M66" s="23">
        <v>15.145</v>
      </c>
      <c r="N66" s="21">
        <v>0.76400000000000001</v>
      </c>
      <c r="O66" s="367">
        <v>11.11</v>
      </c>
      <c r="P66" s="366">
        <f>SUM(C66:O66)</f>
        <v>404.03700000000003</v>
      </c>
      <c r="Q66" s="49"/>
      <c r="R66" s="103">
        <v>2.1110000000000002</v>
      </c>
      <c r="S66" s="23">
        <v>0.22700000000000001</v>
      </c>
      <c r="T66" s="100">
        <v>220.18</v>
      </c>
      <c r="U66" s="50"/>
      <c r="V66" s="113">
        <v>54.15</v>
      </c>
      <c r="W66" s="401">
        <f t="shared" si="15"/>
        <v>276.66800000000001</v>
      </c>
      <c r="X66" s="56"/>
      <c r="Y66" s="974">
        <v>343.32</v>
      </c>
      <c r="Z66" s="870" t="s">
        <v>93</v>
      </c>
      <c r="AA66" s="950"/>
      <c r="AB66" s="951"/>
      <c r="AC66" s="2272"/>
      <c r="AD66" s="2193"/>
      <c r="AE66" s="2301"/>
      <c r="AF66" s="2324">
        <v>127.371</v>
      </c>
      <c r="AG66" s="2313">
        <v>343.50299999999999</v>
      </c>
      <c r="AH66" s="1800">
        <f>W66-V66-(IF(AND(Motpart!$Y$25="",Motpart!$Z$25=""),0,IF(AND(Motpart!$Y$25=0,Motpart!$Z$25=0),0,((T66/($T$64+$T$65+$T$66))*(Motpart!$Y$25+Motpart!$Z$25)))))</f>
        <v>208.08135014337094</v>
      </c>
    </row>
    <row r="67" spans="1:34">
      <c r="A67" s="2029" t="s">
        <v>247</v>
      </c>
      <c r="B67" s="848" t="s">
        <v>19</v>
      </c>
      <c r="C67" s="359">
        <f>SUM(C58,C60:C61,C63:C66)</f>
        <v>88874.800999999992</v>
      </c>
      <c r="D67" s="26">
        <f t="shared" ref="D67:J67" si="16">SUM(D58,D60:D61,D63:D66)</f>
        <v>38348.472999999998</v>
      </c>
      <c r="E67" s="528">
        <f t="shared" si="16"/>
        <v>7073.1149999999989</v>
      </c>
      <c r="F67" s="359">
        <f t="shared" si="16"/>
        <v>55258.501000000004</v>
      </c>
      <c r="G67" s="359">
        <f t="shared" si="16"/>
        <v>15306.848</v>
      </c>
      <c r="H67" s="359">
        <f t="shared" si="16"/>
        <v>384.20400000000001</v>
      </c>
      <c r="I67" s="359">
        <f t="shared" si="16"/>
        <v>6780.018</v>
      </c>
      <c r="J67" s="104">
        <f t="shared" si="16"/>
        <v>2242.6839999999997</v>
      </c>
      <c r="K67" s="146"/>
      <c r="L67" s="368">
        <f>SUM(L58,L60:L61,L63:L66)</f>
        <v>16727.871999999999</v>
      </c>
      <c r="M67" s="359">
        <f>SUM(M58,M60:M61,M63:M66)</f>
        <v>35115.065999999999</v>
      </c>
      <c r="N67" s="26">
        <f>SUM(N58,N60:N61,N63:N66)</f>
        <v>828.80499999999984</v>
      </c>
      <c r="O67" s="371">
        <f>SUM(O58,O60:O61,O63:O66)</f>
        <v>7111.0339999999997</v>
      </c>
      <c r="P67" s="104">
        <f>SUM(P58,P60:P61,P63:P66)</f>
        <v>274051.42100000003</v>
      </c>
      <c r="Q67" s="49"/>
      <c r="R67" s="368">
        <f>SUM(R58,R60:R61,R63:R66)</f>
        <v>104.50500000000001</v>
      </c>
      <c r="S67" s="359">
        <f>SUM(S58,S60:S61,S63:S66)</f>
        <v>77.995999999999995</v>
      </c>
      <c r="T67" s="104">
        <f>SUM(T58,T60:T61,T63:T66)</f>
        <v>33225.67</v>
      </c>
      <c r="U67" s="49"/>
      <c r="V67" s="116">
        <f>SUM(V58,V60:V61,V63:V66)</f>
        <v>25387.228999999999</v>
      </c>
      <c r="W67" s="117">
        <f>SUM(W58,W60:W61,W63:W66)</f>
        <v>58795.400000000009</v>
      </c>
      <c r="X67" s="56"/>
      <c r="Y67" s="954">
        <v>237196.25200000001</v>
      </c>
      <c r="Z67" s="957">
        <f>(P67-W67)*1000/invanare</f>
        <v>20400.113555086395</v>
      </c>
      <c r="AA67" s="958">
        <f>Y67*1000/invanare</f>
        <v>22479.419870168873</v>
      </c>
      <c r="AB67" s="958">
        <v>21188.232</v>
      </c>
      <c r="AC67" s="2282">
        <f>IF(ISERROR((AA67-AB67)/AB67)," ",((AA67-AB67)/AB67))</f>
        <v>6.0938915062326716E-2</v>
      </c>
      <c r="AD67" s="2193"/>
      <c r="AE67" s="2305">
        <f>IF(ISERROR(F67/(AA67/1000*invanare)),"",(F67/(AA67/100000*invanare)))</f>
        <v>23.296532105406119</v>
      </c>
      <c r="AF67" s="2324">
        <v>215256.04399999999</v>
      </c>
      <c r="AG67" s="2313">
        <v>193021.50899999999</v>
      </c>
      <c r="AH67" s="1800">
        <f>W67-V67-SUM(Motpart!Y17:Z25)</f>
        <v>21940.207000000009</v>
      </c>
    </row>
    <row r="68" spans="1:34" ht="12.75" customHeight="1" thickBot="1">
      <c r="A68" s="2040" t="s">
        <v>248</v>
      </c>
      <c r="B68" s="853" t="s">
        <v>94</v>
      </c>
      <c r="C68" s="373">
        <f t="shared" ref="C68:J68" si="17">SUM(C51,C67)</f>
        <v>135227.717</v>
      </c>
      <c r="D68" s="374">
        <f t="shared" si="17"/>
        <v>58400.012000000002</v>
      </c>
      <c r="E68" s="373">
        <f t="shared" si="17"/>
        <v>9635.5489999999991</v>
      </c>
      <c r="F68" s="373">
        <f t="shared" si="17"/>
        <v>77642.331999999995</v>
      </c>
      <c r="G68" s="373">
        <f t="shared" si="17"/>
        <v>18148.252</v>
      </c>
      <c r="H68" s="374">
        <f t="shared" si="17"/>
        <v>441.31799999999998</v>
      </c>
      <c r="I68" s="373">
        <f t="shared" si="17"/>
        <v>10183.516</v>
      </c>
      <c r="J68" s="375">
        <f t="shared" si="17"/>
        <v>2960.4299999999994</v>
      </c>
      <c r="K68" s="146"/>
      <c r="L68" s="376">
        <f>SUM(L51,L67)</f>
        <v>25150.437999999998</v>
      </c>
      <c r="M68" s="373">
        <f>SUM(M51,M67)</f>
        <v>54727.991999999998</v>
      </c>
      <c r="N68" s="374">
        <f>SUM(N51,N67)</f>
        <v>1219.0699999999997</v>
      </c>
      <c r="O68" s="374">
        <f>SUM(O51,O67)</f>
        <v>10563.052</v>
      </c>
      <c r="P68" s="375">
        <f>SUM(P51,P67)</f>
        <v>404299.67799999996</v>
      </c>
      <c r="Q68" s="49"/>
      <c r="R68" s="376">
        <f>SUM(R51,R67)</f>
        <v>9541.5719999999983</v>
      </c>
      <c r="S68" s="373">
        <f>SUM(S51,S67)</f>
        <v>98.286000000000001</v>
      </c>
      <c r="T68" s="375">
        <f>SUM(T51,T67)</f>
        <v>41268.084999999999</v>
      </c>
      <c r="U68" s="49"/>
      <c r="V68" s="403">
        <f>SUM(V51,V67)</f>
        <v>39226.763999999996</v>
      </c>
      <c r="W68" s="402">
        <f>SUM(W51,W67)</f>
        <v>90134.707000000009</v>
      </c>
      <c r="X68" s="56"/>
      <c r="Y68" s="981">
        <v>352976.49400000001</v>
      </c>
      <c r="Z68" s="959"/>
      <c r="AA68" s="960"/>
      <c r="AB68" s="961"/>
      <c r="AC68" s="2277"/>
      <c r="AD68" s="2193"/>
      <c r="AE68" s="2303">
        <f>IF(ISERROR(F67/(AA67/1000*invanare)),"",(SUM(Motpart!D17:D25,Motpart!F17:F25)/(AA67/100000*invanare)))</f>
        <v>16.5199115372194</v>
      </c>
      <c r="AF68" s="2325">
        <v>314165</v>
      </c>
      <c r="AG68" s="2314">
        <v>286989.29300000001</v>
      </c>
      <c r="AH68" s="1802">
        <f>SUM(AH51,AH58,AH60:AH61,AH63:AH66)</f>
        <v>38811.49500000001</v>
      </c>
    </row>
    <row r="69" spans="1:34" ht="17.25" customHeight="1">
      <c r="A69" s="2044"/>
      <c r="B69" s="854" t="s">
        <v>95</v>
      </c>
      <c r="C69" s="497"/>
      <c r="D69" s="498"/>
      <c r="E69" s="499"/>
      <c r="F69" s="499"/>
      <c r="G69" s="499"/>
      <c r="H69" s="498"/>
      <c r="I69" s="499"/>
      <c r="J69" s="500"/>
      <c r="K69" s="38"/>
      <c r="L69" s="501"/>
      <c r="M69" s="499"/>
      <c r="N69" s="498"/>
      <c r="O69" s="498"/>
      <c r="P69" s="502"/>
      <c r="Q69" s="51"/>
      <c r="R69" s="501"/>
      <c r="S69" s="499"/>
      <c r="T69" s="500"/>
      <c r="U69" s="51"/>
      <c r="V69" s="503"/>
      <c r="W69" s="504"/>
      <c r="X69" s="38"/>
      <c r="Y69" s="1473"/>
      <c r="Z69" s="1618"/>
      <c r="AA69" s="1619"/>
      <c r="AB69" s="1620"/>
      <c r="AC69" s="2283"/>
      <c r="AD69" s="2193"/>
      <c r="AE69" s="2301"/>
      <c r="AF69" s="2326"/>
      <c r="AG69" s="2315"/>
      <c r="AH69" s="1801"/>
    </row>
    <row r="70" spans="1:34">
      <c r="A70" s="2029" t="s">
        <v>249</v>
      </c>
      <c r="B70" s="850" t="s">
        <v>96</v>
      </c>
      <c r="C70" s="20">
        <v>119.02800000000001</v>
      </c>
      <c r="D70" s="21">
        <v>51.168999999999997</v>
      </c>
      <c r="E70" s="20">
        <v>11.991</v>
      </c>
      <c r="F70" s="20">
        <v>56.911000000000001</v>
      </c>
      <c r="G70" s="20">
        <v>53.436</v>
      </c>
      <c r="H70" s="21">
        <v>9.4E-2</v>
      </c>
      <c r="I70" s="20">
        <v>3.81</v>
      </c>
      <c r="J70" s="99">
        <v>0.65</v>
      </c>
      <c r="K70" s="31"/>
      <c r="L70" s="102">
        <v>19.456</v>
      </c>
      <c r="M70" s="20">
        <v>161.54900000000001</v>
      </c>
      <c r="N70" s="21">
        <v>0</v>
      </c>
      <c r="O70" s="367">
        <v>7.4390000000000001</v>
      </c>
      <c r="P70" s="366">
        <f>SUM(C70:O70)</f>
        <v>485.53299999999996</v>
      </c>
      <c r="Q70" s="49"/>
      <c r="R70" s="102">
        <v>15.484999999999999</v>
      </c>
      <c r="S70" s="20">
        <v>0.128</v>
      </c>
      <c r="T70" s="99">
        <v>39.975999999999999</v>
      </c>
      <c r="U70" s="50"/>
      <c r="V70" s="112">
        <v>166.27099999999999</v>
      </c>
      <c r="W70" s="401">
        <f>SUM(R70:V70)</f>
        <v>221.85999999999999</v>
      </c>
      <c r="X70" s="56"/>
      <c r="Y70" s="954">
        <v>307.80799999999999</v>
      </c>
      <c r="Z70" s="1621"/>
      <c r="AA70" s="1615"/>
      <c r="AB70" s="1615"/>
      <c r="AC70" s="2284"/>
      <c r="AD70" s="2193"/>
      <c r="AE70" s="2301"/>
      <c r="AF70" s="2324">
        <v>263.67200000000003</v>
      </c>
      <c r="AG70" s="2313">
        <v>262.25700000000001</v>
      </c>
      <c r="AH70" s="1800">
        <f>W70-V70-(IF(AND(Motpart!$Y$26="",Motpart!$Z$26=""),0,IF(AND(Motpart!$Y$26=0,Motpart!$Z$26=0),0,((T70/($T$70+$T$71))*(Motpart!$Y$26+Motpart!$Z$26)))))</f>
        <v>46.9761854467055</v>
      </c>
    </row>
    <row r="71" spans="1:34" ht="21" customHeight="1" thickBot="1">
      <c r="A71" s="2029" t="s">
        <v>250</v>
      </c>
      <c r="B71" s="1850" t="s">
        <v>997</v>
      </c>
      <c r="C71" s="23">
        <v>844.84500000000003</v>
      </c>
      <c r="D71" s="21">
        <v>359.77100000000002</v>
      </c>
      <c r="E71" s="23">
        <v>491.88400000000001</v>
      </c>
      <c r="F71" s="23">
        <v>341.73500000000001</v>
      </c>
      <c r="G71" s="23">
        <v>404.29700000000003</v>
      </c>
      <c r="H71" s="24">
        <v>1.6739999999999999</v>
      </c>
      <c r="I71" s="23">
        <v>18.298999999999999</v>
      </c>
      <c r="J71" s="100">
        <v>28.247</v>
      </c>
      <c r="K71" s="31"/>
      <c r="L71" s="103">
        <v>124.29900000000001</v>
      </c>
      <c r="M71" s="23">
        <v>199.505</v>
      </c>
      <c r="N71" s="21">
        <v>1.637</v>
      </c>
      <c r="O71" s="367">
        <v>63.597999999999999</v>
      </c>
      <c r="P71" s="366">
        <f>SUM(C71:O71)</f>
        <v>2879.7910000000002</v>
      </c>
      <c r="Q71" s="49"/>
      <c r="R71" s="103">
        <v>54.127000000000002</v>
      </c>
      <c r="S71" s="23">
        <v>1.597</v>
      </c>
      <c r="T71" s="100">
        <v>496.20499999999998</v>
      </c>
      <c r="U71" s="50"/>
      <c r="V71" s="113">
        <v>177.06899999999999</v>
      </c>
      <c r="W71" s="962">
        <f>SUM(R71:V71)</f>
        <v>728.99799999999993</v>
      </c>
      <c r="X71" s="56"/>
      <c r="Y71" s="974">
        <v>2598.6570000000002</v>
      </c>
      <c r="Z71" s="1616"/>
      <c r="AA71" s="1617"/>
      <c r="AB71" s="1617"/>
      <c r="AC71" s="2285"/>
      <c r="AD71" s="2193"/>
      <c r="AE71" s="2301"/>
      <c r="AF71" s="2324">
        <v>2150.7930000000001</v>
      </c>
      <c r="AG71" s="2313">
        <v>2359.3119999999999</v>
      </c>
      <c r="AH71" s="1800">
        <f>W71-V71-(IF(AND(Motpart!$Y$26="",Motpart!$Z$26=""),0,IF(AND(Motpart!$Y$26=0,Motpart!$Z$26=0),0,((T71/($T$70+$T$71))*(Motpart!$Y$26+Motpart!$Z$26)))))</f>
        <v>445.02181455329446</v>
      </c>
    </row>
    <row r="72" spans="1:34" ht="36" customHeight="1" thickBot="1">
      <c r="A72" s="2049"/>
      <c r="B72" s="1622" t="s">
        <v>98</v>
      </c>
      <c r="C72" s="470"/>
      <c r="D72" s="469"/>
      <c r="E72" s="467"/>
      <c r="F72" s="467"/>
      <c r="G72" s="467"/>
      <c r="H72" s="469"/>
      <c r="I72" s="467"/>
      <c r="J72" s="468"/>
      <c r="K72" s="31"/>
      <c r="L72" s="466"/>
      <c r="M72" s="467"/>
      <c r="N72" s="469"/>
      <c r="O72" s="469"/>
      <c r="P72" s="468"/>
      <c r="Q72" s="50"/>
      <c r="R72" s="466"/>
      <c r="S72" s="467"/>
      <c r="T72" s="468"/>
      <c r="U72" s="50"/>
      <c r="V72" s="464"/>
      <c r="W72" s="465"/>
      <c r="X72" s="31"/>
      <c r="Y72" s="1611" t="s">
        <v>932</v>
      </c>
      <c r="Z72" s="2556"/>
      <c r="AA72" s="2554"/>
      <c r="AB72" s="2554"/>
      <c r="AC72" s="2555"/>
      <c r="AD72" s="2193"/>
      <c r="AE72" s="2306">
        <f>IF(ISERROR((F73+F74)/((AA73+AA74)/1000*invanare)),"",((F73+F74)/((AA73+AA74)/100000*invanare)))</f>
        <v>16.435282276967939</v>
      </c>
      <c r="AF72" s="2324"/>
      <c r="AG72" s="2313"/>
      <c r="AH72" s="1800"/>
    </row>
    <row r="73" spans="1:34">
      <c r="A73" s="2029" t="s">
        <v>428</v>
      </c>
      <c r="B73" s="856" t="s">
        <v>480</v>
      </c>
      <c r="C73" s="20">
        <v>67419.182000000001</v>
      </c>
      <c r="D73" s="21">
        <v>28966.245999999999</v>
      </c>
      <c r="E73" s="20">
        <v>5549.6260000000002</v>
      </c>
      <c r="F73" s="20">
        <v>24858.411</v>
      </c>
      <c r="G73" s="20">
        <v>7525.2460000000001</v>
      </c>
      <c r="H73" s="21">
        <v>1173.2349999999999</v>
      </c>
      <c r="I73" s="20">
        <v>4491.9880000000003</v>
      </c>
      <c r="J73" s="99">
        <v>1097.279</v>
      </c>
      <c r="K73" s="31"/>
      <c r="L73" s="102">
        <v>6851.799</v>
      </c>
      <c r="M73" s="20">
        <v>20995.18</v>
      </c>
      <c r="N73" s="21">
        <v>518.90099999999995</v>
      </c>
      <c r="O73" s="367">
        <v>4919.0919999999996</v>
      </c>
      <c r="P73" s="366">
        <f>SUM(C73:O73)</f>
        <v>174366.18500000003</v>
      </c>
      <c r="Q73" s="49"/>
      <c r="R73" s="1857">
        <v>6657.9539999999997</v>
      </c>
      <c r="S73" s="20">
        <v>4707.1809999999996</v>
      </c>
      <c r="T73" s="99">
        <v>13332.334000000001</v>
      </c>
      <c r="U73" s="50"/>
      <c r="V73" s="112">
        <v>16296.418</v>
      </c>
      <c r="W73" s="401">
        <f>SUM(R73:V73)</f>
        <v>40993.886999999995</v>
      </c>
      <c r="X73" s="56"/>
      <c r="Y73" s="954">
        <v>157561.45199999999</v>
      </c>
      <c r="Z73" s="957">
        <f>(P73-W73)*1000/invanare</f>
        <v>12639.878836665957</v>
      </c>
      <c r="AA73" s="958">
        <f>Y73*1000/invanare</f>
        <v>14932.318723406554</v>
      </c>
      <c r="AB73" s="972">
        <v>13936.763999999999</v>
      </c>
      <c r="AC73" s="2275">
        <f>IF(ISERROR((AA73-AB73)/AB73)," ",((AA73-AB73)/AB73))</f>
        <v>7.1433707523967147E-2</v>
      </c>
      <c r="AD73" s="2193"/>
      <c r="AE73" s="2305"/>
      <c r="AF73" s="2324">
        <v>133372.299</v>
      </c>
      <c r="AG73" s="2313">
        <v>132038.12100000001</v>
      </c>
      <c r="AH73" s="1800">
        <f>W73-V73-SUM(Motpart!Y27:Z27)</f>
        <v>24189.154999999999</v>
      </c>
    </row>
    <row r="74" spans="1:34" ht="18.75">
      <c r="A74" s="2029" t="s">
        <v>427</v>
      </c>
      <c r="B74" s="860" t="s">
        <v>363</v>
      </c>
      <c r="C74" s="20">
        <v>6741.1120000000001</v>
      </c>
      <c r="D74" s="21">
        <v>2862.1669999999999</v>
      </c>
      <c r="E74" s="20">
        <v>381.50200000000001</v>
      </c>
      <c r="F74" s="20">
        <v>3878.4949999999999</v>
      </c>
      <c r="G74" s="20">
        <v>818.58399999999995</v>
      </c>
      <c r="H74" s="21">
        <v>476.68900000000002</v>
      </c>
      <c r="I74" s="20">
        <v>468.779</v>
      </c>
      <c r="J74" s="99">
        <v>51.563000000000002</v>
      </c>
      <c r="K74" s="31"/>
      <c r="L74" s="102">
        <v>503.78699999999998</v>
      </c>
      <c r="M74" s="20">
        <v>2144.3420000000001</v>
      </c>
      <c r="N74" s="21">
        <v>54.969000000000001</v>
      </c>
      <c r="O74" s="367">
        <v>477.029</v>
      </c>
      <c r="P74" s="366">
        <f>SUM(C74:O74)</f>
        <v>18859.018000000004</v>
      </c>
      <c r="Q74" s="49"/>
      <c r="R74" s="1857">
        <v>346.399</v>
      </c>
      <c r="S74" s="20">
        <v>332.63200000000001</v>
      </c>
      <c r="T74" s="99">
        <v>1085.8409999999999</v>
      </c>
      <c r="U74" s="50"/>
      <c r="V74" s="112">
        <v>1521.057</v>
      </c>
      <c r="W74" s="401">
        <f>SUM(R74:V74)</f>
        <v>3285.9290000000001</v>
      </c>
      <c r="X74" s="56"/>
      <c r="Y74" s="954">
        <v>17287.421999999999</v>
      </c>
      <c r="Z74" s="957">
        <f>(P74-W74)*1000/invanare</f>
        <v>1475.8833807648377</v>
      </c>
      <c r="AA74" s="958">
        <f>Y74*1000/invanare</f>
        <v>1638.3531119656752</v>
      </c>
      <c r="AB74" s="972">
        <v>1529.9190000000001</v>
      </c>
      <c r="AC74" s="2275">
        <f>IF(ISERROR((AA74-AB74)/AB74)," ",((AA74-AB74)/AB74))</f>
        <v>7.0875720849061366E-2</v>
      </c>
      <c r="AD74" s="2193"/>
      <c r="AE74" s="2304">
        <f>(Y77-Y76)*1000/invanare</f>
        <v>23813.21552996117</v>
      </c>
      <c r="AF74" s="2324">
        <v>15573.088</v>
      </c>
      <c r="AG74" s="2313">
        <v>12982.778</v>
      </c>
      <c r="AH74" s="1800">
        <f>W74-V74-SUM(Motpart!Y28:Z28)</f>
        <v>1714.3320000000001</v>
      </c>
    </row>
    <row r="75" spans="1:34">
      <c r="A75" s="2029" t="s">
        <v>251</v>
      </c>
      <c r="B75" s="856" t="s">
        <v>364</v>
      </c>
      <c r="C75" s="2337">
        <v>30891.638999999999</v>
      </c>
      <c r="D75" s="21">
        <v>13174.048000000001</v>
      </c>
      <c r="E75" s="23">
        <v>1282.308</v>
      </c>
      <c r="F75" s="2337">
        <v>15595.325000000001</v>
      </c>
      <c r="G75" s="23">
        <v>2161.0880000000002</v>
      </c>
      <c r="H75" s="24">
        <v>5127.47</v>
      </c>
      <c r="I75" s="23">
        <v>1760.903</v>
      </c>
      <c r="J75" s="100">
        <v>285.58800000000002</v>
      </c>
      <c r="K75" s="31"/>
      <c r="L75" s="103">
        <v>2853.4520000000002</v>
      </c>
      <c r="M75" s="2337">
        <v>6851.8829999999998</v>
      </c>
      <c r="N75" s="2346">
        <v>213.483</v>
      </c>
      <c r="O75" s="2348">
        <v>1964.15</v>
      </c>
      <c r="P75" s="366">
        <f>SUM(C75:O75)</f>
        <v>82161.337</v>
      </c>
      <c r="Q75" s="49"/>
      <c r="R75" s="1855">
        <v>156.01</v>
      </c>
      <c r="S75" s="23">
        <v>1520.606</v>
      </c>
      <c r="T75" s="100">
        <v>7841.7920000000004</v>
      </c>
      <c r="U75" s="50"/>
      <c r="V75" s="2349">
        <v>5479.107</v>
      </c>
      <c r="W75" s="401">
        <f>SUM(R75:V75)</f>
        <v>14997.514999999999</v>
      </c>
      <c r="X75" s="56"/>
      <c r="Y75" s="954">
        <v>76421.180999999997</v>
      </c>
      <c r="Z75" s="957">
        <f>(P75-W75)*1000/invanare</f>
        <v>6365.2091552580068</v>
      </c>
      <c r="AA75" s="958">
        <f>Y75*1000/invanare</f>
        <v>7242.5419887038179</v>
      </c>
      <c r="AB75" s="972">
        <v>6750.6270000000004</v>
      </c>
      <c r="AC75" s="2275">
        <f>IF(ISERROR((AA75-AB75)/AB75)," ",((AA75-AB75)/AB75))</f>
        <v>7.2869525853497374E-2</v>
      </c>
      <c r="AD75" s="2193"/>
      <c r="AE75" s="2301"/>
      <c r="AF75" s="2324">
        <v>67163.815000000002</v>
      </c>
      <c r="AG75" s="2313">
        <v>55959.43</v>
      </c>
      <c r="AH75" s="1800">
        <f>W75-V75-SUM(Motpart!Y29:Z29)</f>
        <v>9257.3670000000002</v>
      </c>
    </row>
    <row r="76" spans="1:34">
      <c r="A76" s="2029" t="s">
        <v>252</v>
      </c>
      <c r="B76" s="848" t="s">
        <v>99</v>
      </c>
      <c r="C76" s="23">
        <v>125.532</v>
      </c>
      <c r="D76" s="21">
        <v>55.250999999999998</v>
      </c>
      <c r="E76" s="23">
        <v>3.3879999999999999</v>
      </c>
      <c r="F76" s="23">
        <v>2072.9720000000002</v>
      </c>
      <c r="G76" s="23">
        <v>466.61599999999999</v>
      </c>
      <c r="H76" s="24">
        <v>36.499000000000002</v>
      </c>
      <c r="I76" s="23">
        <v>1.0169999999999999</v>
      </c>
      <c r="J76" s="100">
        <v>0.62</v>
      </c>
      <c r="K76" s="31"/>
      <c r="L76" s="103">
        <v>7.5049999999999999</v>
      </c>
      <c r="M76" s="23">
        <v>105.71299999999999</v>
      </c>
      <c r="N76" s="21">
        <v>9.0259999999999998</v>
      </c>
      <c r="O76" s="367">
        <v>20.184999999999999</v>
      </c>
      <c r="P76" s="366">
        <f>SUM(C76:O76)</f>
        <v>2904.3239999999996</v>
      </c>
      <c r="Q76" s="49"/>
      <c r="R76" s="1855">
        <v>120.36</v>
      </c>
      <c r="S76" s="23">
        <v>2E-3</v>
      </c>
      <c r="T76" s="100">
        <v>52.872</v>
      </c>
      <c r="U76" s="50"/>
      <c r="V76" s="113">
        <v>106.032</v>
      </c>
      <c r="W76" s="401">
        <f>SUM(R76:V76)</f>
        <v>279.26599999999996</v>
      </c>
      <c r="X76" s="56"/>
      <c r="Y76" s="954">
        <v>2790.777</v>
      </c>
      <c r="Z76" s="957">
        <f>(P76-W76)*1000/invanare</f>
        <v>248.78041060086292</v>
      </c>
      <c r="AA76" s="958">
        <f>Y76*1000/invanare</f>
        <v>264.48583153417735</v>
      </c>
      <c r="AB76" s="975">
        <v>231.14500000000001</v>
      </c>
      <c r="AC76" s="2275">
        <f>IF(ISERROR((AA76-AB76)/AB76)," ",((AA76-AB76)/AB76))</f>
        <v>0.14424206248968111</v>
      </c>
      <c r="AD76" s="2193"/>
      <c r="AE76" s="2304"/>
      <c r="AF76" s="2324">
        <v>2625.058</v>
      </c>
      <c r="AG76" s="2313">
        <v>688.82</v>
      </c>
      <c r="AH76" s="1800">
        <f>W76-V76-SUM(Motpart!Y30:Z30)</f>
        <v>165.72099999999998</v>
      </c>
    </row>
    <row r="77" spans="1:34">
      <c r="A77" s="2029" t="s">
        <v>491</v>
      </c>
      <c r="B77" s="848" t="s">
        <v>101</v>
      </c>
      <c r="C77" s="359">
        <f t="shared" ref="C77:J77" si="18">SUM(C73:C76)</f>
        <v>105177.465</v>
      </c>
      <c r="D77" s="26">
        <f t="shared" si="18"/>
        <v>45057.712</v>
      </c>
      <c r="E77" s="359">
        <f t="shared" si="18"/>
        <v>7216.8240000000005</v>
      </c>
      <c r="F77" s="359">
        <f t="shared" si="18"/>
        <v>46405.203000000001</v>
      </c>
      <c r="G77" s="359">
        <f t="shared" si="18"/>
        <v>10971.534</v>
      </c>
      <c r="H77" s="26">
        <f t="shared" si="18"/>
        <v>6813.893</v>
      </c>
      <c r="I77" s="359">
        <f t="shared" si="18"/>
        <v>6722.6869999999999</v>
      </c>
      <c r="J77" s="104">
        <f t="shared" si="18"/>
        <v>1435.05</v>
      </c>
      <c r="K77" s="146"/>
      <c r="L77" s="368">
        <f>SUM(L73:L76)</f>
        <v>10216.543</v>
      </c>
      <c r="M77" s="359">
        <f>SUM(M73:M76)</f>
        <v>30097.117999999999</v>
      </c>
      <c r="N77" s="26">
        <f>SUM(N73:N76)</f>
        <v>796.37900000000002</v>
      </c>
      <c r="O77" s="26">
        <f>SUM(O73:O76)</f>
        <v>7380.4559999999992</v>
      </c>
      <c r="P77" s="104">
        <f>SUM(P73:P76)</f>
        <v>278290.86400000006</v>
      </c>
      <c r="Q77" s="49"/>
      <c r="R77" s="368">
        <f>SUM(R73:R76)</f>
        <v>7280.723</v>
      </c>
      <c r="S77" s="359">
        <f>SUM(S73:S76)</f>
        <v>6560.4209999999994</v>
      </c>
      <c r="T77" s="104">
        <f>SUM(T73:T76)</f>
        <v>22312.839</v>
      </c>
      <c r="U77" s="49"/>
      <c r="V77" s="116">
        <f>SUM(V73:V76)</f>
        <v>23402.613999999998</v>
      </c>
      <c r="W77" s="117">
        <f>SUM(W73:W76)</f>
        <v>59556.596999999994</v>
      </c>
      <c r="X77" s="56"/>
      <c r="Y77" s="954">
        <v>254060.85</v>
      </c>
      <c r="Z77" s="1633">
        <f>(P77-W77)*1000/invanare</f>
        <v>20729.751783289666</v>
      </c>
      <c r="AA77" s="975">
        <f>Y77*1000/invanare</f>
        <v>24077.701361495347</v>
      </c>
      <c r="AB77" s="1634">
        <v>22448.454000000002</v>
      </c>
      <c r="AC77" s="2279">
        <f t="shared" ref="AC77:AC84" si="19">IF(ISERROR((AA77-AB77)/AB77)," ",((AA77-AB77)/AB77))</f>
        <v>7.2577263516469551E-2</v>
      </c>
      <c r="AD77" s="2193"/>
      <c r="AE77" s="2305">
        <f>IF(ISERROR(F77/(AA77/1000*invanare)),"",(F77/(AA77/100000*invanare)))</f>
        <v>18.265389177435249</v>
      </c>
      <c r="AF77" s="2324">
        <v>218734.27600000001</v>
      </c>
      <c r="AG77" s="2313">
        <v>201669.16800000001</v>
      </c>
      <c r="AH77" s="1800">
        <f>W77-V77-SUM(Motpart!Y27:Z30)</f>
        <v>35326.57499999999</v>
      </c>
    </row>
    <row r="78" spans="1:34" ht="13.5" customHeight="1">
      <c r="A78" s="2049"/>
      <c r="B78" s="861" t="s">
        <v>102</v>
      </c>
      <c r="C78" s="470"/>
      <c r="D78" s="469"/>
      <c r="E78" s="467"/>
      <c r="F78" s="467"/>
      <c r="G78" s="467"/>
      <c r="H78" s="469"/>
      <c r="I78" s="467"/>
      <c r="J78" s="468"/>
      <c r="K78" s="31"/>
      <c r="L78" s="466"/>
      <c r="M78" s="467"/>
      <c r="N78" s="469"/>
      <c r="O78" s="469"/>
      <c r="P78" s="468"/>
      <c r="Q78" s="50"/>
      <c r="R78" s="466"/>
      <c r="S78" s="467"/>
      <c r="T78" s="468"/>
      <c r="U78" s="50"/>
      <c r="V78" s="464"/>
      <c r="W78" s="465"/>
      <c r="X78" s="31"/>
      <c r="Y78" s="1609"/>
      <c r="Z78" s="1635"/>
      <c r="AA78" s="1651"/>
      <c r="AB78" s="1651"/>
      <c r="AC78" s="2286" t="str">
        <f t="shared" si="19"/>
        <v xml:space="preserve"> </v>
      </c>
      <c r="AD78" s="2193"/>
      <c r="AE78" s="2301">
        <f>IF(ISERROR(F77/(AA77/1000*invanare)),"",(SUM(Motpart!D27:D30,Motpart!F27:F30)/(AA77/100000*invanare)))</f>
        <v>16.559142819525324</v>
      </c>
      <c r="AF78" s="2324"/>
      <c r="AG78" s="2313"/>
      <c r="AH78" s="1800"/>
    </row>
    <row r="79" spans="1:34">
      <c r="A79" s="2029" t="s">
        <v>433</v>
      </c>
      <c r="B79" s="862" t="s">
        <v>196</v>
      </c>
      <c r="C79" s="20">
        <v>2775.6660000000002</v>
      </c>
      <c r="D79" s="21">
        <v>1201.412</v>
      </c>
      <c r="E79" s="20">
        <v>148.745</v>
      </c>
      <c r="F79" s="20">
        <v>3212.703</v>
      </c>
      <c r="G79" s="20">
        <v>509.04500000000002</v>
      </c>
      <c r="H79" s="21">
        <v>144.47200000000001</v>
      </c>
      <c r="I79" s="20">
        <v>476.90300000000002</v>
      </c>
      <c r="J79" s="99">
        <v>24.741</v>
      </c>
      <c r="K79" s="31"/>
      <c r="L79" s="102">
        <v>392.84</v>
      </c>
      <c r="M79" s="20">
        <v>651.10699999999997</v>
      </c>
      <c r="N79" s="21">
        <v>22.666</v>
      </c>
      <c r="O79" s="367">
        <v>214.63499999999999</v>
      </c>
      <c r="P79" s="366">
        <f>SUM(C79:O79)</f>
        <v>9774.9349999999995</v>
      </c>
      <c r="Q79" s="49"/>
      <c r="R79" s="102">
        <v>41.610999999999997</v>
      </c>
      <c r="S79" s="20">
        <v>303.72199999999998</v>
      </c>
      <c r="T79" s="99">
        <v>442.40300000000002</v>
      </c>
      <c r="U79" s="50"/>
      <c r="V79" s="112">
        <v>542.779</v>
      </c>
      <c r="W79" s="401">
        <f>SUM(R79:V79)</f>
        <v>1330.5149999999999</v>
      </c>
      <c r="X79" s="56"/>
      <c r="Y79" s="954">
        <v>9195.1260000000002</v>
      </c>
      <c r="Z79" s="957">
        <f t="shared" ref="Z79:Z84" si="20">(P79-W79)*1000/invanare</f>
        <v>800.28946975119754</v>
      </c>
      <c r="AA79" s="958">
        <f t="shared" ref="AA79:AA84" si="21">Y79*1000/invanare</f>
        <v>871.43492517371828</v>
      </c>
      <c r="AB79" s="958">
        <v>828.33100000000002</v>
      </c>
      <c r="AC79" s="2275">
        <f t="shared" si="19"/>
        <v>5.2037078382576853E-2</v>
      </c>
      <c r="AD79" s="2193"/>
      <c r="AE79" s="2304">
        <f>F85-F76-F71-F70</f>
        <v>58775.304000000004</v>
      </c>
      <c r="AF79" s="2324">
        <v>8444.4240000000009</v>
      </c>
      <c r="AG79" s="2313">
        <v>5874.9840000000004</v>
      </c>
      <c r="AH79" s="1800">
        <f>W79-V79-SUM(Motpart!Y31:Z31)</f>
        <v>750.70399999999984</v>
      </c>
    </row>
    <row r="80" spans="1:34">
      <c r="A80" s="2029" t="s">
        <v>432</v>
      </c>
      <c r="B80" s="862" t="s">
        <v>103</v>
      </c>
      <c r="C80" s="20">
        <v>11107.284</v>
      </c>
      <c r="D80" s="21">
        <v>4460.9949999999999</v>
      </c>
      <c r="E80" s="20">
        <v>200.51499999999999</v>
      </c>
      <c r="F80" s="20">
        <v>9994.9609999999993</v>
      </c>
      <c r="G80" s="20">
        <v>2619.9209999999998</v>
      </c>
      <c r="H80" s="21">
        <v>137.81700000000001</v>
      </c>
      <c r="I80" s="20">
        <v>366.47899999999998</v>
      </c>
      <c r="J80" s="99">
        <v>44.51</v>
      </c>
      <c r="K80" s="31"/>
      <c r="L80" s="102">
        <v>563.11400000000003</v>
      </c>
      <c r="M80" s="20">
        <v>1095.009</v>
      </c>
      <c r="N80" s="21">
        <v>94.36</v>
      </c>
      <c r="O80" s="367">
        <v>748.94899999999996</v>
      </c>
      <c r="P80" s="366">
        <f>SUM(C80:O80)</f>
        <v>31433.913999999997</v>
      </c>
      <c r="Q80" s="49"/>
      <c r="R80" s="102">
        <v>61.905000000000001</v>
      </c>
      <c r="S80" s="20">
        <v>33.015999999999998</v>
      </c>
      <c r="T80" s="99">
        <v>1907.9590000000001</v>
      </c>
      <c r="U80" s="50"/>
      <c r="V80" s="112">
        <v>779.76800000000003</v>
      </c>
      <c r="W80" s="401">
        <f>SUM(R80:V80)</f>
        <v>2782.6480000000001</v>
      </c>
      <c r="X80" s="56"/>
      <c r="Y80" s="974">
        <v>30463.343000000001</v>
      </c>
      <c r="Z80" s="957">
        <f t="shared" si="20"/>
        <v>2715.320469000892</v>
      </c>
      <c r="AA80" s="958">
        <f t="shared" si="21"/>
        <v>2887.0535355085199</v>
      </c>
      <c r="AB80" s="972">
        <v>2592.239</v>
      </c>
      <c r="AC80" s="2274">
        <f t="shared" si="19"/>
        <v>0.11372968908673924</v>
      </c>
      <c r="AD80" s="2193"/>
      <c r="AE80" s="2304">
        <f>H85-H76-H71-H70</f>
        <v>17473.613999999998</v>
      </c>
      <c r="AF80" s="2324">
        <v>28651.268</v>
      </c>
      <c r="AG80" s="2313">
        <v>20521.368999999999</v>
      </c>
      <c r="AH80" s="1800">
        <f>W80-V80-SUM(Motpart!Y33:Z33)</f>
        <v>1812.075</v>
      </c>
    </row>
    <row r="81" spans="1:34">
      <c r="A81" s="2029" t="s">
        <v>435</v>
      </c>
      <c r="B81" s="862" t="s">
        <v>164</v>
      </c>
      <c r="C81" s="20">
        <v>1021.16</v>
      </c>
      <c r="D81" s="21">
        <v>444.26</v>
      </c>
      <c r="E81" s="20">
        <v>41.646000000000001</v>
      </c>
      <c r="F81" s="20">
        <v>1008.876</v>
      </c>
      <c r="G81" s="20">
        <v>206.20500000000001</v>
      </c>
      <c r="H81" s="21">
        <v>325.32900000000001</v>
      </c>
      <c r="I81" s="20">
        <v>234.18</v>
      </c>
      <c r="J81" s="99">
        <v>6.0289999999999999</v>
      </c>
      <c r="K81" s="31"/>
      <c r="L81" s="102">
        <v>240.535</v>
      </c>
      <c r="M81" s="20">
        <v>269.315</v>
      </c>
      <c r="N81" s="21">
        <v>10.666</v>
      </c>
      <c r="O81" s="367">
        <v>85.97</v>
      </c>
      <c r="P81" s="366">
        <f>SUM(C81:O81)</f>
        <v>3894.1709999999998</v>
      </c>
      <c r="Q81" s="49"/>
      <c r="R81" s="102">
        <v>8.4239999999999995</v>
      </c>
      <c r="S81" s="20">
        <v>193.12799999999999</v>
      </c>
      <c r="T81" s="99">
        <v>426.84800000000001</v>
      </c>
      <c r="U81" s="50"/>
      <c r="V81" s="112">
        <v>147.292</v>
      </c>
      <c r="W81" s="401">
        <f>SUM(R81:V81)</f>
        <v>775.69200000000001</v>
      </c>
      <c r="X81" s="56"/>
      <c r="Y81" s="974">
        <v>3689.136</v>
      </c>
      <c r="Z81" s="957">
        <f t="shared" si="20"/>
        <v>295.54260746626113</v>
      </c>
      <c r="AA81" s="958">
        <f t="shared" si="21"/>
        <v>349.62456785428179</v>
      </c>
      <c r="AB81" s="972">
        <v>327.52300000000002</v>
      </c>
      <c r="AC81" s="2274">
        <f t="shared" si="19"/>
        <v>6.7480964250699244E-2</v>
      </c>
      <c r="AD81" s="2193"/>
      <c r="AE81" s="2301"/>
      <c r="AF81" s="2324">
        <v>3118.4780000000001</v>
      </c>
      <c r="AG81" s="2313">
        <v>2412.6750000000002</v>
      </c>
      <c r="AH81" s="1800">
        <f>W81-V81-IFO!G29</f>
        <v>570.65800000000002</v>
      </c>
    </row>
    <row r="82" spans="1:34">
      <c r="A82" s="2029" t="s">
        <v>434</v>
      </c>
      <c r="B82" s="862" t="s">
        <v>104</v>
      </c>
      <c r="C82" s="20">
        <v>2374.4450000000002</v>
      </c>
      <c r="D82" s="21">
        <v>1031.4169999999999</v>
      </c>
      <c r="E82" s="20">
        <v>43.39</v>
      </c>
      <c r="F82" s="20">
        <v>46.36</v>
      </c>
      <c r="G82" s="20">
        <v>375.57499999999999</v>
      </c>
      <c r="H82" s="21">
        <v>10082.215</v>
      </c>
      <c r="I82" s="20">
        <v>119.379</v>
      </c>
      <c r="J82" s="99">
        <v>15.420999999999999</v>
      </c>
      <c r="K82" s="31"/>
      <c r="L82" s="102">
        <v>139.077</v>
      </c>
      <c r="M82" s="20">
        <v>309.49200000000002</v>
      </c>
      <c r="N82" s="21">
        <v>26.331</v>
      </c>
      <c r="O82" s="367">
        <v>160.202</v>
      </c>
      <c r="P82" s="366">
        <f>SUM(C82:O82)</f>
        <v>14723.304</v>
      </c>
      <c r="Q82" s="49"/>
      <c r="R82" s="102">
        <v>24.721</v>
      </c>
      <c r="S82" s="20">
        <v>30.190999999999999</v>
      </c>
      <c r="T82" s="99">
        <v>570.35799999999995</v>
      </c>
      <c r="U82" s="50"/>
      <c r="V82" s="112">
        <v>152.685</v>
      </c>
      <c r="W82" s="401">
        <f>SUM(R82:V82)</f>
        <v>777.95499999999993</v>
      </c>
      <c r="X82" s="56"/>
      <c r="Y82" s="974">
        <v>14547.503000000001</v>
      </c>
      <c r="Z82" s="957">
        <f t="shared" si="20"/>
        <v>1321.6201890367122</v>
      </c>
      <c r="AA82" s="958">
        <f t="shared" si="21"/>
        <v>1378.6871640768645</v>
      </c>
      <c r="AB82" s="972">
        <v>1385.0329999999999</v>
      </c>
      <c r="AC82" s="2274">
        <f t="shared" si="19"/>
        <v>-4.5817218240542879E-3</v>
      </c>
      <c r="AD82" s="2193"/>
      <c r="AE82" s="2301"/>
      <c r="AF82" s="2324">
        <v>13945.352000000001</v>
      </c>
      <c r="AG82" s="2313">
        <v>4442.0469999999996</v>
      </c>
      <c r="AH82" s="1800">
        <f>W82-V82-IFO!G30</f>
        <v>602.15</v>
      </c>
    </row>
    <row r="83" spans="1:34">
      <c r="A83" s="2029" t="s">
        <v>345</v>
      </c>
      <c r="B83" s="848" t="s">
        <v>105</v>
      </c>
      <c r="C83" s="359">
        <f>SUM(C79:C82)</f>
        <v>17278.555</v>
      </c>
      <c r="D83" s="26">
        <f t="shared" ref="D83:J83" si="22">SUM(D79:D82)</f>
        <v>7138.0840000000007</v>
      </c>
      <c r="E83" s="369">
        <f t="shared" si="22"/>
        <v>434.29599999999999</v>
      </c>
      <c r="F83" s="359">
        <f t="shared" si="22"/>
        <v>14262.9</v>
      </c>
      <c r="G83" s="359">
        <f t="shared" si="22"/>
        <v>3710.7459999999996</v>
      </c>
      <c r="H83" s="26">
        <f t="shared" si="22"/>
        <v>10689.833000000001</v>
      </c>
      <c r="I83" s="528">
        <f t="shared" si="22"/>
        <v>1196.941</v>
      </c>
      <c r="J83" s="104">
        <f t="shared" si="22"/>
        <v>90.700999999999993</v>
      </c>
      <c r="K83" s="146"/>
      <c r="L83" s="368">
        <f>SUM(L79:L82)</f>
        <v>1335.566</v>
      </c>
      <c r="M83" s="359">
        <f>SUM(M79:M82)</f>
        <v>2324.9230000000002</v>
      </c>
      <c r="N83" s="26">
        <f>SUM(N79:N82)</f>
        <v>154.023</v>
      </c>
      <c r="O83" s="377">
        <f t="shared" ref="O83" si="23">IF(I$120=0,0,(SUM(C83:E83,G83,I83:M83)-V83)/(SUM(C$110:E$110,G$110,I$110:M$110)-V$110)*I$120)</f>
        <v>1217.8418124727884</v>
      </c>
      <c r="P83" s="366">
        <f>SUM(P79:P82)</f>
        <v>59826.323999999993</v>
      </c>
      <c r="Q83" s="49"/>
      <c r="R83" s="368">
        <f>SUM(R79:R82)</f>
        <v>136.661</v>
      </c>
      <c r="S83" s="359">
        <f>SUM(S79:S82)</f>
        <v>560.05700000000002</v>
      </c>
      <c r="T83" s="104">
        <f>SUM(T79:T82)</f>
        <v>3347.5680000000002</v>
      </c>
      <c r="U83" s="49"/>
      <c r="V83" s="116">
        <f>SUM(V79:V82)</f>
        <v>1622.5239999999999</v>
      </c>
      <c r="W83" s="401">
        <f>SUM(W79:W82)</f>
        <v>5666.81</v>
      </c>
      <c r="X83" s="56"/>
      <c r="Y83" s="976">
        <v>57895.097999999998</v>
      </c>
      <c r="Z83" s="957">
        <f>(P83+P84-W83-W84)*1000/invanare</f>
        <v>5236.7627342192118</v>
      </c>
      <c r="AA83" s="958">
        <f>SUM(Y83:Y84)*1000/invanare</f>
        <v>5596.2147167278235</v>
      </c>
      <c r="AB83" s="958">
        <v>5235.3100000000004</v>
      </c>
      <c r="AC83" s="2274">
        <f t="shared" si="19"/>
        <v>6.8936646870543128E-2</v>
      </c>
      <c r="AD83" s="2193"/>
      <c r="AE83" s="2305">
        <f>IF(ISERROR((F83+F84)/((F83+F84)/1000*invanare)),"",((F83+F84)/(AA83/100000*invanare)))</f>
        <v>24.459214960543861</v>
      </c>
      <c r="AF83" s="2324">
        <v>54159.512000000002</v>
      </c>
      <c r="AG83" s="2313">
        <v>33251.063000000002</v>
      </c>
      <c r="AH83" s="1800">
        <f>W83-V83-IFO!G31</f>
        <v>3735.5870000000004</v>
      </c>
    </row>
    <row r="84" spans="1:34">
      <c r="A84" s="2029" t="s">
        <v>441</v>
      </c>
      <c r="B84" s="848" t="s">
        <v>106</v>
      </c>
      <c r="C84" s="23">
        <v>588.70299999999997</v>
      </c>
      <c r="D84" s="21">
        <v>252.36199999999999</v>
      </c>
      <c r="E84" s="23">
        <v>8.6389999999999993</v>
      </c>
      <c r="F84" s="23">
        <v>180.173</v>
      </c>
      <c r="G84" s="23">
        <v>96.921999999999997</v>
      </c>
      <c r="H84" s="24">
        <v>6.3869999999999996</v>
      </c>
      <c r="I84" s="23">
        <v>17.95</v>
      </c>
      <c r="J84" s="100">
        <v>2.149</v>
      </c>
      <c r="K84" s="30"/>
      <c r="L84" s="103">
        <v>32.549999999999997</v>
      </c>
      <c r="M84" s="23">
        <v>61.415999999999997</v>
      </c>
      <c r="N84" s="24">
        <v>4.6040000000000001</v>
      </c>
      <c r="O84" s="367">
        <v>37.171999999999997</v>
      </c>
      <c r="P84" s="366">
        <f>SUM(C84:O84)</f>
        <v>1289.0269999999998</v>
      </c>
      <c r="Q84" s="49"/>
      <c r="R84" s="103">
        <v>14.262</v>
      </c>
      <c r="S84" s="23">
        <v>0.79600000000000004</v>
      </c>
      <c r="T84" s="100">
        <v>135.05000000000001</v>
      </c>
      <c r="U84" s="202"/>
      <c r="V84" s="113">
        <v>41.646999999999998</v>
      </c>
      <c r="W84" s="401">
        <f>SUM(R84:V84)</f>
        <v>191.755</v>
      </c>
      <c r="X84" s="56"/>
      <c r="Y84" s="974">
        <v>1154.52</v>
      </c>
      <c r="Z84" s="957">
        <f t="shared" si="20"/>
        <v>103.98999896414864</v>
      </c>
      <c r="AA84" s="958">
        <f t="shared" si="21"/>
        <v>109.41547182839705</v>
      </c>
      <c r="AB84" s="972">
        <v>102.18600000000001</v>
      </c>
      <c r="AC84" s="2274">
        <f t="shared" si="19"/>
        <v>7.0748163431360825E-2</v>
      </c>
      <c r="AD84" s="2193"/>
      <c r="AE84" s="2301">
        <f>IF(ISERROR(F83+F84/(F83+F84/1000*invanare)),"",(SUM(Motpart!D31,Motpart!D33,Motpart!D35,Motpart!F31,Motpart!F33,Motpart!F35)/(AA83/100000*invanare)))</f>
        <v>20.252611964399161</v>
      </c>
      <c r="AF84" s="2324">
        <v>1097.2719999999999</v>
      </c>
      <c r="AG84" s="2313">
        <v>1060.82</v>
      </c>
      <c r="AH84" s="1800">
        <f>W84-V84-SUM(IFO!G33:G34)</f>
        <v>57.248000000000005</v>
      </c>
    </row>
    <row r="85" spans="1:34" ht="13.5" thickBot="1">
      <c r="A85" s="2040" t="s">
        <v>346</v>
      </c>
      <c r="B85" s="853" t="s">
        <v>107</v>
      </c>
      <c r="C85" s="373">
        <f t="shared" ref="C85:J85" si="24">SUM(C70:C71,C77,C83,C84)</f>
        <v>124008.59600000001</v>
      </c>
      <c r="D85" s="374">
        <f t="shared" si="24"/>
        <v>52859.098000000005</v>
      </c>
      <c r="E85" s="370">
        <f t="shared" si="24"/>
        <v>8163.6340000000009</v>
      </c>
      <c r="F85" s="373">
        <f t="shared" si="24"/>
        <v>61246.922000000006</v>
      </c>
      <c r="G85" s="373">
        <f t="shared" si="24"/>
        <v>15236.934999999999</v>
      </c>
      <c r="H85" s="374">
        <f t="shared" si="24"/>
        <v>17511.880999999998</v>
      </c>
      <c r="I85" s="373">
        <f t="shared" si="24"/>
        <v>7959.6869999999999</v>
      </c>
      <c r="J85" s="375">
        <f t="shared" si="24"/>
        <v>1556.7969999999998</v>
      </c>
      <c r="K85" s="146"/>
      <c r="L85" s="376">
        <f>SUM(L70:L71,L77,L83,L84)</f>
        <v>11728.413999999999</v>
      </c>
      <c r="M85" s="373">
        <f>SUM(M70:M71,M77,M83,M84)</f>
        <v>32844.510999999999</v>
      </c>
      <c r="N85" s="374">
        <f>SUM(N70:N71,N77,N83,N84)</f>
        <v>956.64300000000003</v>
      </c>
      <c r="O85" s="374">
        <f>SUM(O70:O71,O77,O83,O84)</f>
        <v>8706.5068124727877</v>
      </c>
      <c r="P85" s="375">
        <f>SUM(P70:P71,P77,P83,P84)</f>
        <v>342771.53900000011</v>
      </c>
      <c r="Q85" s="49"/>
      <c r="R85" s="376">
        <f>SUM(R70:R71,R77,R83,R84)</f>
        <v>7501.2579999999998</v>
      </c>
      <c r="S85" s="373">
        <f>SUM(S70:S71,S77,S83,S84)</f>
        <v>7122.9989999999998</v>
      </c>
      <c r="T85" s="375">
        <f>SUM(T70:T71,T77,T83,T84)</f>
        <v>26331.637999999999</v>
      </c>
      <c r="U85" s="49"/>
      <c r="V85" s="403">
        <f>SUM(V70:V71,V77,V83,V84)</f>
        <v>25410.125</v>
      </c>
      <c r="W85" s="402">
        <f>SUM(W70:W71,W77,W83,W84)</f>
        <v>66366.02</v>
      </c>
      <c r="X85" s="56"/>
      <c r="Y85" s="1474">
        <v>316016.94300000003</v>
      </c>
      <c r="Z85" s="959"/>
      <c r="AA85" s="960"/>
      <c r="AB85" s="961"/>
      <c r="AC85" s="2277"/>
      <c r="AD85" s="2193"/>
      <c r="AE85" s="2307">
        <f>IF(ISERROR((F83)/((F83)/1000*invanare)),"",SUM(AA77,AA83)*100/AA90)</f>
        <v>39.591262645870238</v>
      </c>
      <c r="AF85" s="2325">
        <v>276405.533</v>
      </c>
      <c r="AG85" s="2314">
        <v>238602.63</v>
      </c>
      <c r="AH85" s="1802">
        <f>SUM(AH70,AH71,AH77,AH83,AH84)</f>
        <v>39611.407999999989</v>
      </c>
    </row>
    <row r="86" spans="1:34" ht="40.5" customHeight="1" thickBot="1">
      <c r="A86" s="2049"/>
      <c r="B86" s="857" t="s">
        <v>108</v>
      </c>
      <c r="C86" s="446"/>
      <c r="D86" s="445"/>
      <c r="E86" s="443"/>
      <c r="F86" s="443"/>
      <c r="G86" s="443"/>
      <c r="H86" s="445"/>
      <c r="I86" s="443"/>
      <c r="J86" s="444"/>
      <c r="K86" s="31"/>
      <c r="L86" s="442"/>
      <c r="M86" s="443"/>
      <c r="N86" s="445"/>
      <c r="O86" s="445"/>
      <c r="P86" s="444"/>
      <c r="Q86" s="50"/>
      <c r="R86" s="442"/>
      <c r="S86" s="443"/>
      <c r="T86" s="444"/>
      <c r="U86" s="50"/>
      <c r="V86" s="440"/>
      <c r="W86" s="441"/>
      <c r="X86" s="31"/>
      <c r="Y86" s="1611" t="s">
        <v>925</v>
      </c>
      <c r="Z86" s="2556"/>
      <c r="AA86" s="2554"/>
      <c r="AB86" s="2554"/>
      <c r="AC86" s="2555"/>
      <c r="AD86" s="2193"/>
      <c r="AE86" s="2308">
        <f>IF(ISERROR((F83)/((F83)/1000*invanare)),"",(F83/((AA83-AA84)/100000*invanare)))</f>
        <v>24.635764499440004</v>
      </c>
      <c r="AF86" s="2326"/>
      <c r="AG86" s="2315"/>
      <c r="AH86" s="1801"/>
    </row>
    <row r="87" spans="1:34">
      <c r="A87" s="2029" t="s">
        <v>253</v>
      </c>
      <c r="B87" s="850" t="s">
        <v>110</v>
      </c>
      <c r="C87" s="20">
        <v>1055.0550000000001</v>
      </c>
      <c r="D87" s="21">
        <v>428.29300000000001</v>
      </c>
      <c r="E87" s="20">
        <v>74.778999999999996</v>
      </c>
      <c r="F87" s="20">
        <v>382.892</v>
      </c>
      <c r="G87" s="20">
        <v>270.40199999999999</v>
      </c>
      <c r="H87" s="21">
        <v>483.92</v>
      </c>
      <c r="I87" s="20">
        <v>672.61800000000005</v>
      </c>
      <c r="J87" s="99">
        <v>10.257</v>
      </c>
      <c r="K87" s="31"/>
      <c r="L87" s="102">
        <v>469.37400000000002</v>
      </c>
      <c r="M87" s="20">
        <v>308.971</v>
      </c>
      <c r="N87" s="21">
        <v>19.163</v>
      </c>
      <c r="O87" s="367">
        <v>116.27200000000001</v>
      </c>
      <c r="P87" s="366">
        <f>SUM(C87:O87)</f>
        <v>4291.9959999999992</v>
      </c>
      <c r="Q87" s="49"/>
      <c r="R87" s="102">
        <v>8.42</v>
      </c>
      <c r="S87" s="20">
        <v>240.761</v>
      </c>
      <c r="T87" s="99">
        <v>3642.6239999999998</v>
      </c>
      <c r="U87" s="50"/>
      <c r="V87" s="112">
        <v>161.00899999999999</v>
      </c>
      <c r="W87" s="401">
        <f>SUM(R87:V87)</f>
        <v>4052.8139999999999</v>
      </c>
      <c r="X87" s="56"/>
      <c r="Y87" s="954">
        <v>4084.08</v>
      </c>
      <c r="Z87" s="957">
        <f>(P87-W87)*1000/invanare</f>
        <v>22.667611979748806</v>
      </c>
      <c r="AA87" s="958">
        <f>Y87*1000/invanare</f>
        <v>387.05396197980099</v>
      </c>
      <c r="AB87" s="980">
        <v>415.23899999999998</v>
      </c>
      <c r="AC87" s="2275">
        <f>IF(ISERROR((AA87-AB87)/AB87)," ",((AA87-AB87)/AB87))</f>
        <v>-6.7876663849491467E-2</v>
      </c>
      <c r="AD87" s="2193"/>
      <c r="AE87" s="2301"/>
      <c r="AF87" s="2324">
        <v>239.185</v>
      </c>
      <c r="AG87" s="2313">
        <v>3264.1770000000001</v>
      </c>
      <c r="AH87" s="1800">
        <f>W87-V87-SUM(Motpart!Y36:Z36)</f>
        <v>3844.8969999999999</v>
      </c>
    </row>
    <row r="88" spans="1:34">
      <c r="A88" s="2029" t="s">
        <v>254</v>
      </c>
      <c r="B88" s="848" t="s">
        <v>111</v>
      </c>
      <c r="C88" s="23">
        <v>5453.857</v>
      </c>
      <c r="D88" s="21">
        <v>2279.721</v>
      </c>
      <c r="E88" s="23">
        <v>304.10599999999999</v>
      </c>
      <c r="F88" s="23">
        <v>194.00399999999999</v>
      </c>
      <c r="G88" s="23">
        <v>453.726</v>
      </c>
      <c r="H88" s="24">
        <v>155.91900000000001</v>
      </c>
      <c r="I88" s="23">
        <v>276.09399999999999</v>
      </c>
      <c r="J88" s="100">
        <v>45.387999999999998</v>
      </c>
      <c r="K88" s="31"/>
      <c r="L88" s="103">
        <v>290.38499999999999</v>
      </c>
      <c r="M88" s="23">
        <v>620.28300000000002</v>
      </c>
      <c r="N88" s="24">
        <v>40.139000000000003</v>
      </c>
      <c r="O88" s="367">
        <v>331.53699999999998</v>
      </c>
      <c r="P88" s="366">
        <f>SUM(C88:O88)</f>
        <v>10445.159</v>
      </c>
      <c r="Q88" s="49"/>
      <c r="R88" s="103">
        <v>20.966999999999999</v>
      </c>
      <c r="S88" s="23">
        <v>41.732999999999997</v>
      </c>
      <c r="T88" s="100">
        <v>3401.857</v>
      </c>
      <c r="U88" s="50"/>
      <c r="V88" s="113">
        <v>713.73299999999995</v>
      </c>
      <c r="W88" s="401">
        <f>SUM(R88:V88)</f>
        <v>4178.29</v>
      </c>
      <c r="X88" s="56"/>
      <c r="Y88" s="1609">
        <v>9676.0689999999995</v>
      </c>
      <c r="Z88" s="957">
        <f>(P88-W88)*1000/invanare</f>
        <v>593.91992215098469</v>
      </c>
      <c r="AA88" s="958">
        <f>Y88*1000/invanare</f>
        <v>917.01456456287121</v>
      </c>
      <c r="AB88" s="980">
        <v>922.33799999999997</v>
      </c>
      <c r="AC88" s="2275">
        <f>IF(ISERROR((AA88-AB88)/AB88)," ",((AA88-AB88)/AB88))</f>
        <v>-5.7716752829534848E-3</v>
      </c>
      <c r="AD88" s="2193"/>
      <c r="AE88" s="2301"/>
      <c r="AF88" s="2324">
        <v>6266.866</v>
      </c>
      <c r="AG88" s="2313">
        <v>9381.5010000000002</v>
      </c>
      <c r="AH88" s="1800">
        <f>W88-V88-SUM(Motpart!Y37:Z37)</f>
        <v>3409.2039999999997</v>
      </c>
    </row>
    <row r="89" spans="1:34" ht="12.75" customHeight="1" thickBot="1">
      <c r="A89" s="2040" t="s">
        <v>255</v>
      </c>
      <c r="B89" s="853" t="s">
        <v>112</v>
      </c>
      <c r="C89" s="379">
        <f>SUM(C87:C88)</f>
        <v>6508.9120000000003</v>
      </c>
      <c r="D89" s="380">
        <f t="shared" ref="D89:P89" si="25">SUM(D87:D88)</f>
        <v>2708.0140000000001</v>
      </c>
      <c r="E89" s="379">
        <f t="shared" si="25"/>
        <v>378.88499999999999</v>
      </c>
      <c r="F89" s="379">
        <f t="shared" si="25"/>
        <v>576.89599999999996</v>
      </c>
      <c r="G89" s="379">
        <f t="shared" si="25"/>
        <v>724.12799999999993</v>
      </c>
      <c r="H89" s="380">
        <f t="shared" si="25"/>
        <v>639.83900000000006</v>
      </c>
      <c r="I89" s="379">
        <f t="shared" si="25"/>
        <v>948.71199999999999</v>
      </c>
      <c r="J89" s="381">
        <f t="shared" si="25"/>
        <v>55.644999999999996</v>
      </c>
      <c r="K89" s="147"/>
      <c r="L89" s="378">
        <f>SUM(L87:L88)</f>
        <v>759.75900000000001</v>
      </c>
      <c r="M89" s="379">
        <f t="shared" si="25"/>
        <v>929.25400000000002</v>
      </c>
      <c r="N89" s="380">
        <f t="shared" si="25"/>
        <v>59.302000000000007</v>
      </c>
      <c r="O89" s="380">
        <f t="shared" si="25"/>
        <v>447.80899999999997</v>
      </c>
      <c r="P89" s="381">
        <f t="shared" si="25"/>
        <v>14737.154999999999</v>
      </c>
      <c r="Q89" s="52"/>
      <c r="R89" s="378">
        <f>SUM(R87:R88)</f>
        <v>29.387</v>
      </c>
      <c r="S89" s="379">
        <f>SUM(S87:S88)</f>
        <v>282.49399999999997</v>
      </c>
      <c r="T89" s="381">
        <f>SUM(T87:T88)</f>
        <v>7044.4809999999998</v>
      </c>
      <c r="U89" s="52"/>
      <c r="V89" s="405">
        <f>SUM(V87:V88)</f>
        <v>874.74199999999996</v>
      </c>
      <c r="W89" s="404">
        <f>SUM(W87:W88)</f>
        <v>8231.1039999999994</v>
      </c>
      <c r="X89" s="57"/>
      <c r="Y89" s="1609">
        <v>13760.162</v>
      </c>
      <c r="Z89" s="982">
        <f>(P89-W89)*1000/invanare</f>
        <v>616.58753413073339</v>
      </c>
      <c r="AA89" s="983">
        <f>Y89*1000/invanare</f>
        <v>1304.0697585708169</v>
      </c>
      <c r="AB89" s="955">
        <v>1337.576</v>
      </c>
      <c r="AC89" s="2287">
        <f>IF(ISERROR((AA89-AB89)/AB89)," ",((AA89-AB89)/AB89))</f>
        <v>-2.5049972060789884E-2</v>
      </c>
      <c r="AD89" s="2193"/>
      <c r="AE89" s="2301"/>
      <c r="AF89" s="2331">
        <v>6506.0640000000003</v>
      </c>
      <c r="AG89" s="2318">
        <v>12645.69</v>
      </c>
      <c r="AH89" s="1805">
        <f>W89-V89-SUM(Motpart!Y36:Z37)</f>
        <v>7254.1009999999987</v>
      </c>
    </row>
    <row r="90" spans="1:34" ht="12.75" customHeight="1" thickBot="1">
      <c r="A90" s="2040" t="s">
        <v>256</v>
      </c>
      <c r="B90" s="853" t="s">
        <v>20</v>
      </c>
      <c r="C90" s="373">
        <f t="shared" ref="C90:J90" si="26">SUM(C17,C30,C43,C68,C85,C89)</f>
        <v>292839.56100000005</v>
      </c>
      <c r="D90" s="374">
        <f t="shared" si="26"/>
        <v>125397.08600000001</v>
      </c>
      <c r="E90" s="373">
        <f t="shared" si="26"/>
        <v>28498.227999999999</v>
      </c>
      <c r="F90" s="373">
        <f t="shared" si="26"/>
        <v>152597.47399999999</v>
      </c>
      <c r="G90" s="373">
        <f t="shared" si="26"/>
        <v>46009.159999999996</v>
      </c>
      <c r="H90" s="374">
        <f t="shared" si="26"/>
        <v>26793.468999999997</v>
      </c>
      <c r="I90" s="373">
        <f t="shared" si="26"/>
        <v>23096.625</v>
      </c>
      <c r="J90" s="375">
        <f t="shared" si="26"/>
        <v>16961.414999999997</v>
      </c>
      <c r="K90" s="146"/>
      <c r="L90" s="376">
        <f>SUM(L17,L30,L43,L68,L85,L89)</f>
        <v>47469.420999999995</v>
      </c>
      <c r="M90" s="373">
        <f>SUM(M17,M30,M43,M68,M85,M89)</f>
        <v>97894.444999999992</v>
      </c>
      <c r="N90" s="374">
        <f>SUM(N17,N30,N43,N68,N85,N89)</f>
        <v>2702.145</v>
      </c>
      <c r="O90" s="374">
        <f>SUM(O17,O30,O43,O68,O85,O89)</f>
        <v>23003.871812472789</v>
      </c>
      <c r="P90" s="375">
        <f>SUM(P17,P30,P43,P68,P85,P89)</f>
        <v>883254.81500000006</v>
      </c>
      <c r="Q90" s="49"/>
      <c r="R90" s="376">
        <f>SUM(R17,R30,R43,R68,R85,R89)</f>
        <v>27451.174999999999</v>
      </c>
      <c r="S90" s="373">
        <f>SUM(S17,S30,S43,S68,S85,S89)</f>
        <v>8489.5690000000013</v>
      </c>
      <c r="T90" s="375">
        <f>SUM(T17,T30,T43,T68,T85,T89)</f>
        <v>86330.528999999995</v>
      </c>
      <c r="U90" s="49"/>
      <c r="V90" s="403">
        <f>SUM(V17,V30,V43,V68,V85,V89)</f>
        <v>75212.577999999994</v>
      </c>
      <c r="W90" s="402">
        <f>SUM(W17,W30,W43,W68,W85,W89)</f>
        <v>197483.85100000002</v>
      </c>
      <c r="X90" s="56"/>
      <c r="Y90" s="981">
        <v>793763.94299999997</v>
      </c>
      <c r="Z90" s="982">
        <f>(P90-W90)*1000/invanare</f>
        <v>64991.471427324504</v>
      </c>
      <c r="AA90" s="983">
        <f>SUM(AA17,AA30,AA37,AA42,AA51,AA67,AA77,AA83,AA89)</f>
        <v>74950.668645367026</v>
      </c>
      <c r="AB90" s="955">
        <v>70601.210999999996</v>
      </c>
      <c r="AC90" s="2287">
        <f>IF(ISERROR((AA90-AB90)/AB90)," ",((AA90-AB90)/AB90))</f>
        <v>6.1605992075221355E-2</v>
      </c>
      <c r="AD90" s="2193"/>
      <c r="AE90" s="2309">
        <f>IF(ISERROR(F90/(AA90/1000*invanare)),"",(F90/(AA90/100000*invanare)))</f>
        <v>19.295192239405917</v>
      </c>
      <c r="AF90" s="2332">
        <v>685771.00800000003</v>
      </c>
      <c r="AG90" s="2319">
        <v>628651.34600000002</v>
      </c>
      <c r="AH90" s="1806">
        <f>SUM(AH17,AH30,AH43,AH51,AH67,AH85,AH89)</f>
        <v>107992.93</v>
      </c>
    </row>
    <row r="91" spans="1:34" ht="38.25" customHeight="1" thickBot="1">
      <c r="A91" s="2044"/>
      <c r="B91" s="854" t="s">
        <v>113</v>
      </c>
      <c r="C91" s="450"/>
      <c r="D91" s="451"/>
      <c r="E91" s="452"/>
      <c r="F91" s="452"/>
      <c r="G91" s="452"/>
      <c r="H91" s="451"/>
      <c r="I91" s="452"/>
      <c r="J91" s="453"/>
      <c r="K91" s="31"/>
      <c r="L91" s="458"/>
      <c r="M91" s="452"/>
      <c r="N91" s="451"/>
      <c r="O91" s="451"/>
      <c r="P91" s="453"/>
      <c r="Q91" s="50"/>
      <c r="R91" s="458"/>
      <c r="S91" s="452"/>
      <c r="T91" s="453"/>
      <c r="U91" s="50"/>
      <c r="V91" s="460"/>
      <c r="W91" s="461"/>
      <c r="X91" s="31"/>
      <c r="Y91" s="1611" t="s">
        <v>928</v>
      </c>
      <c r="Z91" s="2556"/>
      <c r="AA91" s="2554"/>
      <c r="AB91" s="2554"/>
      <c r="AC91" s="2555"/>
      <c r="AD91" s="2193"/>
      <c r="AE91" s="2301">
        <f>IF(ISERROR(F90/(AA90/1000*invanare)),"",((SUM(Motpart!D40,Motpart!F40)-SUM(Motpart!D38,Motpart!D39,Motpart!F38,Motpart!F39))/(AA90/100000*invanare)))</f>
        <v>15.351366177543786</v>
      </c>
      <c r="AF91" s="2327"/>
      <c r="AG91" s="2316"/>
      <c r="AH91" s="1803"/>
    </row>
    <row r="92" spans="1:34">
      <c r="A92" s="2044"/>
      <c r="B92" s="854" t="s">
        <v>114</v>
      </c>
      <c r="C92" s="454"/>
      <c r="D92" s="455"/>
      <c r="E92" s="456"/>
      <c r="F92" s="456"/>
      <c r="G92" s="456"/>
      <c r="H92" s="455"/>
      <c r="I92" s="456"/>
      <c r="J92" s="457"/>
      <c r="K92" s="31"/>
      <c r="L92" s="459"/>
      <c r="M92" s="456"/>
      <c r="N92" s="455"/>
      <c r="O92" s="455"/>
      <c r="P92" s="457"/>
      <c r="Q92" s="50"/>
      <c r="R92" s="459"/>
      <c r="S92" s="456"/>
      <c r="T92" s="457"/>
      <c r="U92" s="50"/>
      <c r="V92" s="462"/>
      <c r="W92" s="463"/>
      <c r="X92" s="31"/>
      <c r="Y92" s="1471"/>
      <c r="Z92" s="950"/>
      <c r="AA92" s="950"/>
      <c r="AB92" s="951"/>
      <c r="AC92" s="2272"/>
      <c r="AD92" s="2193"/>
      <c r="AE92" s="2304">
        <f>(C113-C109+D113-D109)*1000/invanare</f>
        <v>43136.047560835417</v>
      </c>
      <c r="AF92" s="2330"/>
      <c r="AG92" s="2317"/>
      <c r="AH92" s="1804"/>
    </row>
    <row r="93" spans="1:34" s="534" customFormat="1">
      <c r="A93" s="2050" t="s">
        <v>257</v>
      </c>
      <c r="B93" s="863" t="s">
        <v>115</v>
      </c>
      <c r="C93" s="65">
        <v>137.33699999999999</v>
      </c>
      <c r="D93" s="1351">
        <v>83.882999999999996</v>
      </c>
      <c r="E93" s="65">
        <v>399.02600000000001</v>
      </c>
      <c r="F93" s="65">
        <v>27.853000000000002</v>
      </c>
      <c r="G93" s="65">
        <v>242.119</v>
      </c>
      <c r="H93" s="1351">
        <v>10.224</v>
      </c>
      <c r="I93" s="65">
        <v>188.66399999999999</v>
      </c>
      <c r="J93" s="98">
        <v>295.47199999999998</v>
      </c>
      <c r="K93" s="530"/>
      <c r="L93" s="435">
        <v>92.828999999999994</v>
      </c>
      <c r="M93" s="65">
        <v>157.501</v>
      </c>
      <c r="N93" s="1351">
        <v>0.99199999999999999</v>
      </c>
      <c r="O93" s="1352">
        <v>44.698</v>
      </c>
      <c r="P93" s="432">
        <f>SUM(C93:O93)</f>
        <v>1680.598</v>
      </c>
      <c r="Q93" s="531"/>
      <c r="R93" s="435">
        <v>29.704000000000001</v>
      </c>
      <c r="S93" s="65">
        <v>622.09199999999998</v>
      </c>
      <c r="T93" s="98">
        <v>1977.2460000000001</v>
      </c>
      <c r="U93" s="532"/>
      <c r="V93" s="1353">
        <v>339.05200000000002</v>
      </c>
      <c r="W93" s="1354">
        <f>SUM(R93:V93)</f>
        <v>2968.0940000000001</v>
      </c>
      <c r="X93" s="533"/>
      <c r="Y93" s="954">
        <v>1337.5060000000001</v>
      </c>
      <c r="Z93" s="984"/>
      <c r="AA93" s="985"/>
      <c r="AB93" s="985"/>
      <c r="AC93" s="2288"/>
      <c r="AD93" s="2193"/>
      <c r="AE93" s="2310">
        <f>IF(ISERROR(F90/(AA90/1000*invanare)),"",AE92*invanare/10/(P125-P109+J109))</f>
        <v>56.496326253120763</v>
      </c>
      <c r="AF93" s="2324">
        <v>-1287.4960000000001</v>
      </c>
      <c r="AG93" s="2313">
        <v>1303.4680000000001</v>
      </c>
      <c r="AH93" s="1800">
        <f>W93-V93-(IF(AND(Motpart!$Y$38="",Motpart!$Z$38=""),0,IF(AND(Motpart!$Y$38=0,Motpart!$Z$38=0),0,((T93/$T$109)*(Motpart!$Y$38+Motpart!$Z$38)))))</f>
        <v>2598.7798486464053</v>
      </c>
    </row>
    <row r="94" spans="1:34">
      <c r="A94" s="2029" t="s">
        <v>258</v>
      </c>
      <c r="B94" s="848" t="s">
        <v>21</v>
      </c>
      <c r="C94" s="23">
        <v>37.067999999999998</v>
      </c>
      <c r="D94" s="21">
        <v>15.659000000000001</v>
      </c>
      <c r="E94" s="23">
        <v>102.663</v>
      </c>
      <c r="F94" s="23">
        <v>23.155999999999999</v>
      </c>
      <c r="G94" s="23">
        <v>38.692</v>
      </c>
      <c r="H94" s="24">
        <v>0.104</v>
      </c>
      <c r="I94" s="23">
        <v>2.9169999999999998</v>
      </c>
      <c r="J94" s="100">
        <v>408.09399999999999</v>
      </c>
      <c r="K94" s="31"/>
      <c r="L94" s="103">
        <v>3.1869999999999998</v>
      </c>
      <c r="M94" s="23">
        <v>43.222999999999999</v>
      </c>
      <c r="N94" s="24">
        <v>0.26200000000000001</v>
      </c>
      <c r="O94" s="367">
        <v>18.609000000000002</v>
      </c>
      <c r="P94" s="366">
        <f>SUM(C94:O94)</f>
        <v>693.63400000000001</v>
      </c>
      <c r="Q94" s="49"/>
      <c r="R94" s="103">
        <v>129.578</v>
      </c>
      <c r="S94" s="23">
        <v>28.882000000000001</v>
      </c>
      <c r="T94" s="100">
        <v>424.18200000000002</v>
      </c>
      <c r="U94" s="50"/>
      <c r="V94" s="113">
        <v>17.443999999999999</v>
      </c>
      <c r="W94" s="401">
        <f>SUM(R94:V94)</f>
        <v>600.08600000000001</v>
      </c>
      <c r="X94" s="56"/>
      <c r="Y94" s="954">
        <v>663.93499999999995</v>
      </c>
      <c r="Z94" s="977"/>
      <c r="AA94" s="978"/>
      <c r="AB94" s="979"/>
      <c r="AC94" s="2289"/>
      <c r="AD94" s="2193"/>
      <c r="AE94" s="2301"/>
      <c r="AF94" s="2324">
        <v>93.549000000000007</v>
      </c>
      <c r="AG94" s="2313">
        <v>652.93299999999999</v>
      </c>
      <c r="AH94" s="1800">
        <f>W94-V94-(IF(AND(Motpart!$Y$38="",Motpart!$Z$38=""),0,IF(AND(Motpart!$Y$38=0,Motpart!$Z$38=0),0,((T94/$T$109)*(Motpart!$Y$38+Motpart!$Z$38)))))</f>
        <v>576.14980839335612</v>
      </c>
    </row>
    <row r="95" spans="1:34">
      <c r="A95" s="2029" t="s">
        <v>259</v>
      </c>
      <c r="B95" s="848" t="s">
        <v>22</v>
      </c>
      <c r="C95" s="23">
        <v>249.833</v>
      </c>
      <c r="D95" s="21">
        <v>103.62</v>
      </c>
      <c r="E95" s="23">
        <v>268.21600000000001</v>
      </c>
      <c r="F95" s="23">
        <v>85.512</v>
      </c>
      <c r="G95" s="23">
        <v>382.95100000000002</v>
      </c>
      <c r="H95" s="24">
        <v>24.681000000000001</v>
      </c>
      <c r="I95" s="23">
        <v>66.091999999999999</v>
      </c>
      <c r="J95" s="100">
        <v>361.41</v>
      </c>
      <c r="K95" s="31"/>
      <c r="L95" s="103">
        <v>24.815999999999999</v>
      </c>
      <c r="M95" s="23">
        <v>150.93799999999999</v>
      </c>
      <c r="N95" s="24">
        <v>2.7389999999999999</v>
      </c>
      <c r="O95" s="367">
        <v>43.921999999999997</v>
      </c>
      <c r="P95" s="366">
        <f>SUM(C95:O95)</f>
        <v>1764.7300000000005</v>
      </c>
      <c r="Q95" s="49"/>
      <c r="R95" s="103">
        <v>261.63900000000001</v>
      </c>
      <c r="S95" s="23">
        <v>279.42700000000002</v>
      </c>
      <c r="T95" s="100">
        <v>1536.913</v>
      </c>
      <c r="U95" s="50"/>
      <c r="V95" s="113">
        <v>398.04300000000001</v>
      </c>
      <c r="W95" s="401">
        <f>SUM(R95:V95)</f>
        <v>2476.0220000000004</v>
      </c>
      <c r="X95" s="56"/>
      <c r="Y95" s="954">
        <v>1327.12</v>
      </c>
      <c r="Z95" s="977"/>
      <c r="AA95" s="978"/>
      <c r="AB95" s="979"/>
      <c r="AC95" s="2289"/>
      <c r="AD95" s="2193"/>
      <c r="AE95" s="2301"/>
      <c r="AF95" s="2324">
        <v>-711.29</v>
      </c>
      <c r="AG95" s="2313">
        <v>1256.4960000000001</v>
      </c>
      <c r="AH95" s="1800">
        <f>W95-V95-(IF(AND(Motpart!$Y$38="",Motpart!$Z$38=""),0,IF(AND(Motpart!$Y$38=0,Motpart!$Z$38=0),0,((T95/$T$109)*(Motpart!$Y$38+Motpart!$Z$38)))))</f>
        <v>2054.4562345862346</v>
      </c>
    </row>
    <row r="96" spans="1:34">
      <c r="A96" s="2029" t="s">
        <v>260</v>
      </c>
      <c r="B96" s="848" t="s">
        <v>23</v>
      </c>
      <c r="C96" s="23">
        <v>197.34</v>
      </c>
      <c r="D96" s="21">
        <v>99.491</v>
      </c>
      <c r="E96" s="23">
        <v>356.20800000000003</v>
      </c>
      <c r="F96" s="23">
        <v>9.9250000000000007</v>
      </c>
      <c r="G96" s="23">
        <v>350.84199999999998</v>
      </c>
      <c r="H96" s="24">
        <v>34.271000000000001</v>
      </c>
      <c r="I96" s="23">
        <v>476.90100000000001</v>
      </c>
      <c r="J96" s="100">
        <v>2211.6190000000001</v>
      </c>
      <c r="K96" s="31"/>
      <c r="L96" s="103">
        <v>91.046000000000006</v>
      </c>
      <c r="M96" s="23">
        <v>260.22000000000003</v>
      </c>
      <c r="N96" s="24">
        <v>4.2119999999999997</v>
      </c>
      <c r="O96" s="367">
        <v>193.28700000000001</v>
      </c>
      <c r="P96" s="366">
        <f>SUM(C96:O96)</f>
        <v>4285.3620000000001</v>
      </c>
      <c r="Q96" s="49"/>
      <c r="R96" s="103">
        <v>15.807</v>
      </c>
      <c r="S96" s="23">
        <v>655.49199999999996</v>
      </c>
      <c r="T96" s="100">
        <v>2688.674</v>
      </c>
      <c r="U96" s="50"/>
      <c r="V96" s="113">
        <v>299.79399999999998</v>
      </c>
      <c r="W96" s="401">
        <f>SUM(R96:V96)</f>
        <v>3659.7669999999998</v>
      </c>
      <c r="X96" s="56"/>
      <c r="Y96" s="954">
        <v>3964.3339999999998</v>
      </c>
      <c r="Z96" s="977"/>
      <c r="AA96" s="978"/>
      <c r="AB96" s="979"/>
      <c r="AC96" s="2289"/>
      <c r="AD96" s="2193"/>
      <c r="AE96" s="2301"/>
      <c r="AF96" s="2324">
        <v>625.59500000000003</v>
      </c>
      <c r="AG96" s="2313">
        <v>3941.373</v>
      </c>
      <c r="AH96" s="1800">
        <f>W96-V96-(IF(AND(Motpart!$Y$38="",Motpart!$Z$38=""),0,IF(AND(Motpart!$Y$38=0,Motpart!$Z$38=0),0,((T96/$T$109)*(Motpart!$Y$38+Motpart!$Z$38)))))</f>
        <v>3318.822298707154</v>
      </c>
    </row>
    <row r="97" spans="1:34">
      <c r="A97" s="2029" t="s">
        <v>261</v>
      </c>
      <c r="B97" s="848" t="s">
        <v>24</v>
      </c>
      <c r="C97" s="359">
        <f>SUM(C93:C96)</f>
        <v>621.57799999999997</v>
      </c>
      <c r="D97" s="26">
        <f t="shared" ref="D97:P97" si="27">SUM(D93:D96)</f>
        <v>302.65300000000002</v>
      </c>
      <c r="E97" s="359">
        <f t="shared" si="27"/>
        <v>1126.1130000000001</v>
      </c>
      <c r="F97" s="359">
        <f t="shared" si="27"/>
        <v>146.44600000000003</v>
      </c>
      <c r="G97" s="359">
        <f t="shared" si="27"/>
        <v>1014.6039999999999</v>
      </c>
      <c r="H97" s="26">
        <f t="shared" si="27"/>
        <v>69.28</v>
      </c>
      <c r="I97" s="359">
        <f t="shared" si="27"/>
        <v>734.57400000000007</v>
      </c>
      <c r="J97" s="104">
        <f t="shared" si="27"/>
        <v>3276.5950000000003</v>
      </c>
      <c r="K97" s="146"/>
      <c r="L97" s="368">
        <f>SUM(L93:L96)</f>
        <v>211.87799999999999</v>
      </c>
      <c r="M97" s="359">
        <f t="shared" si="27"/>
        <v>611.88200000000006</v>
      </c>
      <c r="N97" s="26">
        <f t="shared" si="27"/>
        <v>8.2050000000000001</v>
      </c>
      <c r="O97" s="26">
        <f t="shared" si="27"/>
        <v>300.51600000000002</v>
      </c>
      <c r="P97" s="104">
        <f t="shared" si="27"/>
        <v>8424.3240000000005</v>
      </c>
      <c r="Q97" s="49"/>
      <c r="R97" s="368">
        <f>SUM(R93:R96)</f>
        <v>436.72800000000007</v>
      </c>
      <c r="S97" s="359">
        <f>SUM(S93:S96)</f>
        <v>1585.893</v>
      </c>
      <c r="T97" s="104">
        <f>SUM(T93:T96)</f>
        <v>6627.0149999999994</v>
      </c>
      <c r="U97" s="50"/>
      <c r="V97" s="116">
        <f>SUM(V93:V96)</f>
        <v>1054.3330000000001</v>
      </c>
      <c r="W97" s="117">
        <f>SUM(W93:W96)</f>
        <v>9703.969000000001</v>
      </c>
      <c r="X97" s="56"/>
      <c r="Y97" s="954">
        <v>7292.8950000000004</v>
      </c>
      <c r="Z97" s="977"/>
      <c r="AA97" s="978"/>
      <c r="AB97" s="979"/>
      <c r="AC97" s="2289"/>
      <c r="AD97" s="2193"/>
      <c r="AE97" s="2301"/>
      <c r="AF97" s="2324">
        <v>-1279.635</v>
      </c>
      <c r="AG97" s="2313">
        <v>7154.2749999999996</v>
      </c>
      <c r="AH97" s="1800">
        <f>SUM(AH93:AH96)</f>
        <v>8548.2081903331491</v>
      </c>
    </row>
    <row r="98" spans="1:34">
      <c r="A98" s="2049"/>
      <c r="B98" s="857" t="s">
        <v>116</v>
      </c>
      <c r="C98" s="470"/>
      <c r="D98" s="469"/>
      <c r="E98" s="467"/>
      <c r="F98" s="467"/>
      <c r="G98" s="467"/>
      <c r="H98" s="469"/>
      <c r="I98" s="467"/>
      <c r="J98" s="468"/>
      <c r="K98" s="31"/>
      <c r="L98" s="466"/>
      <c r="M98" s="467"/>
      <c r="N98" s="469"/>
      <c r="O98" s="469"/>
      <c r="P98" s="468"/>
      <c r="Q98" s="50"/>
      <c r="R98" s="466"/>
      <c r="S98" s="467"/>
      <c r="T98" s="468"/>
      <c r="U98" s="50"/>
      <c r="V98" s="464"/>
      <c r="W98" s="465"/>
      <c r="X98" s="31"/>
      <c r="Y98" s="954"/>
      <c r="Z98" s="977"/>
      <c r="AA98" s="978"/>
      <c r="AB98" s="979"/>
      <c r="AC98" s="2289"/>
      <c r="AD98" s="2193"/>
      <c r="AE98" s="2301"/>
      <c r="AF98" s="2324"/>
      <c r="AG98" s="2313"/>
      <c r="AH98" s="1800"/>
    </row>
    <row r="99" spans="1:34">
      <c r="A99" s="2029" t="s">
        <v>262</v>
      </c>
      <c r="B99" s="850" t="s">
        <v>117</v>
      </c>
      <c r="C99" s="20">
        <v>28.323</v>
      </c>
      <c r="D99" s="21">
        <v>12.198</v>
      </c>
      <c r="E99" s="20">
        <v>28.966999999999999</v>
      </c>
      <c r="F99" s="20">
        <v>11.702999999999999</v>
      </c>
      <c r="G99" s="20">
        <v>86.393000000000001</v>
      </c>
      <c r="H99" s="21">
        <v>139.232</v>
      </c>
      <c r="I99" s="20">
        <v>4.0000000000000001E-3</v>
      </c>
      <c r="J99" s="99">
        <v>28.486000000000001</v>
      </c>
      <c r="K99" s="31"/>
      <c r="L99" s="102">
        <v>4.875</v>
      </c>
      <c r="M99" s="20">
        <v>2.3069999999999999</v>
      </c>
      <c r="N99" s="21">
        <v>0</v>
      </c>
      <c r="O99" s="367">
        <v>7.8360000000000003</v>
      </c>
      <c r="P99" s="366">
        <f>SUM(C99:O99)</f>
        <v>350.32400000000007</v>
      </c>
      <c r="Q99" s="49"/>
      <c r="R99" s="102">
        <v>22.097000000000001</v>
      </c>
      <c r="S99" s="20">
        <v>7.516</v>
      </c>
      <c r="T99" s="99">
        <v>83.206000000000003</v>
      </c>
      <c r="U99" s="50"/>
      <c r="V99" s="112">
        <v>1.9510000000000001</v>
      </c>
      <c r="W99" s="401">
        <f>SUM(R99:V99)</f>
        <v>114.77</v>
      </c>
      <c r="X99" s="56"/>
      <c r="Y99" s="954">
        <v>347.346</v>
      </c>
      <c r="Z99" s="977"/>
      <c r="AA99" s="978"/>
      <c r="AB99" s="979"/>
      <c r="AC99" s="2289"/>
      <c r="AD99" s="2193"/>
      <c r="AE99" s="2301"/>
      <c r="AF99" s="2324">
        <v>235.554</v>
      </c>
      <c r="AG99" s="2313">
        <v>197.43799999999999</v>
      </c>
      <c r="AH99" s="1800">
        <f>W99-V99-(IF(AND(Motpart!$Y$38="",Motpart!$Z$38=""),0,IF(AND(Motpart!$Y$38=0,Motpart!$Z$38=0),0,((T99/$T$109)*(Motpart!$Y$38+Motpart!$Z$38)))))</f>
        <v>111.54551528159512</v>
      </c>
    </row>
    <row r="100" spans="1:34">
      <c r="A100" s="2029" t="s">
        <v>263</v>
      </c>
      <c r="B100" s="856" t="s">
        <v>807</v>
      </c>
      <c r="C100" s="23">
        <v>137.22300000000001</v>
      </c>
      <c r="D100" s="21">
        <v>63.26</v>
      </c>
      <c r="E100" s="23">
        <v>92.923000000000002</v>
      </c>
      <c r="F100" s="23">
        <v>1213.2329999999999</v>
      </c>
      <c r="G100" s="23">
        <v>302.78199999999998</v>
      </c>
      <c r="H100" s="24">
        <v>918.91099999999994</v>
      </c>
      <c r="I100" s="23">
        <v>48.869</v>
      </c>
      <c r="J100" s="100">
        <v>125.664</v>
      </c>
      <c r="K100" s="31"/>
      <c r="L100" s="103">
        <v>20.934000000000001</v>
      </c>
      <c r="M100" s="23">
        <v>72.858000000000004</v>
      </c>
      <c r="N100" s="24">
        <v>1.0860000000000001</v>
      </c>
      <c r="O100" s="367">
        <v>24.282</v>
      </c>
      <c r="P100" s="366">
        <f>SUM(C100:O100)</f>
        <v>3022.0250000000005</v>
      </c>
      <c r="Q100" s="49"/>
      <c r="R100" s="1855">
        <v>64.554000000000002</v>
      </c>
      <c r="S100" s="23">
        <v>3.55</v>
      </c>
      <c r="T100" s="100">
        <v>159.828</v>
      </c>
      <c r="U100" s="50"/>
      <c r="V100" s="113">
        <v>74.995999999999995</v>
      </c>
      <c r="W100" s="401">
        <f>SUM(R100:V100)</f>
        <v>302.928</v>
      </c>
      <c r="X100" s="56"/>
      <c r="Y100" s="954">
        <v>2946.7139999999999</v>
      </c>
      <c r="Z100" s="986"/>
      <c r="AA100" s="978"/>
      <c r="AB100" s="979"/>
      <c r="AC100" s="2289"/>
      <c r="AD100" s="2193"/>
      <c r="AE100" s="2304"/>
      <c r="AF100" s="2324">
        <v>2719.0970000000002</v>
      </c>
      <c r="AG100" s="2313">
        <v>814.88499999999999</v>
      </c>
      <c r="AH100" s="1800">
        <f>W100-V100-(IF(AND(Motpart!$Y$38="",Motpart!$Z$38=""),0,IF(AND(Motpart!$Y$38=0,Motpart!$Z$38=0),0,((T100/$T$109)*(Motpart!$Y$38+Motpart!$Z$38)))))</f>
        <v>225.48580001955131</v>
      </c>
    </row>
    <row r="101" spans="1:34">
      <c r="A101" s="2029" t="s">
        <v>264</v>
      </c>
      <c r="B101" s="848" t="s">
        <v>25</v>
      </c>
      <c r="C101" s="23">
        <v>24.97</v>
      </c>
      <c r="D101" s="21">
        <v>10.624000000000001</v>
      </c>
      <c r="E101" s="23">
        <v>5.7990000000000004</v>
      </c>
      <c r="F101" s="23">
        <v>110.40600000000001</v>
      </c>
      <c r="G101" s="23">
        <v>15.965</v>
      </c>
      <c r="H101" s="24">
        <v>19.367000000000001</v>
      </c>
      <c r="I101" s="23">
        <v>0.28999999999999998</v>
      </c>
      <c r="J101" s="100">
        <v>5.7519999999999998</v>
      </c>
      <c r="K101" s="31"/>
      <c r="L101" s="103">
        <v>0.41599999999999998</v>
      </c>
      <c r="M101" s="23">
        <v>1.43</v>
      </c>
      <c r="N101" s="24">
        <v>0</v>
      </c>
      <c r="O101" s="367">
        <v>2.0539999999999998</v>
      </c>
      <c r="P101" s="366">
        <f>SUM(C101:O101)</f>
        <v>197.07300000000001</v>
      </c>
      <c r="Q101" s="49"/>
      <c r="R101" s="103">
        <v>39.439</v>
      </c>
      <c r="S101" s="23">
        <v>0</v>
      </c>
      <c r="T101" s="100">
        <v>94.108000000000004</v>
      </c>
      <c r="U101" s="50"/>
      <c r="V101" s="113">
        <v>8.68</v>
      </c>
      <c r="W101" s="401">
        <f>SUM(R101:V101)</f>
        <v>142.227</v>
      </c>
      <c r="X101" s="56"/>
      <c r="Y101" s="954">
        <v>187.97900000000001</v>
      </c>
      <c r="Z101" s="977"/>
      <c r="AA101" s="978"/>
      <c r="AB101" s="979"/>
      <c r="AC101" s="2289"/>
      <c r="AD101" s="2193"/>
      <c r="AE101" s="2301"/>
      <c r="AF101" s="2324">
        <v>54.848999999999997</v>
      </c>
      <c r="AG101" s="2313">
        <v>58.622999999999998</v>
      </c>
      <c r="AH101" s="1800">
        <f>W101-V101-(IF(AND(Motpart!$Y$38="",Motpart!$Z$38=""),0,IF(AND(Motpart!$Y$38=0,Motpart!$Z$38=0),0,((T101/$T$109)*(Motpart!$Y$38+Motpart!$Z$38)))))</f>
        <v>132.1066579588053</v>
      </c>
    </row>
    <row r="102" spans="1:34">
      <c r="A102" s="2029" t="s">
        <v>265</v>
      </c>
      <c r="B102" s="848" t="s">
        <v>26</v>
      </c>
      <c r="C102" s="359">
        <f>SUM(C99:C101)</f>
        <v>190.51600000000002</v>
      </c>
      <c r="D102" s="26">
        <f t="shared" ref="D102:P102" si="28">SUM(D99:D101)</f>
        <v>86.081999999999994</v>
      </c>
      <c r="E102" s="359">
        <f t="shared" si="28"/>
        <v>127.68900000000001</v>
      </c>
      <c r="F102" s="359">
        <f t="shared" si="28"/>
        <v>1335.3419999999999</v>
      </c>
      <c r="G102" s="359">
        <f t="shared" si="28"/>
        <v>405.13999999999993</v>
      </c>
      <c r="H102" s="26">
        <f t="shared" si="28"/>
        <v>1077.51</v>
      </c>
      <c r="I102" s="359">
        <f t="shared" si="28"/>
        <v>49.162999999999997</v>
      </c>
      <c r="J102" s="104">
        <f t="shared" si="28"/>
        <v>159.90200000000002</v>
      </c>
      <c r="K102" s="146"/>
      <c r="L102" s="368">
        <f>SUM(L99:L101)</f>
        <v>26.225000000000001</v>
      </c>
      <c r="M102" s="359">
        <f t="shared" si="28"/>
        <v>76.595000000000013</v>
      </c>
      <c r="N102" s="26">
        <f t="shared" si="28"/>
        <v>1.0860000000000001</v>
      </c>
      <c r="O102" s="26">
        <f t="shared" si="28"/>
        <v>34.172000000000004</v>
      </c>
      <c r="P102" s="104">
        <f t="shared" si="28"/>
        <v>3569.4220000000005</v>
      </c>
      <c r="Q102" s="49"/>
      <c r="R102" s="368">
        <f>SUM(R99:R101)</f>
        <v>126.09</v>
      </c>
      <c r="S102" s="359">
        <f>SUM(S99:S101)</f>
        <v>11.065999999999999</v>
      </c>
      <c r="T102" s="104">
        <f>SUM(T99:T101)</f>
        <v>337.142</v>
      </c>
      <c r="U102" s="49"/>
      <c r="V102" s="116">
        <f>SUM(V99:V101)</f>
        <v>85.626999999999981</v>
      </c>
      <c r="W102" s="117">
        <f>SUM(W99:W101)</f>
        <v>559.92499999999995</v>
      </c>
      <c r="X102" s="56"/>
      <c r="Y102" s="954">
        <v>3482.038</v>
      </c>
      <c r="Z102" s="977"/>
      <c r="AA102" s="978"/>
      <c r="AB102" s="979"/>
      <c r="AC102" s="2289"/>
      <c r="AD102" s="2193"/>
      <c r="AE102" s="2301"/>
      <c r="AF102" s="2324">
        <v>3009.5</v>
      </c>
      <c r="AG102" s="2313">
        <v>1070.9469999999999</v>
      </c>
      <c r="AH102" s="1800">
        <f>SUM(AH99:AH101)</f>
        <v>469.13797325995176</v>
      </c>
    </row>
    <row r="103" spans="1:34">
      <c r="A103" s="2049"/>
      <c r="B103" s="857" t="s">
        <v>118</v>
      </c>
      <c r="C103" s="470"/>
      <c r="D103" s="469"/>
      <c r="E103" s="467"/>
      <c r="F103" s="467"/>
      <c r="G103" s="467"/>
      <c r="H103" s="469"/>
      <c r="I103" s="467"/>
      <c r="J103" s="468"/>
      <c r="K103" s="31"/>
      <c r="L103" s="466"/>
      <c r="M103" s="467"/>
      <c r="N103" s="469"/>
      <c r="O103" s="469"/>
      <c r="P103" s="468"/>
      <c r="Q103" s="50"/>
      <c r="R103" s="466"/>
      <c r="S103" s="467"/>
      <c r="T103" s="468"/>
      <c r="U103" s="50"/>
      <c r="V103" s="464"/>
      <c r="W103" s="465"/>
      <c r="X103" s="31"/>
      <c r="Y103" s="954"/>
      <c r="Z103" s="949"/>
      <c r="AA103" s="1649"/>
      <c r="AB103" s="1650"/>
      <c r="AC103" s="2290"/>
      <c r="AD103" s="2193"/>
      <c r="AE103" s="2301"/>
      <c r="AF103" s="2324"/>
      <c r="AG103" s="2313"/>
      <c r="AH103" s="1800"/>
    </row>
    <row r="104" spans="1:34">
      <c r="A104" s="2029" t="s">
        <v>266</v>
      </c>
      <c r="B104" s="850" t="s">
        <v>119</v>
      </c>
      <c r="C104" s="20">
        <v>9.6180000000000003</v>
      </c>
      <c r="D104" s="21">
        <v>3.633</v>
      </c>
      <c r="E104" s="20">
        <v>142.36000000000001</v>
      </c>
      <c r="F104" s="20">
        <v>22.562000000000001</v>
      </c>
      <c r="G104" s="20">
        <v>63.825000000000003</v>
      </c>
      <c r="H104" s="21">
        <v>0.55100000000000005</v>
      </c>
      <c r="I104" s="20">
        <v>7.8E-2</v>
      </c>
      <c r="J104" s="99">
        <v>87.777000000000001</v>
      </c>
      <c r="K104" s="31"/>
      <c r="L104" s="102">
        <v>1.6E-2</v>
      </c>
      <c r="M104" s="20">
        <v>14.074999999999999</v>
      </c>
      <c r="N104" s="21">
        <v>0.17399999999999999</v>
      </c>
      <c r="O104" s="367">
        <v>7.431</v>
      </c>
      <c r="P104" s="366">
        <f>SUM(C104:O104)</f>
        <v>352.1</v>
      </c>
      <c r="Q104" s="49"/>
      <c r="R104" s="1857">
        <v>95.183000000000007</v>
      </c>
      <c r="S104" s="20">
        <v>0</v>
      </c>
      <c r="T104" s="99">
        <v>897.26099999999997</v>
      </c>
      <c r="U104" s="50"/>
      <c r="V104" s="112">
        <v>24.280999999999999</v>
      </c>
      <c r="W104" s="401">
        <f>SUM(R104:V104)</f>
        <v>1016.7249999999999</v>
      </c>
      <c r="X104" s="56"/>
      <c r="Y104" s="954">
        <v>324.48599999999999</v>
      </c>
      <c r="Z104" s="1608"/>
      <c r="AA104" s="1595"/>
      <c r="AB104" s="1595"/>
      <c r="AC104" s="2268"/>
      <c r="AD104" s="2193"/>
      <c r="AE104" s="2301"/>
      <c r="AF104" s="2324">
        <v>-664.62300000000005</v>
      </c>
      <c r="AG104" s="2313">
        <v>304.70800000000003</v>
      </c>
      <c r="AH104" s="1800">
        <f>W104-V104-(IF(AND(Motpart!$Y$38="",Motpart!$Z$38=""),0,IF(AND(Motpart!$Y$38=0,Motpart!$Z$38=0),0,((T104/$T$109)*(Motpart!$Y$38+Motpart!$Z$38)))))</f>
        <v>978.71123827703912</v>
      </c>
    </row>
    <row r="105" spans="1:34">
      <c r="A105" s="2029" t="s">
        <v>267</v>
      </c>
      <c r="B105" s="848" t="s">
        <v>27</v>
      </c>
      <c r="C105" s="23">
        <v>9.2460000000000004</v>
      </c>
      <c r="D105" s="21">
        <v>3.9689999999999999</v>
      </c>
      <c r="E105" s="23">
        <v>100.601</v>
      </c>
      <c r="F105" s="23">
        <v>0.35099999999999998</v>
      </c>
      <c r="G105" s="23">
        <v>16.602</v>
      </c>
      <c r="H105" s="24">
        <v>3.0089999999999999</v>
      </c>
      <c r="I105" s="23">
        <v>3.5000000000000003E-2</v>
      </c>
      <c r="J105" s="100">
        <v>18.234000000000002</v>
      </c>
      <c r="K105" s="31"/>
      <c r="L105" s="103">
        <v>13.904999999999999</v>
      </c>
      <c r="M105" s="23">
        <v>22.327999999999999</v>
      </c>
      <c r="N105" s="24">
        <v>0.10100000000000001</v>
      </c>
      <c r="O105" s="367">
        <v>5.6369999999999996</v>
      </c>
      <c r="P105" s="366">
        <f>SUM(C105:O105)</f>
        <v>194.018</v>
      </c>
      <c r="Q105" s="49"/>
      <c r="R105" s="1855">
        <v>114.07599999999999</v>
      </c>
      <c r="S105" s="23">
        <v>0</v>
      </c>
      <c r="T105" s="100">
        <v>18.946000000000002</v>
      </c>
      <c r="U105" s="50"/>
      <c r="V105" s="113">
        <v>51.365000000000002</v>
      </c>
      <c r="W105" s="401">
        <f>SUM(R105:V105)</f>
        <v>184.387</v>
      </c>
      <c r="X105" s="56"/>
      <c r="Y105" s="954">
        <v>142.59700000000001</v>
      </c>
      <c r="Z105" s="1594"/>
      <c r="AA105" s="1595"/>
      <c r="AB105" s="1595"/>
      <c r="AC105" s="2268"/>
      <c r="AD105" s="2193"/>
      <c r="AE105" s="2301"/>
      <c r="AF105" s="2324">
        <v>9.6310000000000002</v>
      </c>
      <c r="AG105" s="2313">
        <v>139.29300000000001</v>
      </c>
      <c r="AH105" s="1800">
        <f>W105-V105-(IF(AND(Motpart!$Y$38="",Motpart!$Z$38=""),0,IF(AND(Motpart!$Y$38=0,Motpart!$Z$38=0),0,((T105/$T$109)*(Motpart!$Y$38+Motpart!$Z$38)))))</f>
        <v>132.73202762451146</v>
      </c>
    </row>
    <row r="106" spans="1:34">
      <c r="A106" s="2029" t="s">
        <v>268</v>
      </c>
      <c r="B106" s="848" t="s">
        <v>28</v>
      </c>
      <c r="C106" s="23">
        <v>1688.8219999999999</v>
      </c>
      <c r="D106" s="21">
        <v>722.66700000000003</v>
      </c>
      <c r="E106" s="23">
        <v>2838.0320000000002</v>
      </c>
      <c r="F106" s="23">
        <v>2039.23</v>
      </c>
      <c r="G106" s="23">
        <v>1532.3420000000001</v>
      </c>
      <c r="H106" s="24">
        <v>13.827999999999999</v>
      </c>
      <c r="I106" s="23">
        <v>48.3</v>
      </c>
      <c r="J106" s="100">
        <v>3256.7570000000001</v>
      </c>
      <c r="K106" s="31"/>
      <c r="L106" s="103">
        <v>117.136</v>
      </c>
      <c r="M106" s="23">
        <v>1533.356</v>
      </c>
      <c r="N106" s="24">
        <v>9.4580000000000002</v>
      </c>
      <c r="O106" s="367">
        <v>399.74099999999999</v>
      </c>
      <c r="P106" s="366">
        <f>SUM(C106:O106)</f>
        <v>14199.669</v>
      </c>
      <c r="Q106" s="49"/>
      <c r="R106" s="1855">
        <v>11707.662</v>
      </c>
      <c r="S106" s="23">
        <v>19.242000000000001</v>
      </c>
      <c r="T106" s="100">
        <v>719.02099999999996</v>
      </c>
      <c r="U106" s="50"/>
      <c r="V106" s="113">
        <v>1373.694</v>
      </c>
      <c r="W106" s="401">
        <f>SUM(R106:V106)</f>
        <v>13819.619000000001</v>
      </c>
      <c r="X106" s="56"/>
      <c r="Y106" s="954">
        <v>12782.715</v>
      </c>
      <c r="Z106" s="1594"/>
      <c r="AA106" s="1595"/>
      <c r="AB106" s="1595"/>
      <c r="AC106" s="2268"/>
      <c r="AD106" s="2193"/>
      <c r="AE106" s="2301"/>
      <c r="AF106" s="2324">
        <v>380.04899999999998</v>
      </c>
      <c r="AG106" s="2313">
        <v>10772.915999999999</v>
      </c>
      <c r="AH106" s="1800">
        <f>W106-V106-(IF(AND(Motpart!$Y$38="",Motpart!$Z$38=""),0,IF(AND(Motpart!$Y$38=0,Motpart!$Z$38=0),0,((T106/$T$109)*(Motpart!$Y$38+Motpart!$Z$38)))))</f>
        <v>12434.920237654591</v>
      </c>
    </row>
    <row r="107" spans="1:34">
      <c r="A107" s="2029" t="s">
        <v>269</v>
      </c>
      <c r="B107" s="848" t="s">
        <v>29</v>
      </c>
      <c r="C107" s="23">
        <v>585.71299999999997</v>
      </c>
      <c r="D107" s="21">
        <v>252.26599999999999</v>
      </c>
      <c r="E107" s="23">
        <v>404.10399999999998</v>
      </c>
      <c r="F107" s="23">
        <v>2542.627</v>
      </c>
      <c r="G107" s="23">
        <v>776.76400000000001</v>
      </c>
      <c r="H107" s="24">
        <v>5.0679999999999996</v>
      </c>
      <c r="I107" s="23">
        <v>28.577000000000002</v>
      </c>
      <c r="J107" s="100">
        <v>281.71800000000002</v>
      </c>
      <c r="K107" s="31"/>
      <c r="L107" s="103">
        <v>36.74</v>
      </c>
      <c r="M107" s="23">
        <v>493.37599999999998</v>
      </c>
      <c r="N107" s="24">
        <v>1.5469999999999999</v>
      </c>
      <c r="O107" s="367">
        <v>92.150999999999996</v>
      </c>
      <c r="P107" s="366">
        <f>SUM(C107:O107)</f>
        <v>5500.6509999999998</v>
      </c>
      <c r="Q107" s="49"/>
      <c r="R107" s="1855">
        <v>4239.8019999999997</v>
      </c>
      <c r="S107" s="23">
        <v>4.6769999999999996</v>
      </c>
      <c r="T107" s="100">
        <v>423.03699999999998</v>
      </c>
      <c r="U107" s="50"/>
      <c r="V107" s="113">
        <v>393.78300000000002</v>
      </c>
      <c r="W107" s="401">
        <f>SUM(R107:V107)</f>
        <v>5061.299</v>
      </c>
      <c r="X107" s="56"/>
      <c r="Y107" s="954">
        <v>5094.2950000000001</v>
      </c>
      <c r="Z107" s="1594"/>
      <c r="AA107" s="1595"/>
      <c r="AB107" s="1595"/>
      <c r="AC107" s="2268"/>
      <c r="AD107" s="2193"/>
      <c r="AE107" s="2301"/>
      <c r="AF107" s="2324">
        <v>439.35</v>
      </c>
      <c r="AG107" s="2313">
        <v>2559.1729999999998</v>
      </c>
      <c r="AH107" s="1800">
        <f>W107-V107-(IF(AND(Motpart!$Y$38="",Motpart!$Z$38=""),0,IF(AND(Motpart!$Y$38=0,Motpart!$Z$38=0),0,((T107/$T$109)*(Motpart!$Y$38+Motpart!$Z$38)))))</f>
        <v>4661.0413328507575</v>
      </c>
    </row>
    <row r="108" spans="1:34" ht="12.75" customHeight="1">
      <c r="A108" s="2029" t="s">
        <v>270</v>
      </c>
      <c r="B108" s="848" t="s">
        <v>120</v>
      </c>
      <c r="C108" s="359">
        <f>SUM(C104:C107)</f>
        <v>2293.3989999999999</v>
      </c>
      <c r="D108" s="26">
        <f t="shared" ref="D108:P108" si="29">SUM(D104:D107)</f>
        <v>982.53499999999997</v>
      </c>
      <c r="E108" s="359">
        <f t="shared" si="29"/>
        <v>3485.0970000000002</v>
      </c>
      <c r="F108" s="359">
        <f t="shared" si="29"/>
        <v>4604.7700000000004</v>
      </c>
      <c r="G108" s="359">
        <f t="shared" si="29"/>
        <v>2389.5329999999999</v>
      </c>
      <c r="H108" s="26">
        <f t="shared" si="29"/>
        <v>22.455999999999996</v>
      </c>
      <c r="I108" s="359">
        <f t="shared" si="29"/>
        <v>76.989999999999995</v>
      </c>
      <c r="J108" s="104">
        <f t="shared" si="29"/>
        <v>3644.4859999999999</v>
      </c>
      <c r="K108" s="146"/>
      <c r="L108" s="368">
        <f>SUM(L104:L107)</f>
        <v>167.797</v>
      </c>
      <c r="M108" s="359">
        <f t="shared" si="29"/>
        <v>2063.1350000000002</v>
      </c>
      <c r="N108" s="26">
        <f t="shared" si="29"/>
        <v>11.280000000000001</v>
      </c>
      <c r="O108" s="26">
        <f t="shared" si="29"/>
        <v>504.96</v>
      </c>
      <c r="P108" s="104">
        <f t="shared" si="29"/>
        <v>20246.438000000002</v>
      </c>
      <c r="Q108" s="49"/>
      <c r="R108" s="368">
        <f>SUM(R104:R107)</f>
        <v>16156.723</v>
      </c>
      <c r="S108" s="359">
        <f>SUM(S104:S107)</f>
        <v>23.919</v>
      </c>
      <c r="T108" s="104">
        <f>SUM(T104:T107)</f>
        <v>2058.2649999999999</v>
      </c>
      <c r="U108" s="49"/>
      <c r="V108" s="116">
        <f>SUM(V104:V107)</f>
        <v>1843.123</v>
      </c>
      <c r="W108" s="117">
        <f>SUM(W104:W107)</f>
        <v>20082.03</v>
      </c>
      <c r="X108" s="56"/>
      <c r="Y108" s="954">
        <v>18344.094000000001</v>
      </c>
      <c r="Z108" s="1594"/>
      <c r="AA108" s="1595"/>
      <c r="AB108" s="1595"/>
      <c r="AC108" s="2268"/>
      <c r="AD108" s="2193"/>
      <c r="AE108" s="2301"/>
      <c r="AF108" s="2324">
        <v>164.411</v>
      </c>
      <c r="AG108" s="2313">
        <v>13776.092000000001</v>
      </c>
      <c r="AH108" s="1800">
        <f>SUM(AH104:AH107)</f>
        <v>18207.404836406899</v>
      </c>
    </row>
    <row r="109" spans="1:34" ht="12.75" customHeight="1">
      <c r="A109" s="2029" t="s">
        <v>271</v>
      </c>
      <c r="B109" s="848" t="s">
        <v>30</v>
      </c>
      <c r="C109" s="359">
        <f>SUM(C97,C102,C108)</f>
        <v>3105.4929999999999</v>
      </c>
      <c r="D109" s="26">
        <f t="shared" ref="D109:P109" si="30">SUM(D97,D102,D108)</f>
        <v>1371.27</v>
      </c>
      <c r="E109" s="359">
        <f t="shared" si="30"/>
        <v>4738.8990000000003</v>
      </c>
      <c r="F109" s="359">
        <f t="shared" si="30"/>
        <v>6086.5580000000009</v>
      </c>
      <c r="G109" s="359">
        <f t="shared" si="30"/>
        <v>3809.277</v>
      </c>
      <c r="H109" s="26">
        <f t="shared" si="30"/>
        <v>1169.2459999999999</v>
      </c>
      <c r="I109" s="359">
        <f t="shared" si="30"/>
        <v>860.72700000000009</v>
      </c>
      <c r="J109" s="104">
        <f t="shared" si="30"/>
        <v>7080.9830000000002</v>
      </c>
      <c r="K109" s="146"/>
      <c r="L109" s="368">
        <f>SUM(L97,L102,L108)</f>
        <v>405.9</v>
      </c>
      <c r="M109" s="359">
        <f t="shared" si="30"/>
        <v>2751.6120000000001</v>
      </c>
      <c r="N109" s="26">
        <f t="shared" si="30"/>
        <v>20.571000000000002</v>
      </c>
      <c r="O109" s="26">
        <f t="shared" si="30"/>
        <v>839.64800000000002</v>
      </c>
      <c r="P109" s="104">
        <f t="shared" si="30"/>
        <v>32240.184000000001</v>
      </c>
      <c r="Q109" s="49"/>
      <c r="R109" s="368">
        <f>SUM(R97,R102,R108)</f>
        <v>16719.541000000001</v>
      </c>
      <c r="S109" s="359">
        <f>SUM(S97,S102,S108)</f>
        <v>1620.8780000000002</v>
      </c>
      <c r="T109" s="104">
        <f>SUM(T97,T102,T108)</f>
        <v>9022.4219999999987</v>
      </c>
      <c r="U109" s="49"/>
      <c r="V109" s="116">
        <f>SUM(V97,V102,V108)</f>
        <v>2983.0830000000001</v>
      </c>
      <c r="W109" s="117">
        <f>SUM(W97,W102,W108)</f>
        <v>30345.923999999999</v>
      </c>
      <c r="X109" s="56"/>
      <c r="Y109" s="954">
        <v>29119.026000000002</v>
      </c>
      <c r="Z109" s="957">
        <f>(P109-W109)*1000/invanare</f>
        <v>179.52166412505599</v>
      </c>
      <c r="AA109" s="958">
        <f>Y109*1000/invanare</f>
        <v>2759.6507370797917</v>
      </c>
      <c r="AB109" s="972">
        <v>2748.0540000000001</v>
      </c>
      <c r="AC109" s="2275">
        <f>IF(ISERROR((AA109-AB109)/AB109)," ",((AA109-AB109)/AB109))</f>
        <v>4.2199815141156748E-3</v>
      </c>
      <c r="AD109" s="2193"/>
      <c r="AE109" s="2305">
        <f>IF(ISERROR(F109/(AA109/1000*invanare)),"",(F109/(AA109/100000*invanare)))</f>
        <v>20.902340620871048</v>
      </c>
      <c r="AF109" s="2324">
        <v>1894.2729999999999</v>
      </c>
      <c r="AG109" s="2313">
        <v>22001.312999999998</v>
      </c>
      <c r="AH109" s="1800">
        <f>W109-V109-SUM(Motpart!Y38:Z38)</f>
        <v>27224.751</v>
      </c>
    </row>
    <row r="110" spans="1:34" ht="12.75" customHeight="1" thickBot="1">
      <c r="A110" s="2040" t="s">
        <v>272</v>
      </c>
      <c r="B110" s="848" t="s">
        <v>121</v>
      </c>
      <c r="C110" s="359">
        <f>SUM(C90,C109)</f>
        <v>295945.05400000006</v>
      </c>
      <c r="D110" s="382">
        <f t="shared" ref="D110:P110" si="31">SUM(D90,D109)</f>
        <v>126768.35600000001</v>
      </c>
      <c r="E110" s="359">
        <f t="shared" si="31"/>
        <v>33237.127</v>
      </c>
      <c r="F110" s="359">
        <f t="shared" si="31"/>
        <v>158684.03199999998</v>
      </c>
      <c r="G110" s="359">
        <f t="shared" si="31"/>
        <v>49818.436999999998</v>
      </c>
      <c r="H110" s="26">
        <f t="shared" si="31"/>
        <v>27962.714999999997</v>
      </c>
      <c r="I110" s="359">
        <f t="shared" si="31"/>
        <v>23957.351999999999</v>
      </c>
      <c r="J110" s="104">
        <f t="shared" si="31"/>
        <v>24042.397999999997</v>
      </c>
      <c r="K110" s="146"/>
      <c r="L110" s="368">
        <f>SUM(L90,L109)</f>
        <v>47875.320999999996</v>
      </c>
      <c r="M110" s="359">
        <f t="shared" si="31"/>
        <v>100646.05699999999</v>
      </c>
      <c r="N110" s="374">
        <f t="shared" si="31"/>
        <v>2722.7159999999999</v>
      </c>
      <c r="O110" s="374">
        <f t="shared" si="31"/>
        <v>23843.51981247279</v>
      </c>
      <c r="P110" s="104">
        <f t="shared" si="31"/>
        <v>915494.99900000007</v>
      </c>
      <c r="Q110" s="49"/>
      <c r="R110" s="368">
        <f>SUM(R90,R109)</f>
        <v>44170.716</v>
      </c>
      <c r="S110" s="359">
        <f>SUM(S90,S109)</f>
        <v>10110.447000000002</v>
      </c>
      <c r="T110" s="104">
        <f>SUM(T90,T109)</f>
        <v>95352.951000000001</v>
      </c>
      <c r="U110" s="49"/>
      <c r="V110" s="116">
        <f>SUM(V90,V109)</f>
        <v>78195.660999999993</v>
      </c>
      <c r="W110" s="117">
        <f>SUM(W90,W109)</f>
        <v>227829.77500000002</v>
      </c>
      <c r="X110" s="56"/>
      <c r="Y110" s="976">
        <v>822882.96900000004</v>
      </c>
      <c r="Z110" s="982">
        <f>Z90+Z109</f>
        <v>65170.993091449564</v>
      </c>
      <c r="AA110" s="983">
        <f>AA90+AA109</f>
        <v>77710.319382446818</v>
      </c>
      <c r="AB110" s="983">
        <f>AB90+AB109</f>
        <v>73349.264999999999</v>
      </c>
      <c r="AC110" s="2291"/>
      <c r="AD110" s="2193"/>
      <c r="AE110" s="2303">
        <f>IF(ISERROR(F109/(AA109/1000*invanare)),"",SUM(Motpart!D38,Motpart!F38)/(AA109/100000*invanare))</f>
        <v>12.341099595845</v>
      </c>
      <c r="AF110" s="2333">
        <v>687665.28</v>
      </c>
      <c r="AG110" s="2320">
        <v>650652.65899999999</v>
      </c>
      <c r="AH110" s="1807">
        <f>AH90+AH109</f>
        <v>135217.68099999998</v>
      </c>
    </row>
    <row r="111" spans="1:34">
      <c r="A111" s="2029" t="s">
        <v>273</v>
      </c>
      <c r="B111" s="864" t="s">
        <v>31</v>
      </c>
      <c r="C111" s="28">
        <v>3649.056</v>
      </c>
      <c r="D111" s="29">
        <v>1607.9570000000001</v>
      </c>
      <c r="E111" s="28">
        <v>9740.1049999999996</v>
      </c>
      <c r="F111" s="28">
        <v>341.834</v>
      </c>
      <c r="G111" s="28">
        <v>6130.7950000000001</v>
      </c>
      <c r="H111" s="29">
        <v>7.55</v>
      </c>
      <c r="I111" s="28">
        <v>13391.084000000001</v>
      </c>
      <c r="J111" s="101">
        <v>18009.255000000001</v>
      </c>
      <c r="K111" s="31"/>
      <c r="L111" s="105">
        <v>624.55499999999995</v>
      </c>
      <c r="M111" s="28">
        <v>4810.6419999999998</v>
      </c>
      <c r="N111" s="383">
        <v>0</v>
      </c>
      <c r="O111" s="384">
        <v>0</v>
      </c>
      <c r="P111" s="115">
        <f>SUM(C111:O111)</f>
        <v>58312.832999999999</v>
      </c>
      <c r="Q111" s="49"/>
      <c r="R111" s="105">
        <v>135.12200000000001</v>
      </c>
      <c r="S111" s="28">
        <v>4618.0969999999998</v>
      </c>
      <c r="T111" s="101">
        <v>1748.9760000000001</v>
      </c>
      <c r="U111" s="50"/>
      <c r="V111" s="114">
        <v>51435.724000000002</v>
      </c>
      <c r="W111" s="115">
        <f>SUM(R111:V111)</f>
        <v>57937.919000000002</v>
      </c>
      <c r="X111" s="56"/>
      <c r="Y111" s="987"/>
      <c r="Z111" s="977"/>
      <c r="AA111" s="978"/>
      <c r="AB111" s="979"/>
      <c r="AC111" s="2289"/>
      <c r="AD111" s="2193"/>
      <c r="AE111" s="2298"/>
      <c r="AF111" s="2323"/>
      <c r="AG111" s="1562"/>
      <c r="AH111" s="1798"/>
    </row>
    <row r="112" spans="1:34" ht="13.5" thickBot="1">
      <c r="A112" s="2042" t="s">
        <v>274</v>
      </c>
      <c r="B112" s="848" t="s">
        <v>32</v>
      </c>
      <c r="C112" s="23">
        <v>22143.027999999998</v>
      </c>
      <c r="D112" s="21">
        <v>9522.2469999999994</v>
      </c>
      <c r="E112" s="23">
        <v>7018.53</v>
      </c>
      <c r="F112" s="23">
        <v>694.58299999999997</v>
      </c>
      <c r="G112" s="23">
        <v>14952.406999999999</v>
      </c>
      <c r="H112" s="24">
        <v>373.851</v>
      </c>
      <c r="I112" s="23">
        <v>835.34900000000005</v>
      </c>
      <c r="J112" s="100">
        <v>3551.203</v>
      </c>
      <c r="K112" s="31"/>
      <c r="L112" s="103">
        <v>1913.393</v>
      </c>
      <c r="M112" s="23">
        <v>7916.0789999999997</v>
      </c>
      <c r="N112" s="385"/>
      <c r="O112" s="386"/>
      <c r="P112" s="387">
        <f>SUM(C112:O112)</f>
        <v>68920.67</v>
      </c>
      <c r="Q112" s="49"/>
      <c r="R112" s="106">
        <v>341.45400000000001</v>
      </c>
      <c r="S112" s="107">
        <v>190.67500000000001</v>
      </c>
      <c r="T112" s="108">
        <v>6629.0410000000002</v>
      </c>
      <c r="U112" s="50"/>
      <c r="V112" s="1859">
        <f>SUM(I118:I120)</f>
        <v>61759.5</v>
      </c>
      <c r="W112" s="117">
        <f>SUM(R112:V112)</f>
        <v>68920.67</v>
      </c>
      <c r="X112" s="56"/>
      <c r="Y112" s="953"/>
      <c r="Z112" s="988"/>
      <c r="AA112" s="960"/>
      <c r="AB112" s="961"/>
      <c r="AC112" s="2277"/>
      <c r="AD112" s="2193"/>
      <c r="AE112" s="2298"/>
      <c r="AF112" s="2323"/>
      <c r="AG112" s="1562"/>
      <c r="AH112" s="1798"/>
    </row>
    <row r="113" spans="1:34" ht="12.75" customHeight="1" thickBot="1">
      <c r="A113" s="2041" t="s">
        <v>275</v>
      </c>
      <c r="B113" s="865" t="s">
        <v>33</v>
      </c>
      <c r="C113" s="391">
        <f>SUM(C110:C112)</f>
        <v>321737.13800000004</v>
      </c>
      <c r="D113" s="390">
        <f t="shared" ref="D113:W113" si="32">SUM(D110:D112)</f>
        <v>137898.56</v>
      </c>
      <c r="E113" s="389">
        <f t="shared" si="32"/>
        <v>49995.762000000002</v>
      </c>
      <c r="F113" s="389">
        <f t="shared" si="32"/>
        <v>159720.44899999999</v>
      </c>
      <c r="G113" s="389">
        <f t="shared" si="32"/>
        <v>70901.638999999996</v>
      </c>
      <c r="H113" s="390">
        <f t="shared" si="32"/>
        <v>28344.115999999995</v>
      </c>
      <c r="I113" s="392">
        <f t="shared" si="32"/>
        <v>38183.785000000003</v>
      </c>
      <c r="J113" s="393">
        <f t="shared" si="32"/>
        <v>45602.856</v>
      </c>
      <c r="K113" s="146"/>
      <c r="L113" s="388">
        <f>SUM(L110:L112)</f>
        <v>50413.269</v>
      </c>
      <c r="M113" s="389">
        <f t="shared" si="32"/>
        <v>113372.77799999999</v>
      </c>
      <c r="N113" s="390">
        <f t="shared" si="32"/>
        <v>2722.7159999999999</v>
      </c>
      <c r="O113" s="390">
        <f>SUM(O110:O112)</f>
        <v>23843.51981247279</v>
      </c>
      <c r="P113" s="1636">
        <f>SUM(P110:P112)</f>
        <v>1042728.5020000001</v>
      </c>
      <c r="Q113" s="49"/>
      <c r="R113" s="391">
        <f t="shared" si="32"/>
        <v>44647.292000000001</v>
      </c>
      <c r="S113" s="389">
        <f t="shared" si="32"/>
        <v>14919.219000000001</v>
      </c>
      <c r="T113" s="390">
        <f t="shared" si="32"/>
        <v>103730.96799999999</v>
      </c>
      <c r="U113" s="111"/>
      <c r="V113" s="406">
        <f t="shared" si="32"/>
        <v>191390.88500000001</v>
      </c>
      <c r="W113" s="1637">
        <f t="shared" si="32"/>
        <v>354688.364</v>
      </c>
      <c r="X113" s="56"/>
      <c r="Y113" s="989"/>
      <c r="Z113" s="990"/>
      <c r="AA113" s="991"/>
      <c r="AB113" s="992"/>
      <c r="AC113" s="2292"/>
      <c r="AD113" s="2193"/>
      <c r="AE113" s="2311"/>
      <c r="AF113" s="2334"/>
      <c r="AG113" s="2321"/>
      <c r="AH113" s="1808"/>
    </row>
    <row r="114" spans="1:34">
      <c r="A114" s="1208"/>
      <c r="B114" s="1209"/>
      <c r="C114" s="1210"/>
      <c r="D114" s="1646"/>
      <c r="E114" s="14"/>
      <c r="F114" s="204"/>
      <c r="G114" s="30"/>
      <c r="H114" s="42"/>
      <c r="I114" s="2578" t="s">
        <v>523</v>
      </c>
      <c r="J114" s="2579"/>
      <c r="K114" s="2579"/>
      <c r="L114" s="2580"/>
      <c r="M114" s="394">
        <f>I118</f>
        <v>35201.32</v>
      </c>
      <c r="N114" s="177"/>
      <c r="O114" s="32"/>
      <c r="P114" s="1933"/>
      <c r="Q114" s="201"/>
      <c r="R114" s="32"/>
      <c r="S114" s="32"/>
      <c r="T114" s="32"/>
      <c r="U114" s="201"/>
      <c r="V114" s="32"/>
      <c r="W114" s="32"/>
      <c r="X114" s="32"/>
      <c r="Y114" s="32"/>
      <c r="Z114" s="55"/>
      <c r="AA114" s="55"/>
      <c r="AB114" s="55"/>
      <c r="AC114" s="55"/>
      <c r="AD114" s="2193"/>
      <c r="AE114" s="413"/>
      <c r="AF114" s="169"/>
    </row>
    <row r="115" spans="1:34" ht="13.5" thickBot="1">
      <c r="A115" s="11"/>
      <c r="B115" s="41"/>
      <c r="C115" s="2193"/>
      <c r="D115" s="2193"/>
      <c r="E115" s="170"/>
      <c r="F115" s="170"/>
      <c r="G115" s="170"/>
      <c r="H115" s="32"/>
      <c r="I115" s="32"/>
      <c r="J115" s="34"/>
      <c r="K115" s="34"/>
      <c r="L115" s="206"/>
      <c r="M115" s="207"/>
      <c r="N115" s="207"/>
      <c r="O115" s="207"/>
      <c r="P115" s="2142" t="str">
        <f>IF(AND(L113&lt;&gt;0,P111=0),"Om interna lokalkostander finns, bör det även finnas kostnader för gemensamma lokaler. Stämmer uppgifterna?","")</f>
        <v/>
      </c>
      <c r="Q115" s="1513"/>
      <c r="R115" s="1514"/>
      <c r="S115" s="205"/>
      <c r="T115" s="32"/>
      <c r="U115" s="201"/>
      <c r="V115" s="32"/>
      <c r="W115" s="40"/>
      <c r="X115" s="1513"/>
      <c r="Y115" s="1514"/>
      <c r="Z115" s="183"/>
      <c r="AA115" s="183"/>
      <c r="AB115" s="5"/>
      <c r="AC115" s="12"/>
      <c r="AD115" s="2193"/>
      <c r="AE115" s="413"/>
      <c r="AF115" s="169"/>
    </row>
    <row r="116" spans="1:34" ht="16.5" thickBot="1">
      <c r="A116" s="2193"/>
      <c r="B116" s="2193"/>
      <c r="C116" s="2193"/>
      <c r="D116" s="2193"/>
      <c r="E116" s="36" t="s">
        <v>142</v>
      </c>
      <c r="F116" s="35"/>
      <c r="G116" s="32"/>
      <c r="H116" s="30"/>
      <c r="I116" s="30"/>
      <c r="J116" s="183"/>
      <c r="K116" s="183"/>
      <c r="L116" s="993">
        <v>960</v>
      </c>
      <c r="M116" s="1006" t="s">
        <v>203</v>
      </c>
      <c r="N116" s="1007"/>
      <c r="O116" s="1007"/>
      <c r="P116" s="395">
        <f>-SUM(D113,J113)</f>
        <v>-183501.416</v>
      </c>
      <c r="Q116" s="1356"/>
      <c r="R116" s="1357"/>
      <c r="S116" s="993">
        <v>970</v>
      </c>
      <c r="T116" s="994" t="s">
        <v>143</v>
      </c>
      <c r="U116" s="995"/>
      <c r="V116" s="996"/>
      <c r="W116" s="395">
        <f>-V113</f>
        <v>-191390.88500000001</v>
      </c>
      <c r="X116" s="1559"/>
      <c r="Y116" s="1305"/>
      <c r="AA116" s="1211"/>
      <c r="AB116" s="1211"/>
      <c r="AC116" s="1211"/>
      <c r="AD116" s="2193"/>
      <c r="AE116" s="413"/>
      <c r="AF116" s="169"/>
    </row>
    <row r="117" spans="1:34" ht="16.5" customHeight="1">
      <c r="A117" s="2193"/>
      <c r="B117" s="2193"/>
      <c r="C117" s="2193"/>
      <c r="D117" s="2193"/>
      <c r="E117" s="993">
        <v>922</v>
      </c>
      <c r="F117" s="1007" t="s">
        <v>122</v>
      </c>
      <c r="G117" s="1007"/>
      <c r="H117" s="1007"/>
      <c r="I117" s="397">
        <f>P112-SUM(R112:T112)</f>
        <v>61759.5</v>
      </c>
      <c r="J117" s="277"/>
      <c r="K117" s="183"/>
      <c r="L117" s="998">
        <v>965</v>
      </c>
      <c r="M117" s="1008" t="s">
        <v>204</v>
      </c>
      <c r="N117" s="1009"/>
      <c r="O117" s="1010"/>
      <c r="P117" s="396">
        <f>-SUM(L113:O113)</f>
        <v>-190352.28281247278</v>
      </c>
      <c r="S117" s="998">
        <v>982</v>
      </c>
      <c r="T117" s="2548" t="s">
        <v>520</v>
      </c>
      <c r="U117" s="2549"/>
      <c r="V117" s="2550"/>
      <c r="W117" s="211">
        <v>8920.42</v>
      </c>
      <c r="Y117" s="1211"/>
      <c r="Z117" s="1211"/>
      <c r="AA117" s="1211"/>
      <c r="AB117" s="1211"/>
      <c r="AC117" s="1211"/>
      <c r="AD117" s="2193"/>
      <c r="AE117" s="413"/>
      <c r="AF117" s="169"/>
    </row>
    <row r="118" spans="1:34" ht="19.5" customHeight="1">
      <c r="A118" s="2193"/>
      <c r="B118" s="2193"/>
      <c r="C118" s="2193"/>
      <c r="D118" s="2193"/>
      <c r="E118" s="998">
        <v>924</v>
      </c>
      <c r="F118" s="2561" t="s">
        <v>1197</v>
      </c>
      <c r="G118" s="2562"/>
      <c r="H118" s="2563"/>
      <c r="I118" s="118">
        <v>35201.32</v>
      </c>
      <c r="J118" s="1465"/>
      <c r="K118" s="183"/>
      <c r="L118" s="998">
        <v>975</v>
      </c>
      <c r="M118" s="2545" t="s">
        <v>1072</v>
      </c>
      <c r="N118" s="2546"/>
      <c r="O118" s="2547"/>
      <c r="P118" s="211">
        <v>149312.606</v>
      </c>
      <c r="S118" s="998">
        <v>985</v>
      </c>
      <c r="T118" s="1312" t="s">
        <v>897</v>
      </c>
      <c r="U118" s="1313"/>
      <c r="V118" s="1314"/>
      <c r="W118" s="211">
        <v>1679.5719999999999</v>
      </c>
      <c r="X118" s="1515"/>
      <c r="Y118" s="1515"/>
      <c r="Z118" s="1211"/>
      <c r="AB118" s="1211"/>
      <c r="AC118" s="1211"/>
      <c r="AD118" s="2193"/>
      <c r="AE118" s="413"/>
      <c r="AF118" s="169"/>
    </row>
    <row r="119" spans="1:34" ht="19.5" customHeight="1">
      <c r="A119" s="2193"/>
      <c r="B119" s="2193"/>
      <c r="C119" s="2193"/>
      <c r="D119" s="2193"/>
      <c r="E119" s="998">
        <v>926</v>
      </c>
      <c r="F119" s="1012" t="s">
        <v>813</v>
      </c>
      <c r="G119" s="1013"/>
      <c r="H119" s="1013"/>
      <c r="I119" s="398">
        <f>N113</f>
        <v>2722.7159999999999</v>
      </c>
      <c r="J119" s="277"/>
      <c r="K119" s="183"/>
      <c r="L119" s="998">
        <v>980</v>
      </c>
      <c r="M119" s="2542" t="s">
        <v>1073</v>
      </c>
      <c r="N119" s="2543"/>
      <c r="O119" s="2544"/>
      <c r="P119" s="211">
        <v>8281.4930000000004</v>
      </c>
      <c r="S119" s="998">
        <v>989</v>
      </c>
      <c r="T119" s="1312" t="s">
        <v>206</v>
      </c>
      <c r="U119" s="1313"/>
      <c r="V119" s="1314"/>
      <c r="W119" s="1946">
        <v>861.41499999999996</v>
      </c>
      <c r="X119" s="177"/>
      <c r="Y119" s="193"/>
      <c r="Z119" s="193"/>
      <c r="AA119" s="1212"/>
      <c r="AB119" s="1212"/>
      <c r="AC119" s="1212"/>
      <c r="AD119" s="2193"/>
      <c r="AE119" s="1212"/>
      <c r="AF119" s="169"/>
    </row>
    <row r="120" spans="1:34" ht="13.5" customHeight="1" thickBot="1">
      <c r="A120" s="2193"/>
      <c r="B120" s="2193"/>
      <c r="C120" s="2193"/>
      <c r="D120" s="2193"/>
      <c r="E120" s="1002">
        <v>928</v>
      </c>
      <c r="F120" s="1355" t="s">
        <v>814</v>
      </c>
      <c r="G120" s="1014"/>
      <c r="H120" s="1015"/>
      <c r="I120" s="399">
        <f>I117-I118-I119</f>
        <v>23835.464</v>
      </c>
      <c r="J120" s="277"/>
      <c r="K120" s="183"/>
      <c r="L120" s="998">
        <v>982</v>
      </c>
      <c r="M120" s="1312" t="s">
        <v>1198</v>
      </c>
      <c r="N120" s="1313"/>
      <c r="O120" s="1314"/>
      <c r="P120" s="211">
        <v>1097.0709999999999</v>
      </c>
      <c r="S120" s="998"/>
      <c r="T120" s="1486"/>
      <c r="U120" s="1455"/>
      <c r="V120" s="1456"/>
      <c r="W120" s="1913"/>
      <c r="X120" s="1222"/>
      <c r="Y120" s="1457"/>
      <c r="Z120" s="193"/>
      <c r="AA120" s="1212"/>
      <c r="AB120" s="1212"/>
      <c r="AC120" s="1212"/>
      <c r="AD120" s="2193"/>
      <c r="AE120" s="1212"/>
      <c r="AF120" s="169"/>
    </row>
    <row r="121" spans="1:34" ht="13.5" customHeight="1">
      <c r="A121" s="193"/>
      <c r="B121" s="193"/>
      <c r="C121" s="2193"/>
      <c r="D121" s="2193"/>
      <c r="E121" s="183"/>
      <c r="F121" s="2193"/>
      <c r="G121" s="2193"/>
      <c r="H121" s="2193"/>
      <c r="I121" s="1953"/>
      <c r="J121" s="183"/>
      <c r="K121" s="183"/>
      <c r="L121" s="998">
        <v>985</v>
      </c>
      <c r="M121" s="1395" t="s">
        <v>800</v>
      </c>
      <c r="N121" s="1395"/>
      <c r="O121" s="1396"/>
      <c r="P121" s="174">
        <v>1046.202</v>
      </c>
      <c r="Q121" s="2534"/>
      <c r="R121" s="2535"/>
      <c r="S121" s="997">
        <v>887</v>
      </c>
      <c r="T121" s="999" t="s">
        <v>443</v>
      </c>
      <c r="U121" s="1000"/>
      <c r="V121" s="1001"/>
      <c r="W121" s="400">
        <f>SUM(W113,W116:W119)</f>
        <v>174758.886</v>
      </c>
      <c r="X121" s="1358"/>
      <c r="Y121" s="193"/>
      <c r="Z121" s="193"/>
      <c r="AA121" s="1212"/>
      <c r="AB121" s="1212"/>
      <c r="AC121" s="1212"/>
      <c r="AD121" s="2193"/>
      <c r="AE121" s="1212"/>
      <c r="AF121" s="169"/>
    </row>
    <row r="122" spans="1:34" ht="12.75" customHeight="1" thickBot="1">
      <c r="A122" s="193"/>
      <c r="B122" s="193"/>
      <c r="C122" s="2193"/>
      <c r="D122" s="2193"/>
      <c r="E122" s="183"/>
      <c r="F122" s="2193"/>
      <c r="G122" s="2193"/>
      <c r="H122" s="2193"/>
      <c r="I122" s="1966"/>
      <c r="J122" s="1954"/>
      <c r="K122" s="183"/>
      <c r="L122" s="2342">
        <v>988</v>
      </c>
      <c r="M122" s="2344" t="s">
        <v>1113</v>
      </c>
      <c r="N122" s="2345"/>
      <c r="O122" s="2347"/>
      <c r="P122" s="174">
        <v>1324.6379999999999</v>
      </c>
      <c r="Q122" s="177"/>
      <c r="R122" s="208"/>
      <c r="S122" s="1002">
        <v>990</v>
      </c>
      <c r="T122" s="1003" t="s">
        <v>91</v>
      </c>
      <c r="U122" s="1004"/>
      <c r="V122" s="1005"/>
      <c r="W122" s="119">
        <f>RR!C7</f>
        <v>174758.89</v>
      </c>
      <c r="X122" s="1358"/>
      <c r="Y122" s="193"/>
      <c r="Z122" s="183"/>
      <c r="AA122" s="183"/>
      <c r="AB122" s="5"/>
      <c r="AC122" s="5"/>
      <c r="AD122" s="2193"/>
      <c r="AE122" s="413"/>
      <c r="AF122" s="169"/>
    </row>
    <row r="123" spans="1:34">
      <c r="A123" s="193"/>
      <c r="B123" s="193"/>
      <c r="C123" s="2193"/>
      <c r="D123" s="2193"/>
      <c r="E123" s="208"/>
      <c r="F123" s="2193"/>
      <c r="G123" s="2193"/>
      <c r="H123" s="2193"/>
      <c r="I123" s="1955"/>
      <c r="J123" s="1954"/>
      <c r="K123" s="183"/>
      <c r="L123" s="998">
        <v>989</v>
      </c>
      <c r="M123" s="1011" t="s">
        <v>205</v>
      </c>
      <c r="N123" s="1641"/>
      <c r="O123" s="1314"/>
      <c r="P123" s="1946">
        <v>857.71799999999996</v>
      </c>
      <c r="Q123" s="177"/>
      <c r="R123" s="193"/>
      <c r="S123" s="209"/>
      <c r="T123" s="209"/>
      <c r="U123" s="209"/>
      <c r="V123" s="209"/>
      <c r="W123" s="226"/>
      <c r="X123" s="193"/>
      <c r="Y123" s="193"/>
      <c r="Z123" s="183"/>
      <c r="AA123" s="183"/>
      <c r="AB123" s="5"/>
      <c r="AC123" s="5"/>
      <c r="AD123" s="2193"/>
      <c r="AE123" s="413"/>
      <c r="AF123" s="169"/>
    </row>
    <row r="124" spans="1:34">
      <c r="A124" s="299"/>
      <c r="B124" s="193"/>
      <c r="C124" s="193"/>
      <c r="D124" s="183"/>
      <c r="E124" s="183"/>
      <c r="F124" s="2193"/>
      <c r="G124" s="2193"/>
      <c r="H124" s="2193"/>
      <c r="I124" s="1955"/>
      <c r="J124" s="1954"/>
      <c r="K124" s="193"/>
      <c r="L124" s="997">
        <v>886</v>
      </c>
      <c r="M124" s="999" t="s">
        <v>443</v>
      </c>
      <c r="N124" s="1000"/>
      <c r="O124" s="1001"/>
      <c r="P124" s="400">
        <f>SUM(P110:P112,P116:P123)</f>
        <v>830794.53118752746</v>
      </c>
      <c r="Q124" s="1358"/>
      <c r="R124" s="193"/>
      <c r="S124" s="209"/>
      <c r="T124" s="209"/>
      <c r="U124" s="209"/>
      <c r="V124" s="209"/>
      <c r="W124" s="209"/>
      <c r="X124" s="193"/>
      <c r="Y124" s="193"/>
      <c r="Z124" s="183"/>
      <c r="AA124" s="183"/>
      <c r="AB124" s="5"/>
      <c r="AC124" s="5"/>
      <c r="AD124" s="2193"/>
      <c r="AE124" s="413"/>
      <c r="AF124" s="169"/>
    </row>
    <row r="125" spans="1:34" ht="22.5" customHeight="1" thickBot="1">
      <c r="A125" s="299"/>
      <c r="B125" s="193"/>
      <c r="C125" s="193"/>
      <c r="D125" s="183"/>
      <c r="E125" s="183"/>
      <c r="F125" s="2193"/>
      <c r="G125" s="2193"/>
      <c r="H125" s="2193"/>
      <c r="I125" s="1955"/>
      <c r="J125" s="1954"/>
      <c r="K125" s="193"/>
      <c r="L125" s="1002">
        <v>990</v>
      </c>
      <c r="M125" s="1003" t="s">
        <v>88</v>
      </c>
      <c r="N125" s="1004"/>
      <c r="O125" s="1005"/>
      <c r="P125" s="1912">
        <f>RR!C8</f>
        <v>830802.62100000004</v>
      </c>
      <c r="Q125" s="193"/>
      <c r="R125" s="193"/>
      <c r="S125" s="209"/>
      <c r="T125" s="209"/>
      <c r="U125" s="209"/>
      <c r="V125" s="209"/>
      <c r="W125" s="209"/>
      <c r="X125" s="193"/>
      <c r="Y125" s="193"/>
      <c r="Z125" s="183"/>
      <c r="AA125" s="183"/>
      <c r="AB125" s="5"/>
      <c r="AC125" s="5"/>
      <c r="AD125" s="2193"/>
      <c r="AE125" s="413"/>
      <c r="AF125" s="169"/>
    </row>
    <row r="126" spans="1:34" ht="31.5" customHeight="1">
      <c r="A126" s="209"/>
      <c r="B126" s="209"/>
      <c r="C126" s="209"/>
      <c r="D126" s="208"/>
      <c r="E126" s="208"/>
      <c r="F126" s="1956"/>
      <c r="G126" s="1956"/>
      <c r="H126" s="1956"/>
      <c r="I126" s="1955"/>
      <c r="J126" s="208"/>
      <c r="K126" s="193"/>
      <c r="L126" s="1638"/>
      <c r="M126" s="1639"/>
      <c r="N126" s="1640"/>
      <c r="O126" s="1640"/>
      <c r="P126" s="1656"/>
      <c r="Q126" s="183"/>
      <c r="R126" s="208"/>
      <c r="S126" s="209"/>
      <c r="T126" s="209"/>
      <c r="U126" s="193"/>
      <c r="V126" s="209"/>
      <c r="W126" s="209"/>
      <c r="X126" s="193"/>
      <c r="Y126" s="209"/>
      <c r="Z126" s="208"/>
      <c r="AA126" s="208"/>
      <c r="AB126" s="1"/>
      <c r="AC126" s="1"/>
      <c r="AD126" s="2193"/>
      <c r="AE126" s="414"/>
      <c r="AF126" s="169"/>
    </row>
    <row r="127" spans="1:34" hidden="1">
      <c r="L127" s="208"/>
      <c r="M127" s="208"/>
      <c r="N127" s="208"/>
      <c r="O127" s="208"/>
      <c r="P127" s="226"/>
    </row>
    <row r="303" spans="16:16" hidden="1">
      <c r="P303" s="210" t="str">
        <f>IF(P124&lt;&gt;P125,"Differens mot vht kostnader i RR, måste rättas!","")</f>
        <v>Differens mot vht kostnader i RR, måste rättas!</v>
      </c>
    </row>
  </sheetData>
  <sheetProtection algorithmName="SHA-512" hashValue="4qv+S/KayatPPj80vQ7p7c2MhaD2iQgiE9omFgkjLHiaB1C143PiwwD9IVz37RJcG1wn6thRg/NpUB5MSYGlCQ==" saltValue="y+uSYqHzvrySfrx8hUNKLw==" spinCount="100000" sheet="1" objects="1" scenarios="1"/>
  <customSheetViews>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1"/>
      <headerFooter>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3"/>
      <headerFooter alignWithMargins="0">
        <oddHeader>&amp;L&amp;8Statistiska Centralbyrån
Offentlig ekonomi&amp;R&amp;P</oddHeader>
      </headerFooter>
    </customSheetView>
  </customSheetViews>
  <mergeCells count="26">
    <mergeCell ref="C4:D4"/>
    <mergeCell ref="E4:H4"/>
    <mergeCell ref="L4:O4"/>
    <mergeCell ref="I4:J4"/>
    <mergeCell ref="I114:L114"/>
    <mergeCell ref="F118:H118"/>
    <mergeCell ref="AH5:AH6"/>
    <mergeCell ref="Z44:AC44"/>
    <mergeCell ref="AG5:AG6"/>
    <mergeCell ref="AF5:AF6"/>
    <mergeCell ref="Z18:AC18"/>
    <mergeCell ref="Z11:AC11"/>
    <mergeCell ref="Q121:R121"/>
    <mergeCell ref="R4:T4"/>
    <mergeCell ref="Z4:AB4"/>
    <mergeCell ref="M119:O119"/>
    <mergeCell ref="M118:O118"/>
    <mergeCell ref="T117:V117"/>
    <mergeCell ref="Y5:Y6"/>
    <mergeCell ref="Z31:AC31"/>
    <mergeCell ref="Z72:AC72"/>
    <mergeCell ref="Z91:AC91"/>
    <mergeCell ref="Z45:AA45"/>
    <mergeCell ref="Z52:AC52"/>
    <mergeCell ref="N5:O5"/>
    <mergeCell ref="Z86:AC86"/>
  </mergeCells>
  <phoneticPr fontId="88" type="noConversion"/>
  <conditionalFormatting sqref="D13:D16 D19:D29 D33:D36 D39:D41 D46:D50 D53:D57 D60:D61 D63:D65 D70:D71 D73:D76 D79:D82 D111:D112 D87:D88 D93:D96 D99:D101 D104:D107 D84">
    <cfRule type="expression" dxfId="99" priority="40" stopIfTrue="1">
      <formula>C13&lt;50</formula>
    </cfRule>
  </conditionalFormatting>
  <conditionalFormatting sqref="T51">
    <cfRule type="expression" dxfId="98" priority="48" stopIfTrue="1">
      <formula>T51-SUM(AB53:AB55)&lt;0</formula>
    </cfRule>
  </conditionalFormatting>
  <conditionalFormatting sqref="P117">
    <cfRule type="expression" dxfId="97" priority="49" stopIfTrue="1">
      <formula>ABS(P117-W116)&lt;10000</formula>
    </cfRule>
    <cfRule type="expression" dxfId="96" priority="50" stopIfTrue="1">
      <formula>ABS((P117-W116)/W116)&gt;0.05</formula>
    </cfRule>
  </conditionalFormatting>
  <conditionalFormatting sqref="W116">
    <cfRule type="expression" dxfId="95" priority="51" stopIfTrue="1">
      <formula>ABS(P117-W116)&lt;10000</formula>
    </cfRule>
    <cfRule type="expression" dxfId="94" priority="52" stopIfTrue="1">
      <formula>ABS((P117-W116)/W116)&gt;0.05</formula>
    </cfRule>
  </conditionalFormatting>
  <conditionalFormatting sqref="P111">
    <cfRule type="expression" dxfId="93" priority="53" stopIfTrue="1">
      <formula>ABS(P111-W111)&lt;10000</formula>
    </cfRule>
    <cfRule type="expression" dxfId="92" priority="54" stopIfTrue="1">
      <formula>ABS((P111-W111)/W111)&gt;0.05</formula>
    </cfRule>
  </conditionalFormatting>
  <conditionalFormatting sqref="W111">
    <cfRule type="expression" dxfId="91" priority="75" stopIfTrue="1">
      <formula>ABS(P111-W111)&lt;10000</formula>
    </cfRule>
    <cfRule type="expression" dxfId="90" priority="76" stopIfTrue="1">
      <formula>ABS((P111-W111)/W111)&gt;0.05</formula>
    </cfRule>
  </conditionalFormatting>
  <conditionalFormatting sqref="P13:P14 P23:P24">
    <cfRule type="expression" dxfId="89" priority="58" stopIfTrue="1">
      <formula>$P$124&lt;100000</formula>
    </cfRule>
    <cfRule type="cellIs" dxfId="88" priority="59" stopIfTrue="1" operator="lessThan">
      <formula>1</formula>
    </cfRule>
  </conditionalFormatting>
  <conditionalFormatting sqref="C13:W113 P120:P122">
    <cfRule type="cellIs" dxfId="87" priority="33" stopIfTrue="1" operator="lessThan">
      <formula>-500</formula>
    </cfRule>
  </conditionalFormatting>
  <conditionalFormatting sqref="P118 W117:W118 I118">
    <cfRule type="cellIs" dxfId="86" priority="32" stopIfTrue="1" operator="lessThan">
      <formula>-500</formula>
    </cfRule>
  </conditionalFormatting>
  <conditionalFormatting sqref="H47">
    <cfRule type="cellIs" dxfId="85" priority="24" stopIfTrue="1" operator="greaterThan">
      <formula>$F$47</formula>
    </cfRule>
  </conditionalFormatting>
  <conditionalFormatting sqref="H50">
    <cfRule type="cellIs" dxfId="84" priority="22" stopIfTrue="1" operator="greaterThan">
      <formula>$F$50</formula>
    </cfRule>
  </conditionalFormatting>
  <conditionalFormatting sqref="R53">
    <cfRule type="cellIs" dxfId="83" priority="21" stopIfTrue="1" operator="greaterThan">
      <formula>100</formula>
    </cfRule>
  </conditionalFormatting>
  <conditionalFormatting sqref="R100">
    <cfRule type="expression" dxfId="82" priority="17" stopIfTrue="1">
      <formula>AND(C100&gt;5000,R100&lt;50)</formula>
    </cfRule>
  </conditionalFormatting>
  <conditionalFormatting sqref="R104">
    <cfRule type="expression" dxfId="81" priority="16" stopIfTrue="1">
      <formula>AND(C104&gt;5000,R104&lt;50)</formula>
    </cfRule>
  </conditionalFormatting>
  <conditionalFormatting sqref="R105">
    <cfRule type="expression" dxfId="80" priority="15" stopIfTrue="1">
      <formula>AND(C105&gt;5000,R105&lt;50)</formula>
    </cfRule>
  </conditionalFormatting>
  <conditionalFormatting sqref="R106">
    <cfRule type="expression" dxfId="79" priority="14" stopIfTrue="1">
      <formula>AND(C106&gt;5000,R106&lt;50)</formula>
    </cfRule>
  </conditionalFormatting>
  <conditionalFormatting sqref="R107">
    <cfRule type="expression" dxfId="78" priority="13" stopIfTrue="1">
      <formula>AND(C107&gt;5000,R107&lt;50)</formula>
    </cfRule>
  </conditionalFormatting>
  <conditionalFormatting sqref="R76">
    <cfRule type="expression" dxfId="77" priority="12" stopIfTrue="1">
      <formula>AND(C76&gt;5000,R76&lt;50)</formula>
    </cfRule>
  </conditionalFormatting>
  <conditionalFormatting sqref="R74">
    <cfRule type="expression" dxfId="76" priority="11" stopIfTrue="1">
      <formula>AND(C74&gt;5000,R74&lt;50)</formula>
    </cfRule>
  </conditionalFormatting>
  <conditionalFormatting sqref="R73">
    <cfRule type="expression" dxfId="75" priority="10" stopIfTrue="1">
      <formula>AND(C73&gt;5000,R73&lt;50)</formula>
    </cfRule>
  </conditionalFormatting>
  <conditionalFormatting sqref="R48">
    <cfRule type="expression" dxfId="74" priority="9" stopIfTrue="1">
      <formula>AND(C48&gt;5000,R48&lt;50)</formula>
    </cfRule>
  </conditionalFormatting>
  <conditionalFormatting sqref="J122:J125">
    <cfRule type="expression" dxfId="73" priority="1">
      <formula>(L119+L120-M120)/M120&gt;0.1</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63:N66 C70:N71 C73:N76 R73:V76 R70:V71 R63:V66 C13:N16 C19:N29 C33:N36 C39:N41 C46:N50 C53:N57 R53:V57 R46:V50 R39:V41 R33:V36 R19:V29 R13:V16 R60:V61 C60:N61 R87:V88 W117:W120 P118:P123"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13:A113"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5"/>
  <sheetViews>
    <sheetView showGridLines="0" zoomScaleNormal="100" workbookViewId="0">
      <pane xSplit="2" ySplit="8" topLeftCell="C9" activePane="bottomRight" state="frozen"/>
      <selection activeCell="F36" sqref="F36"/>
      <selection pane="topRight" activeCell="F36" sqref="F36"/>
      <selection pane="bottomLeft" activeCell="F36" sqref="F36"/>
      <selection pane="bottomRight" activeCell="C8" sqref="C8"/>
    </sheetView>
  </sheetViews>
  <sheetFormatPr defaultColWidth="0" defaultRowHeight="9" zeroHeight="1"/>
  <cols>
    <col min="1" max="1" width="5.42578125" style="143" customWidth="1"/>
    <col min="2" max="2" width="30.5703125" style="143" customWidth="1"/>
    <col min="3" max="4" width="8.5703125" style="143" customWidth="1"/>
    <col min="5" max="11" width="9.42578125" style="143" customWidth="1"/>
    <col min="12" max="12" width="8" style="143" customWidth="1"/>
    <col min="13" max="13" width="9.42578125" style="143" customWidth="1"/>
    <col min="14" max="14" width="8.42578125" style="143" customWidth="1"/>
    <col min="15" max="22" width="9.42578125" style="143" customWidth="1"/>
    <col min="23" max="24" width="8.42578125" style="143" customWidth="1"/>
    <col min="25" max="25" width="9.42578125" style="143" customWidth="1"/>
    <col min="26" max="26" width="10.5703125" style="143" customWidth="1"/>
    <col min="27" max="27" width="9.42578125" style="143" customWidth="1"/>
    <col min="28" max="28" width="8" style="143" customWidth="1"/>
    <col min="29" max="29" width="11.42578125" style="143" customWidth="1"/>
    <col min="30" max="30" width="25.5703125" style="143" customWidth="1"/>
    <col min="31" max="16384" width="0" style="143" hidden="1"/>
  </cols>
  <sheetData>
    <row r="1" spans="1:30" s="168" customFormat="1" ht="18.75" customHeight="1">
      <c r="A1" s="167"/>
      <c r="B1" s="77"/>
      <c r="C1" s="76" t="str">
        <f>"Motpartsredovisning "&amp;År&amp;", miljoner kr"</f>
        <v>Motpartsredovisning 2023, miljoner kr</v>
      </c>
      <c r="D1" s="77"/>
      <c r="E1" s="167"/>
      <c r="F1" s="167"/>
      <c r="G1" s="167"/>
      <c r="H1" s="167"/>
      <c r="I1" s="167"/>
      <c r="J1" s="510" t="s">
        <v>450</v>
      </c>
      <c r="K1" s="511" t="str">
        <f>Information!A2</f>
        <v>RIKSTOTAL</v>
      </c>
      <c r="L1" s="167"/>
      <c r="M1" s="167"/>
      <c r="N1" s="76"/>
      <c r="O1" s="167"/>
      <c r="P1" s="167"/>
      <c r="Q1" s="167"/>
      <c r="R1" s="167"/>
      <c r="S1" s="76" t="str">
        <f>"Motpartsredovisning "&amp;År&amp;", miljoner kr"</f>
        <v>Motpartsredovisning 2023, miljoner kr</v>
      </c>
      <c r="T1" s="167"/>
      <c r="U1" s="167"/>
      <c r="V1" s="167"/>
      <c r="W1" s="167"/>
      <c r="X1" s="167"/>
      <c r="Y1" s="167"/>
      <c r="Z1" s="510" t="s">
        <v>450</v>
      </c>
      <c r="AA1" s="511" t="str">
        <f>Information!A2</f>
        <v>RIKSTOTAL</v>
      </c>
      <c r="AB1" s="167"/>
      <c r="AC1" s="167"/>
      <c r="AD1" s="2193"/>
    </row>
    <row r="2" spans="1:30" s="168" customFormat="1" ht="11.25" customHeight="1">
      <c r="A2" s="2193"/>
      <c r="B2" s="2193"/>
      <c r="C2" s="2193"/>
      <c r="D2" s="2193"/>
      <c r="E2" s="2193"/>
      <c r="F2" s="2193"/>
      <c r="G2" s="2193"/>
      <c r="H2" s="2193"/>
      <c r="I2" s="2193"/>
      <c r="J2" s="2193"/>
      <c r="K2" s="2193"/>
      <c r="L2" s="2193"/>
      <c r="M2" s="2193"/>
      <c r="N2" s="2193"/>
      <c r="O2" s="2193"/>
      <c r="P2" s="2193"/>
      <c r="Q2" s="2193"/>
      <c r="R2" s="2193"/>
      <c r="S2" s="2193"/>
      <c r="T2" s="2193"/>
      <c r="U2" s="2193"/>
      <c r="V2" s="2193"/>
      <c r="W2" s="2193"/>
      <c r="X2" s="2193"/>
      <c r="Y2" s="2193"/>
      <c r="Z2" s="2193"/>
      <c r="AA2" s="2193"/>
      <c r="AB2" s="2193"/>
      <c r="AC2" s="2193"/>
      <c r="AD2" s="2193"/>
    </row>
    <row r="3" spans="1:30" ht="11.25" customHeight="1" thickBot="1">
      <c r="A3" s="2193"/>
      <c r="B3" s="2193"/>
      <c r="C3" s="2193"/>
      <c r="D3" s="2193"/>
      <c r="E3" s="2193"/>
      <c r="F3" s="2193"/>
      <c r="G3" s="2193"/>
      <c r="H3" s="2193"/>
      <c r="I3" s="2193"/>
      <c r="J3" s="2193"/>
      <c r="K3" s="2193"/>
      <c r="L3" s="2193"/>
      <c r="M3" s="2193"/>
      <c r="N3" s="2193"/>
      <c r="O3" s="2193"/>
      <c r="P3" s="2193"/>
      <c r="Q3" s="2193"/>
      <c r="R3" s="2193"/>
      <c r="S3" s="2193"/>
      <c r="T3" s="2193"/>
      <c r="U3" s="2193"/>
      <c r="V3" s="2193"/>
      <c r="W3" s="2193"/>
      <c r="X3" s="2193"/>
      <c r="Y3" s="2193"/>
      <c r="Z3" s="2193"/>
      <c r="AA3" s="2193"/>
      <c r="AB3" s="2193"/>
      <c r="AC3" s="2193"/>
      <c r="AD3" s="2193"/>
    </row>
    <row r="4" spans="1:30" s="1273" customFormat="1" ht="18" customHeight="1">
      <c r="A4" s="1266" t="s">
        <v>607</v>
      </c>
      <c r="B4" s="1267" t="s">
        <v>13</v>
      </c>
      <c r="C4" s="1256"/>
      <c r="D4" s="1274" t="s">
        <v>776</v>
      </c>
      <c r="E4" s="1267"/>
      <c r="F4" s="1267"/>
      <c r="G4" s="1267"/>
      <c r="H4" s="1267"/>
      <c r="I4" s="1267"/>
      <c r="J4" s="1267"/>
      <c r="K4" s="1267"/>
      <c r="L4" s="1267"/>
      <c r="M4" s="1268"/>
      <c r="N4" s="1274" t="s">
        <v>753</v>
      </c>
      <c r="O4" s="1267"/>
      <c r="P4" s="1267"/>
      <c r="Q4" s="1267"/>
      <c r="R4" s="1267"/>
      <c r="S4" s="1267"/>
      <c r="T4" s="1267"/>
      <c r="U4" s="1267"/>
      <c r="V4" s="1267"/>
      <c r="W4" s="1267"/>
      <c r="X4" s="1269"/>
      <c r="Y4" s="1275" t="s">
        <v>534</v>
      </c>
      <c r="Z4" s="1270"/>
      <c r="AA4" s="1271"/>
      <c r="AB4" s="1271"/>
      <c r="AC4" s="1272"/>
      <c r="AD4" s="2193"/>
    </row>
    <row r="5" spans="1:30" ht="36.75" customHeight="1">
      <c r="A5" s="777" t="s">
        <v>610</v>
      </c>
      <c r="B5" s="1024"/>
      <c r="C5" s="1377" t="s">
        <v>494</v>
      </c>
      <c r="D5" s="1025" t="s">
        <v>461</v>
      </c>
      <c r="E5" s="1019" t="s">
        <v>486</v>
      </c>
      <c r="F5" s="1019" t="s">
        <v>462</v>
      </c>
      <c r="G5" s="1019" t="s">
        <v>123</v>
      </c>
      <c r="H5" s="1019" t="s">
        <v>1026</v>
      </c>
      <c r="I5" s="1019" t="s">
        <v>463</v>
      </c>
      <c r="J5" s="1019" t="s">
        <v>793</v>
      </c>
      <c r="K5" s="1019" t="s">
        <v>1079</v>
      </c>
      <c r="L5" s="1019" t="s">
        <v>148</v>
      </c>
      <c r="M5" s="1021" t="s">
        <v>502</v>
      </c>
      <c r="N5" s="1345" t="s">
        <v>494</v>
      </c>
      <c r="O5" s="1019" t="s">
        <v>461</v>
      </c>
      <c r="P5" s="1257" t="s">
        <v>486</v>
      </c>
      <c r="Q5" s="1257" t="s">
        <v>462</v>
      </c>
      <c r="R5" s="1257" t="s">
        <v>123</v>
      </c>
      <c r="S5" s="1257" t="s">
        <v>1026</v>
      </c>
      <c r="T5" s="1257" t="s">
        <v>1079</v>
      </c>
      <c r="U5" s="1257" t="s">
        <v>794</v>
      </c>
      <c r="V5" s="1257" t="s">
        <v>793</v>
      </c>
      <c r="W5" s="1257" t="s">
        <v>148</v>
      </c>
      <c r="X5" s="1018" t="s">
        <v>502</v>
      </c>
      <c r="Y5" s="2079" t="s">
        <v>1199</v>
      </c>
      <c r="Z5" s="1019" t="s">
        <v>1083</v>
      </c>
      <c r="AA5" s="1020" t="s">
        <v>1200</v>
      </c>
      <c r="AB5" s="1020" t="s">
        <v>464</v>
      </c>
      <c r="AC5" s="1021" t="s">
        <v>465</v>
      </c>
      <c r="AD5" s="2193"/>
    </row>
    <row r="6" spans="1:30" ht="30.75" customHeight="1">
      <c r="A6" s="1091"/>
      <c r="B6" s="2170" t="str">
        <f>"BAS "&amp;År-2000&amp;""</f>
        <v>BAS 23</v>
      </c>
      <c r="C6" s="1344"/>
      <c r="D6" s="1532" t="s">
        <v>754</v>
      </c>
      <c r="E6" s="1533" t="s">
        <v>755</v>
      </c>
      <c r="F6" s="1533" t="s">
        <v>756</v>
      </c>
      <c r="G6" s="1533" t="s">
        <v>757</v>
      </c>
      <c r="H6" s="1533" t="s">
        <v>758</v>
      </c>
      <c r="I6" s="1533" t="s">
        <v>759</v>
      </c>
      <c r="J6" s="1533" t="s">
        <v>760</v>
      </c>
      <c r="K6" s="1533" t="s">
        <v>761</v>
      </c>
      <c r="L6" s="1533" t="s">
        <v>762</v>
      </c>
      <c r="M6" s="1022"/>
      <c r="N6" s="1346"/>
      <c r="O6" s="1532" t="s">
        <v>754</v>
      </c>
      <c r="P6" s="1533" t="s">
        <v>755</v>
      </c>
      <c r="Q6" s="1533" t="s">
        <v>756</v>
      </c>
      <c r="R6" s="1533" t="s">
        <v>757</v>
      </c>
      <c r="S6" s="1533" t="s">
        <v>758</v>
      </c>
      <c r="T6" s="1533" t="s">
        <v>761</v>
      </c>
      <c r="U6" s="1533" t="s">
        <v>759</v>
      </c>
      <c r="V6" s="1533" t="s">
        <v>760</v>
      </c>
      <c r="W6" s="1533" t="s">
        <v>762</v>
      </c>
      <c r="X6" s="1022"/>
      <c r="Y6" s="2080" t="s">
        <v>1027</v>
      </c>
      <c r="Z6" s="1537" t="s">
        <v>763</v>
      </c>
      <c r="AA6" s="1533" t="s">
        <v>764</v>
      </c>
      <c r="AB6" s="1533" t="s">
        <v>131</v>
      </c>
      <c r="AC6" s="2350" t="s">
        <v>1114</v>
      </c>
      <c r="AD6" s="2193"/>
    </row>
    <row r="7" spans="1:30" ht="4.5" customHeight="1">
      <c r="A7" s="1027"/>
      <c r="B7" s="1534"/>
      <c r="C7" s="1535"/>
      <c r="D7" s="1527"/>
      <c r="E7" s="1528"/>
      <c r="F7" s="1528"/>
      <c r="G7" s="1528"/>
      <c r="H7" s="1528"/>
      <c r="I7" s="1528"/>
      <c r="J7" s="1528"/>
      <c r="K7" s="1528"/>
      <c r="L7" s="1536"/>
      <c r="M7" s="1022"/>
      <c r="N7" s="1526"/>
      <c r="O7" s="1527"/>
      <c r="P7" s="1528"/>
      <c r="Q7" s="1528"/>
      <c r="R7" s="1528"/>
      <c r="S7" s="1528"/>
      <c r="T7" s="1528"/>
      <c r="U7" s="1529"/>
      <c r="V7" s="1528"/>
      <c r="W7" s="553"/>
      <c r="X7" s="1022"/>
      <c r="Y7" s="1538"/>
      <c r="Z7" s="1539"/>
      <c r="AA7" s="1539"/>
      <c r="AB7" s="1540"/>
      <c r="AC7" s="1541"/>
      <c r="AD7" s="2193"/>
    </row>
    <row r="8" spans="1:30" ht="12" hidden="1" customHeight="1">
      <c r="A8" s="1026"/>
      <c r="B8" s="1530"/>
      <c r="C8" s="1531"/>
      <c r="D8" s="1516"/>
      <c r="E8" s="1517"/>
      <c r="F8" s="1517"/>
      <c r="G8" s="1517"/>
      <c r="H8" s="1517"/>
      <c r="I8" s="1517"/>
      <c r="J8" s="1517"/>
      <c r="K8" s="1517"/>
      <c r="L8" s="1518"/>
      <c r="M8" s="1023"/>
      <c r="N8" s="1519"/>
      <c r="O8" s="1516"/>
      <c r="P8" s="1517"/>
      <c r="Q8" s="1517"/>
      <c r="R8" s="1517"/>
      <c r="S8" s="1517"/>
      <c r="T8" s="1517"/>
      <c r="U8" s="1520"/>
      <c r="V8" s="1517"/>
      <c r="W8" s="1521"/>
      <c r="X8" s="1023"/>
      <c r="Y8" s="1522"/>
      <c r="Z8" s="1523"/>
      <c r="AA8" s="1523"/>
      <c r="AB8" s="1524"/>
      <c r="AC8" s="1525"/>
      <c r="AD8" s="2193"/>
    </row>
    <row r="9" spans="1:30" ht="14.25" customHeight="1">
      <c r="A9" s="1463">
        <v>190</v>
      </c>
      <c r="B9" s="1029" t="s">
        <v>15</v>
      </c>
      <c r="C9" s="82">
        <f>Drift!F17</f>
        <v>266.79200000000003</v>
      </c>
      <c r="D9" s="65">
        <v>3.3239999999999998</v>
      </c>
      <c r="E9" s="65">
        <v>1.9550000000000001</v>
      </c>
      <c r="F9" s="65">
        <v>15.122999999999999</v>
      </c>
      <c r="G9" s="65">
        <v>227.84700000000001</v>
      </c>
      <c r="H9" s="65">
        <v>6.6849999999999996</v>
      </c>
      <c r="I9" s="65">
        <v>7.4999999999999997E-2</v>
      </c>
      <c r="J9" s="1194">
        <v>0</v>
      </c>
      <c r="K9" s="184">
        <v>11.784000000000001</v>
      </c>
      <c r="L9" s="184">
        <v>0</v>
      </c>
      <c r="M9" s="432">
        <f>C9-SUM(D9:L9)</f>
        <v>-9.9999999997635314E-4</v>
      </c>
      <c r="N9" s="433">
        <f>Drift!H17</f>
        <v>701.00200000000018</v>
      </c>
      <c r="O9" s="65">
        <v>558.53300000000002</v>
      </c>
      <c r="P9" s="65">
        <v>7.2320000000000002</v>
      </c>
      <c r="Q9" s="65">
        <v>47.182000000000002</v>
      </c>
      <c r="R9" s="65">
        <v>10.57</v>
      </c>
      <c r="S9" s="65">
        <v>16.129000000000001</v>
      </c>
      <c r="T9" s="65">
        <v>46.189</v>
      </c>
      <c r="U9" s="65">
        <v>4.8499999999999996</v>
      </c>
      <c r="V9" s="65">
        <v>8.1059999999999999</v>
      </c>
      <c r="W9" s="65">
        <v>2.2120000000000002</v>
      </c>
      <c r="X9" s="432">
        <f>N9-SUM(O9:W9)</f>
        <v>-9.999999998626663E-4</v>
      </c>
      <c r="Y9" s="435">
        <v>200.15199999999999</v>
      </c>
      <c r="Z9" s="65">
        <v>0.48699999999999999</v>
      </c>
      <c r="AA9" s="65">
        <v>26.766999999999999</v>
      </c>
      <c r="AB9" s="65">
        <v>1.107</v>
      </c>
      <c r="AC9" s="98">
        <v>47.237000000000002</v>
      </c>
      <c r="AD9" s="2193"/>
    </row>
    <row r="10" spans="1:30" ht="13.35" customHeight="1">
      <c r="A10" s="549" t="s">
        <v>222</v>
      </c>
      <c r="B10" s="555" t="s">
        <v>147</v>
      </c>
      <c r="C10" s="82">
        <f>Drift!F30</f>
        <v>11676.758000000002</v>
      </c>
      <c r="D10" s="53">
        <v>124.074</v>
      </c>
      <c r="E10" s="53">
        <v>1695.31</v>
      </c>
      <c r="F10" s="53">
        <v>4958.1869999999999</v>
      </c>
      <c r="G10" s="53">
        <v>576.20399999999995</v>
      </c>
      <c r="H10" s="53">
        <v>7.5110000000000001</v>
      </c>
      <c r="I10" s="53">
        <v>56.637999999999998</v>
      </c>
      <c r="J10" s="1188">
        <v>0</v>
      </c>
      <c r="K10" s="54">
        <v>4251.4409999999998</v>
      </c>
      <c r="L10" s="184">
        <v>7.3929999999999998</v>
      </c>
      <c r="M10" s="432">
        <f t="shared" ref="M10:M39" si="0">C10-SUM(D10:L10)</f>
        <v>0</v>
      </c>
      <c r="N10" s="433">
        <f>Drift!H30</f>
        <v>3402.3509999999997</v>
      </c>
      <c r="O10" s="53">
        <v>596.33699999999999</v>
      </c>
      <c r="P10" s="53">
        <v>738.57899999999995</v>
      </c>
      <c r="Q10" s="53">
        <v>419.89100000000002</v>
      </c>
      <c r="R10" s="53">
        <v>31.936</v>
      </c>
      <c r="S10" s="53">
        <v>6.5380000000000003</v>
      </c>
      <c r="T10" s="53">
        <v>917.81</v>
      </c>
      <c r="U10" s="53">
        <v>587.53300000000002</v>
      </c>
      <c r="V10" s="53">
        <v>100.003</v>
      </c>
      <c r="W10" s="53">
        <v>3.7240000000000002</v>
      </c>
      <c r="X10" s="432">
        <f t="shared" ref="X10:X39" si="1">N10-SUM(O10:W10)</f>
        <v>0</v>
      </c>
      <c r="Y10" s="436">
        <v>470.39400000000001</v>
      </c>
      <c r="Z10" s="53">
        <v>11.493</v>
      </c>
      <c r="AA10" s="53">
        <v>1817.4169999999999</v>
      </c>
      <c r="AB10" s="53">
        <v>131.66900000000001</v>
      </c>
      <c r="AC10" s="176">
        <v>1998.7449999999999</v>
      </c>
      <c r="AD10" s="2193"/>
    </row>
    <row r="11" spans="1:30" ht="13.35" customHeight="1">
      <c r="A11" s="549">
        <v>339</v>
      </c>
      <c r="B11" s="555" t="s">
        <v>70</v>
      </c>
      <c r="C11" s="82">
        <f>Drift!F37</f>
        <v>324.214</v>
      </c>
      <c r="D11" s="65">
        <v>57.466999999999999</v>
      </c>
      <c r="E11" s="65">
        <v>60.454999999999998</v>
      </c>
      <c r="F11" s="65">
        <v>136.054</v>
      </c>
      <c r="G11" s="65">
        <v>7.54</v>
      </c>
      <c r="H11" s="65">
        <v>1.18</v>
      </c>
      <c r="I11" s="65">
        <v>0.89800000000000002</v>
      </c>
      <c r="J11" s="1194">
        <v>0</v>
      </c>
      <c r="K11" s="184">
        <v>60.396000000000001</v>
      </c>
      <c r="L11" s="184">
        <v>0.223</v>
      </c>
      <c r="M11" s="432">
        <f t="shared" si="0"/>
        <v>9.9999999991950972E-4</v>
      </c>
      <c r="N11" s="433">
        <f>Drift!H37</f>
        <v>1911.8689999999999</v>
      </c>
      <c r="O11" s="65">
        <v>1191.58</v>
      </c>
      <c r="P11" s="65">
        <v>301.00700000000001</v>
      </c>
      <c r="Q11" s="65">
        <v>305.089</v>
      </c>
      <c r="R11" s="65">
        <v>1.409</v>
      </c>
      <c r="S11" s="65">
        <v>48.094999999999999</v>
      </c>
      <c r="T11" s="65">
        <v>4.8070000000000004</v>
      </c>
      <c r="U11" s="65">
        <v>23.2</v>
      </c>
      <c r="V11" s="65">
        <v>35.055</v>
      </c>
      <c r="W11" s="65">
        <v>1.6259999999999999</v>
      </c>
      <c r="X11" s="432">
        <f t="shared" si="1"/>
        <v>9.9999999974897946E-4</v>
      </c>
      <c r="Y11" s="435">
        <v>20.076000000000001</v>
      </c>
      <c r="Z11" s="65">
        <v>4.0860000000000003</v>
      </c>
      <c r="AA11" s="65">
        <v>671.85799999999995</v>
      </c>
      <c r="AB11" s="65">
        <v>9.2029999999999994</v>
      </c>
      <c r="AC11" s="98">
        <v>418.18400000000003</v>
      </c>
      <c r="AD11" s="2193"/>
    </row>
    <row r="12" spans="1:30" ht="13.35" customHeight="1">
      <c r="A12" s="549">
        <v>359</v>
      </c>
      <c r="B12" s="555" t="s">
        <v>132</v>
      </c>
      <c r="C12" s="82">
        <f>Drift!F42</f>
        <v>863.56</v>
      </c>
      <c r="D12" s="65">
        <v>230.113</v>
      </c>
      <c r="E12" s="65">
        <v>192.40799999999999</v>
      </c>
      <c r="F12" s="65">
        <v>413.12099999999998</v>
      </c>
      <c r="G12" s="65">
        <v>24.175000000000001</v>
      </c>
      <c r="H12" s="65">
        <v>1.0529999999999999</v>
      </c>
      <c r="I12" s="65">
        <v>0.17</v>
      </c>
      <c r="J12" s="1194">
        <v>0</v>
      </c>
      <c r="K12" s="184">
        <v>2.403</v>
      </c>
      <c r="L12" s="184">
        <v>0.11700000000000001</v>
      </c>
      <c r="M12" s="432">
        <f t="shared" si="0"/>
        <v>0</v>
      </c>
      <c r="N12" s="433">
        <f>Drift!H42</f>
        <v>2185.2089999999998</v>
      </c>
      <c r="O12" s="65">
        <v>1974.354</v>
      </c>
      <c r="P12" s="65">
        <v>90.346000000000004</v>
      </c>
      <c r="Q12" s="65">
        <v>105.99299999999999</v>
      </c>
      <c r="R12" s="65">
        <v>1.7110000000000001</v>
      </c>
      <c r="S12" s="65">
        <v>9.7000000000000003E-2</v>
      </c>
      <c r="T12" s="65">
        <v>1.325</v>
      </c>
      <c r="U12" s="65">
        <v>1.774</v>
      </c>
      <c r="V12" s="65">
        <v>9.5839999999999996</v>
      </c>
      <c r="W12" s="65">
        <v>2.5000000000000001E-2</v>
      </c>
      <c r="X12" s="432">
        <f t="shared" si="1"/>
        <v>0</v>
      </c>
      <c r="Y12" s="435">
        <v>25.928999999999998</v>
      </c>
      <c r="Z12" s="65">
        <v>2.5299999999999998</v>
      </c>
      <c r="AA12" s="65">
        <v>221.12</v>
      </c>
      <c r="AB12" s="65">
        <v>2.5499999999999998</v>
      </c>
      <c r="AC12" s="98">
        <v>146.03</v>
      </c>
      <c r="AD12" s="2193"/>
    </row>
    <row r="13" spans="1:30" ht="13.35" customHeight="1">
      <c r="A13" s="549">
        <v>407</v>
      </c>
      <c r="B13" s="555" t="s">
        <v>79</v>
      </c>
      <c r="C13" s="82">
        <f>Drift!F47</f>
        <v>18866.375</v>
      </c>
      <c r="D13" s="53">
        <v>4644.5889999999999</v>
      </c>
      <c r="E13" s="53">
        <v>12.215</v>
      </c>
      <c r="F13" s="53">
        <v>13732.866</v>
      </c>
      <c r="G13" s="53">
        <v>452.03500000000003</v>
      </c>
      <c r="H13" s="53">
        <v>1.5349999999999999</v>
      </c>
      <c r="I13" s="53">
        <v>22.651</v>
      </c>
      <c r="J13" s="1188">
        <v>0</v>
      </c>
      <c r="K13" s="54">
        <v>0.47399999999999998</v>
      </c>
      <c r="L13" s="184">
        <v>0.01</v>
      </c>
      <c r="M13" s="1224">
        <f>C13-SUM(D13:L13)</f>
        <v>0</v>
      </c>
      <c r="N13" s="433">
        <f>Drift!H47</f>
        <v>52.158000000000001</v>
      </c>
      <c r="O13" s="53">
        <v>7.3810000000000002</v>
      </c>
      <c r="P13" s="53">
        <v>6.2E-2</v>
      </c>
      <c r="Q13" s="53">
        <v>36.19</v>
      </c>
      <c r="R13" s="53">
        <v>4.3999999999999997E-2</v>
      </c>
      <c r="S13" s="53">
        <v>0.01</v>
      </c>
      <c r="T13" s="53">
        <v>0.248</v>
      </c>
      <c r="U13" s="53">
        <v>3.9590000000000001</v>
      </c>
      <c r="V13" s="53">
        <v>3.339</v>
      </c>
      <c r="W13" s="53">
        <v>0.92600000000000005</v>
      </c>
      <c r="X13" s="432">
        <f t="shared" si="1"/>
        <v>-9.9999999999056399E-4</v>
      </c>
      <c r="Y13" s="436">
        <v>451.05799999999999</v>
      </c>
      <c r="Z13" s="53">
        <v>5.9820000000000002</v>
      </c>
      <c r="AA13" s="53">
        <v>5110.643</v>
      </c>
      <c r="AB13" s="53">
        <v>11.753</v>
      </c>
      <c r="AC13" s="98">
        <v>1162.105</v>
      </c>
      <c r="AD13" s="2193"/>
    </row>
    <row r="14" spans="1:30" ht="13.35" customHeight="1">
      <c r="A14" s="549">
        <v>412</v>
      </c>
      <c r="B14" s="555" t="s">
        <v>80</v>
      </c>
      <c r="C14" s="82">
        <f>Drift!F48</f>
        <v>561.87699999999995</v>
      </c>
      <c r="D14" s="53">
        <v>75.576999999999998</v>
      </c>
      <c r="E14" s="53">
        <v>0</v>
      </c>
      <c r="F14" s="53">
        <v>483.666</v>
      </c>
      <c r="G14" s="53">
        <v>2.6240000000000001</v>
      </c>
      <c r="H14" s="53">
        <v>8.9999999999999993E-3</v>
      </c>
      <c r="I14" s="53">
        <v>1E-3</v>
      </c>
      <c r="J14" s="1188">
        <v>0</v>
      </c>
      <c r="K14" s="54">
        <v>0</v>
      </c>
      <c r="L14" s="184">
        <v>0</v>
      </c>
      <c r="M14" s="1224">
        <f t="shared" si="0"/>
        <v>0</v>
      </c>
      <c r="N14" s="433">
        <f>Drift!H48</f>
        <v>0.27400000000000002</v>
      </c>
      <c r="O14" s="53">
        <v>0.01</v>
      </c>
      <c r="P14" s="53">
        <v>0</v>
      </c>
      <c r="Q14" s="53">
        <v>0.246</v>
      </c>
      <c r="R14" s="53">
        <v>0</v>
      </c>
      <c r="S14" s="53">
        <v>1E-3</v>
      </c>
      <c r="T14" s="53">
        <v>1E-3</v>
      </c>
      <c r="U14" s="53">
        <v>1.4999999999999999E-2</v>
      </c>
      <c r="V14" s="53">
        <v>1E-3</v>
      </c>
      <c r="W14" s="53">
        <v>0</v>
      </c>
      <c r="X14" s="432">
        <f t="shared" si="1"/>
        <v>0</v>
      </c>
      <c r="Y14" s="436">
        <v>2.911</v>
      </c>
      <c r="Z14" s="53">
        <v>2E-3</v>
      </c>
      <c r="AA14" s="53">
        <v>20.867999999999999</v>
      </c>
      <c r="AB14" s="53">
        <v>0.52800000000000002</v>
      </c>
      <c r="AC14" s="98">
        <v>27.09</v>
      </c>
      <c r="AD14" s="2193"/>
    </row>
    <row r="15" spans="1:30" ht="13.35" customHeight="1">
      <c r="A15" s="549">
        <v>425</v>
      </c>
      <c r="B15" s="555" t="s">
        <v>82</v>
      </c>
      <c r="C15" s="82">
        <f>Drift!F50</f>
        <v>2864.5169999999998</v>
      </c>
      <c r="D15" s="53">
        <v>725.08299999999997</v>
      </c>
      <c r="E15" s="53">
        <v>0.04</v>
      </c>
      <c r="F15" s="53">
        <v>1910.971</v>
      </c>
      <c r="G15" s="53">
        <v>167.68600000000001</v>
      </c>
      <c r="H15" s="53">
        <v>0.39</v>
      </c>
      <c r="I15" s="53">
        <v>59.098999999999997</v>
      </c>
      <c r="J15" s="1188">
        <v>0</v>
      </c>
      <c r="K15" s="54">
        <v>1.242</v>
      </c>
      <c r="L15" s="184">
        <v>6.0000000000000001E-3</v>
      </c>
      <c r="M15" s="1224">
        <f>C15-SUM(D15:L15)</f>
        <v>0</v>
      </c>
      <c r="N15" s="433">
        <f>Drift!H50</f>
        <v>2.9249999999999998</v>
      </c>
      <c r="O15" s="53">
        <v>0.19400000000000001</v>
      </c>
      <c r="P15" s="53">
        <v>1.6220000000000001</v>
      </c>
      <c r="Q15" s="53">
        <v>0.19400000000000001</v>
      </c>
      <c r="R15" s="53">
        <v>1.2999999999999999E-2</v>
      </c>
      <c r="S15" s="53">
        <v>2E-3</v>
      </c>
      <c r="T15" s="53">
        <v>6.4000000000000001E-2</v>
      </c>
      <c r="U15" s="53">
        <v>0.48299999999999998</v>
      </c>
      <c r="V15" s="53">
        <v>0.35199999999999998</v>
      </c>
      <c r="W15" s="53">
        <v>0</v>
      </c>
      <c r="X15" s="432">
        <f t="shared" si="1"/>
        <v>9.9999999999988987E-4</v>
      </c>
      <c r="Y15" s="436">
        <v>165.167</v>
      </c>
      <c r="Z15" s="53">
        <v>2.9000000000000001E-2</v>
      </c>
      <c r="AA15" s="53">
        <v>692.17600000000004</v>
      </c>
      <c r="AB15" s="53">
        <v>1.82</v>
      </c>
      <c r="AC15" s="98">
        <v>164.14400000000001</v>
      </c>
      <c r="AD15" s="2193"/>
    </row>
    <row r="16" spans="1:30" ht="20.25" customHeight="1">
      <c r="A16" s="549">
        <v>419</v>
      </c>
      <c r="B16" s="555" t="s">
        <v>153</v>
      </c>
      <c r="C16" s="82">
        <f>SUM(Drift!F46,Drift!F49)</f>
        <v>91.061999999999998</v>
      </c>
      <c r="D16" s="53">
        <v>42.268999999999998</v>
      </c>
      <c r="E16" s="53">
        <v>2E-3</v>
      </c>
      <c r="F16" s="53">
        <v>44.965000000000003</v>
      </c>
      <c r="G16" s="53">
        <v>2.008</v>
      </c>
      <c r="H16" s="53">
        <v>0.60499999999999998</v>
      </c>
      <c r="I16" s="53">
        <v>1.1919999999999999</v>
      </c>
      <c r="J16" s="1188">
        <v>0</v>
      </c>
      <c r="K16" s="54">
        <v>2.1000000000000001E-2</v>
      </c>
      <c r="L16" s="184">
        <v>0</v>
      </c>
      <c r="M16" s="1224">
        <f t="shared" si="0"/>
        <v>0</v>
      </c>
      <c r="N16" s="433">
        <f>SUM(Drift!H46,Drift!H49)</f>
        <v>1.7570000000000001</v>
      </c>
      <c r="O16" s="53">
        <v>1.7070000000000001</v>
      </c>
      <c r="P16" s="53">
        <v>0</v>
      </c>
      <c r="Q16" s="53">
        <v>2.8000000000000001E-2</v>
      </c>
      <c r="R16" s="53">
        <v>5.0000000000000001E-3</v>
      </c>
      <c r="S16" s="53">
        <v>5.0000000000000001E-3</v>
      </c>
      <c r="T16" s="53">
        <v>4.0000000000000001E-3</v>
      </c>
      <c r="U16" s="53">
        <v>1E-3</v>
      </c>
      <c r="V16" s="53">
        <v>7.0000000000000001E-3</v>
      </c>
      <c r="W16" s="53">
        <v>0</v>
      </c>
      <c r="X16" s="432">
        <f t="shared" si="1"/>
        <v>0</v>
      </c>
      <c r="Y16" s="436">
        <v>1.9079999999999999</v>
      </c>
      <c r="Z16" s="53">
        <v>1.427</v>
      </c>
      <c r="AA16" s="53">
        <v>11.782</v>
      </c>
      <c r="AB16" s="53">
        <v>5.0000000000000001E-3</v>
      </c>
      <c r="AC16" s="98">
        <v>6.4390000000000001</v>
      </c>
      <c r="AD16" s="2193"/>
    </row>
    <row r="17" spans="1:30" ht="13.35" customHeight="1">
      <c r="A17" s="549">
        <v>435</v>
      </c>
      <c r="B17" s="555" t="s">
        <v>470</v>
      </c>
      <c r="C17" s="82">
        <f>Drift!F53</f>
        <v>1257.4179999999999</v>
      </c>
      <c r="D17" s="53">
        <v>331.75200000000001</v>
      </c>
      <c r="E17" s="53">
        <v>0.23699999999999999</v>
      </c>
      <c r="F17" s="53">
        <v>858.77599999999995</v>
      </c>
      <c r="G17" s="53">
        <v>52.965000000000003</v>
      </c>
      <c r="H17" s="53">
        <v>0.48199999999999998</v>
      </c>
      <c r="I17" s="53">
        <v>12.162000000000001</v>
      </c>
      <c r="J17" s="1188">
        <v>0</v>
      </c>
      <c r="K17" s="54">
        <v>0.84099999999999997</v>
      </c>
      <c r="L17" s="184">
        <v>0.20300000000000001</v>
      </c>
      <c r="M17" s="1224">
        <f t="shared" si="0"/>
        <v>0</v>
      </c>
      <c r="N17" s="433">
        <f>Drift!H53</f>
        <v>1.069</v>
      </c>
      <c r="O17" s="53">
        <v>0.17899999999999999</v>
      </c>
      <c r="P17" s="53">
        <v>3.5000000000000003E-2</v>
      </c>
      <c r="Q17" s="53">
        <v>0.61599999999999999</v>
      </c>
      <c r="R17" s="53">
        <v>8.0000000000000002E-3</v>
      </c>
      <c r="S17" s="53">
        <v>6.0000000000000001E-3</v>
      </c>
      <c r="T17" s="53">
        <v>2.8000000000000001E-2</v>
      </c>
      <c r="U17" s="53">
        <v>0.11700000000000001</v>
      </c>
      <c r="V17" s="53">
        <v>0.08</v>
      </c>
      <c r="W17" s="53">
        <v>0</v>
      </c>
      <c r="X17" s="432">
        <f t="shared" si="1"/>
        <v>0</v>
      </c>
      <c r="Y17" s="436">
        <v>54.738999999999997</v>
      </c>
      <c r="Z17" s="53">
        <v>0.26700000000000002</v>
      </c>
      <c r="AA17" s="53">
        <v>364.42599999999999</v>
      </c>
      <c r="AB17" s="53">
        <v>1</v>
      </c>
      <c r="AC17" s="98">
        <v>73.358999999999995</v>
      </c>
      <c r="AD17" s="2193"/>
    </row>
    <row r="18" spans="1:30" ht="13.35" customHeight="1">
      <c r="A18" s="549">
        <v>440</v>
      </c>
      <c r="B18" s="555" t="s">
        <v>367</v>
      </c>
      <c r="C18" s="82">
        <f>Drift!F54</f>
        <v>23054.218000000001</v>
      </c>
      <c r="D18" s="53">
        <v>4704.2449999999999</v>
      </c>
      <c r="E18" s="53">
        <v>19.172000000000001</v>
      </c>
      <c r="F18" s="53">
        <v>16289.119000000001</v>
      </c>
      <c r="G18" s="53">
        <v>1597.19</v>
      </c>
      <c r="H18" s="53">
        <v>20.385000000000002</v>
      </c>
      <c r="I18" s="53">
        <v>408.22699999999998</v>
      </c>
      <c r="J18" s="1188">
        <v>0</v>
      </c>
      <c r="K18" s="54">
        <v>13.352</v>
      </c>
      <c r="L18" s="184">
        <v>2.528</v>
      </c>
      <c r="M18" s="1224">
        <f t="shared" si="0"/>
        <v>0</v>
      </c>
      <c r="N18" s="433">
        <f>Drift!H54</f>
        <v>47.151000000000003</v>
      </c>
      <c r="O18" s="53">
        <v>16.018999999999998</v>
      </c>
      <c r="P18" s="53">
        <v>5.3120000000000003</v>
      </c>
      <c r="Q18" s="53">
        <v>10.879</v>
      </c>
      <c r="R18" s="53">
        <v>5.7000000000000002E-2</v>
      </c>
      <c r="S18" s="53">
        <v>3.0459999999999998</v>
      </c>
      <c r="T18" s="53">
        <v>1.361</v>
      </c>
      <c r="U18" s="53">
        <v>3.9260000000000002</v>
      </c>
      <c r="V18" s="53">
        <v>5.5949999999999998</v>
      </c>
      <c r="W18" s="53">
        <v>0.95699999999999996</v>
      </c>
      <c r="X18" s="432">
        <f t="shared" si="1"/>
        <v>-9.9999999999766942E-4</v>
      </c>
      <c r="Y18" s="436">
        <v>1602.8430000000001</v>
      </c>
      <c r="Z18" s="53">
        <v>3.7629999999999999</v>
      </c>
      <c r="AA18" s="53">
        <v>11565.691999999999</v>
      </c>
      <c r="AB18" s="53">
        <v>45.576000000000001</v>
      </c>
      <c r="AC18" s="98">
        <v>1407.9860000000001</v>
      </c>
      <c r="AD18" s="2193"/>
    </row>
    <row r="19" spans="1:30" ht="13.35" customHeight="1">
      <c r="A19" s="549">
        <v>443</v>
      </c>
      <c r="B19" s="2200" t="s">
        <v>1204</v>
      </c>
      <c r="C19" s="82">
        <f>Drift!F55</f>
        <v>715.21199999999999</v>
      </c>
      <c r="D19" s="53">
        <v>89.274000000000001</v>
      </c>
      <c r="E19" s="53">
        <v>7.4999999999999997E-2</v>
      </c>
      <c r="F19" s="53">
        <v>291.322</v>
      </c>
      <c r="G19" s="53">
        <v>321.21899999999999</v>
      </c>
      <c r="H19" s="53">
        <v>0.89400000000000002</v>
      </c>
      <c r="I19" s="53">
        <v>12.115</v>
      </c>
      <c r="J19" s="1188">
        <v>0</v>
      </c>
      <c r="K19" s="54">
        <v>0.313</v>
      </c>
      <c r="L19" s="184">
        <v>0</v>
      </c>
      <c r="M19" s="1224">
        <f t="shared" si="0"/>
        <v>0</v>
      </c>
      <c r="N19" s="433">
        <f>Drift!H55</f>
        <v>0.45500000000000002</v>
      </c>
      <c r="O19" s="53">
        <v>4.8000000000000001E-2</v>
      </c>
      <c r="P19" s="53">
        <v>0</v>
      </c>
      <c r="Q19" s="53">
        <v>2.9000000000000001E-2</v>
      </c>
      <c r="R19" s="53">
        <v>2E-3</v>
      </c>
      <c r="S19" s="53">
        <v>5.0000000000000001E-3</v>
      </c>
      <c r="T19" s="53">
        <v>3.1E-2</v>
      </c>
      <c r="U19" s="53">
        <v>0.249</v>
      </c>
      <c r="V19" s="53">
        <v>9.1999999999999998E-2</v>
      </c>
      <c r="W19" s="53">
        <v>0</v>
      </c>
      <c r="X19" s="432">
        <f t="shared" si="1"/>
        <v>-9.9999999999994538E-4</v>
      </c>
      <c r="Y19" s="436">
        <v>313.02100000000002</v>
      </c>
      <c r="Z19" s="53">
        <v>1.7000000000000001E-2</v>
      </c>
      <c r="AA19" s="53">
        <v>127.672</v>
      </c>
      <c r="AB19" s="53">
        <v>0.371</v>
      </c>
      <c r="AC19" s="98">
        <v>26.728999999999999</v>
      </c>
      <c r="AD19" s="2193"/>
    </row>
    <row r="20" spans="1:30" ht="13.35" customHeight="1">
      <c r="A20" s="549">
        <v>450</v>
      </c>
      <c r="B20" s="555" t="s">
        <v>133</v>
      </c>
      <c r="C20" s="82">
        <f>Drift!F56</f>
        <v>25254.949000000001</v>
      </c>
      <c r="D20" s="53">
        <v>1360.279</v>
      </c>
      <c r="E20" s="53">
        <v>19.134</v>
      </c>
      <c r="F20" s="53">
        <v>12523.708000000001</v>
      </c>
      <c r="G20" s="53">
        <v>8032.7079999999996</v>
      </c>
      <c r="H20" s="53">
        <v>488.00299999999999</v>
      </c>
      <c r="I20" s="53">
        <v>173.768</v>
      </c>
      <c r="J20" s="1188">
        <v>0</v>
      </c>
      <c r="K20" s="54">
        <v>2635.58</v>
      </c>
      <c r="L20" s="184">
        <v>21.768000000000001</v>
      </c>
      <c r="M20" s="1224">
        <f t="shared" si="0"/>
        <v>1.0000000002037268E-3</v>
      </c>
      <c r="N20" s="433">
        <f>Drift!H56</f>
        <v>247.03399999999999</v>
      </c>
      <c r="O20" s="53">
        <v>9.4309999999999992</v>
      </c>
      <c r="P20" s="53">
        <v>0.63100000000000001</v>
      </c>
      <c r="Q20" s="53">
        <v>39.335000000000001</v>
      </c>
      <c r="R20" s="53">
        <v>3.8740000000000001</v>
      </c>
      <c r="S20" s="53">
        <v>0.495</v>
      </c>
      <c r="T20" s="53">
        <v>0.67700000000000005</v>
      </c>
      <c r="U20" s="53">
        <v>6.3979999999999997</v>
      </c>
      <c r="V20" s="53">
        <v>183.892</v>
      </c>
      <c r="W20" s="53">
        <v>2.2999999999999998</v>
      </c>
      <c r="X20" s="432">
        <f t="shared" si="1"/>
        <v>9.9999999997635314E-4</v>
      </c>
      <c r="Y20" s="436">
        <v>8145.7820000000002</v>
      </c>
      <c r="Z20" s="53">
        <v>7.1</v>
      </c>
      <c r="AA20" s="53">
        <v>1566.0309999999999</v>
      </c>
      <c r="AB20" s="53">
        <v>68.814999999999998</v>
      </c>
      <c r="AC20" s="98">
        <v>977.11800000000005</v>
      </c>
      <c r="AD20" s="2193"/>
    </row>
    <row r="21" spans="1:30" ht="13.35" customHeight="1">
      <c r="A21" s="549">
        <v>453</v>
      </c>
      <c r="B21" s="2200" t="s">
        <v>1205</v>
      </c>
      <c r="C21" s="82">
        <f>Drift!F57</f>
        <v>1289.3140000000001</v>
      </c>
      <c r="D21" s="53">
        <v>57.764000000000003</v>
      </c>
      <c r="E21" s="53">
        <v>0.45300000000000001</v>
      </c>
      <c r="F21" s="53">
        <v>237.285</v>
      </c>
      <c r="G21" s="53">
        <v>747.91700000000003</v>
      </c>
      <c r="H21" s="53">
        <v>53.18</v>
      </c>
      <c r="I21" s="53">
        <v>3.4319999999999999</v>
      </c>
      <c r="J21" s="1188">
        <v>0</v>
      </c>
      <c r="K21" s="54">
        <v>189.14400000000001</v>
      </c>
      <c r="L21" s="184">
        <v>0.13800000000000001</v>
      </c>
      <c r="M21" s="1224">
        <f t="shared" si="0"/>
        <v>9.9999999997635314E-4</v>
      </c>
      <c r="N21" s="433">
        <f>Drift!H57</f>
        <v>2.5390000000000001</v>
      </c>
      <c r="O21" s="53">
        <v>0.222</v>
      </c>
      <c r="P21" s="53">
        <v>0.01</v>
      </c>
      <c r="Q21" s="53">
        <v>-0.34599999999999997</v>
      </c>
      <c r="R21" s="53">
        <v>0.30099999999999999</v>
      </c>
      <c r="S21" s="53">
        <v>0.9</v>
      </c>
      <c r="T21" s="53">
        <v>7.0000000000000001E-3</v>
      </c>
      <c r="U21" s="53">
        <v>1.6E-2</v>
      </c>
      <c r="V21" s="53">
        <v>1.4239999999999999</v>
      </c>
      <c r="W21" s="53">
        <v>5.0000000000000001E-3</v>
      </c>
      <c r="X21" s="432">
        <f t="shared" si="1"/>
        <v>0</v>
      </c>
      <c r="Y21" s="436">
        <v>777.69399999999996</v>
      </c>
      <c r="Z21" s="53">
        <v>0.19700000000000001</v>
      </c>
      <c r="AA21" s="53">
        <v>75.844999999999999</v>
      </c>
      <c r="AB21" s="53">
        <v>-0.02</v>
      </c>
      <c r="AC21" s="98">
        <v>23.344999999999999</v>
      </c>
      <c r="AD21" s="2193"/>
    </row>
    <row r="22" spans="1:30" ht="13.35" customHeight="1">
      <c r="A22" s="549" t="s">
        <v>477</v>
      </c>
      <c r="B22" s="555" t="s">
        <v>368</v>
      </c>
      <c r="C22" s="82">
        <f>Drift!F60</f>
        <v>438.47300000000001</v>
      </c>
      <c r="D22" s="53">
        <v>31.501000000000001</v>
      </c>
      <c r="E22" s="53">
        <v>2.2559999999999998</v>
      </c>
      <c r="F22" s="53">
        <v>244.434</v>
      </c>
      <c r="G22" s="53">
        <v>79.153999999999996</v>
      </c>
      <c r="H22" s="53">
        <v>0.50800000000000001</v>
      </c>
      <c r="I22" s="53">
        <v>2E-3</v>
      </c>
      <c r="J22" s="1188">
        <v>0</v>
      </c>
      <c r="K22" s="54">
        <v>80.617999999999995</v>
      </c>
      <c r="L22" s="184">
        <v>0</v>
      </c>
      <c r="M22" s="1224">
        <f t="shared" si="0"/>
        <v>0</v>
      </c>
      <c r="N22" s="433">
        <f>Drift!H60</f>
        <v>2.2269999999999999</v>
      </c>
      <c r="O22" s="53">
        <v>0.253</v>
      </c>
      <c r="P22" s="53">
        <v>0</v>
      </c>
      <c r="Q22" s="53">
        <v>0.432</v>
      </c>
      <c r="R22" s="53">
        <v>1.0049999999999999</v>
      </c>
      <c r="S22" s="53">
        <v>0</v>
      </c>
      <c r="T22" s="53">
        <v>0.40200000000000002</v>
      </c>
      <c r="U22" s="53">
        <v>2.1000000000000001E-2</v>
      </c>
      <c r="V22" s="53">
        <v>0.113</v>
      </c>
      <c r="W22" s="53">
        <v>0</v>
      </c>
      <c r="X22" s="432">
        <f t="shared" si="1"/>
        <v>9.9999999999988987E-4</v>
      </c>
      <c r="Y22" s="436">
        <v>58.393999999999998</v>
      </c>
      <c r="Z22" s="53">
        <v>0</v>
      </c>
      <c r="AA22" s="53">
        <v>78.893000000000001</v>
      </c>
      <c r="AB22" s="53">
        <v>12.291</v>
      </c>
      <c r="AC22" s="98">
        <v>23.774000000000001</v>
      </c>
      <c r="AD22" s="2193"/>
    </row>
    <row r="23" spans="1:30" ht="13.35" customHeight="1">
      <c r="A23" s="549" t="s">
        <v>478</v>
      </c>
      <c r="B23" s="555" t="s">
        <v>369</v>
      </c>
      <c r="C23" s="82">
        <f>Drift!F61</f>
        <v>2217.4140000000002</v>
      </c>
      <c r="D23" s="53">
        <v>54.418999999999997</v>
      </c>
      <c r="E23" s="53">
        <v>17.088000000000001</v>
      </c>
      <c r="F23" s="53">
        <v>1381.4739999999999</v>
      </c>
      <c r="G23" s="53">
        <v>466.2</v>
      </c>
      <c r="H23" s="53">
        <v>30.353000000000002</v>
      </c>
      <c r="I23" s="53">
        <v>49.174999999999997</v>
      </c>
      <c r="J23" s="1188">
        <v>0</v>
      </c>
      <c r="K23" s="54">
        <v>218.70599999999999</v>
      </c>
      <c r="L23" s="184">
        <v>0</v>
      </c>
      <c r="M23" s="1224">
        <f t="shared" si="0"/>
        <v>-9.9999999974897946E-4</v>
      </c>
      <c r="N23" s="433">
        <f>Drift!H61</f>
        <v>27.347999999999999</v>
      </c>
      <c r="O23" s="53">
        <v>0.98499999999999999</v>
      </c>
      <c r="P23" s="53">
        <v>0</v>
      </c>
      <c r="Q23" s="53">
        <v>5.8079999999999998</v>
      </c>
      <c r="R23" s="53">
        <v>12.260999999999999</v>
      </c>
      <c r="S23" s="53">
        <v>0.01</v>
      </c>
      <c r="T23" s="53">
        <v>0.437</v>
      </c>
      <c r="U23" s="53">
        <v>5.0979999999999999</v>
      </c>
      <c r="V23" s="53">
        <v>2.7480000000000002</v>
      </c>
      <c r="W23" s="53">
        <v>2E-3</v>
      </c>
      <c r="X23" s="432">
        <f t="shared" si="1"/>
        <v>-1.0000000000012221E-3</v>
      </c>
      <c r="Y23" s="436">
        <v>386.48500000000001</v>
      </c>
      <c r="Z23" s="53">
        <v>0.54400000000000004</v>
      </c>
      <c r="AA23" s="53">
        <v>2430.473</v>
      </c>
      <c r="AB23" s="53">
        <v>10.727</v>
      </c>
      <c r="AC23" s="98">
        <v>281.608</v>
      </c>
      <c r="AD23" s="2193"/>
    </row>
    <row r="24" spans="1:30" ht="13.35" customHeight="1">
      <c r="A24" s="549">
        <v>474</v>
      </c>
      <c r="B24" s="2200" t="s">
        <v>1211</v>
      </c>
      <c r="C24" s="82">
        <f>Drift!F63</f>
        <v>52.305</v>
      </c>
      <c r="D24" s="53">
        <v>1.3</v>
      </c>
      <c r="E24" s="53">
        <v>5.2999999999999999E-2</v>
      </c>
      <c r="F24" s="53">
        <v>2.1589999999999998</v>
      </c>
      <c r="G24" s="53">
        <v>11.38</v>
      </c>
      <c r="H24" s="53">
        <v>2.8000000000000001E-2</v>
      </c>
      <c r="I24" s="53">
        <v>3.2000000000000001E-2</v>
      </c>
      <c r="J24" s="1188">
        <v>0</v>
      </c>
      <c r="K24" s="54">
        <v>37.351999999999997</v>
      </c>
      <c r="L24" s="184">
        <v>0</v>
      </c>
      <c r="M24" s="432">
        <f t="shared" si="0"/>
        <v>1.0000000000047748E-3</v>
      </c>
      <c r="N24" s="433">
        <f>Drift!H63</f>
        <v>0.28199999999999997</v>
      </c>
      <c r="O24" s="53">
        <v>0.17499999999999999</v>
      </c>
      <c r="P24" s="53">
        <v>0</v>
      </c>
      <c r="Q24" s="53">
        <v>4.2000000000000003E-2</v>
      </c>
      <c r="R24" s="53">
        <v>2.1999999999999999E-2</v>
      </c>
      <c r="S24" s="53">
        <v>0</v>
      </c>
      <c r="T24" s="53">
        <v>1.7000000000000001E-2</v>
      </c>
      <c r="U24" s="53">
        <v>2.5999999999999999E-2</v>
      </c>
      <c r="V24" s="53">
        <v>0</v>
      </c>
      <c r="W24" s="53">
        <v>0</v>
      </c>
      <c r="X24" s="432">
        <f t="shared" si="1"/>
        <v>0</v>
      </c>
      <c r="Y24" s="435">
        <v>14.951000000000001</v>
      </c>
      <c r="Z24" s="53">
        <v>0</v>
      </c>
      <c r="AA24" s="53">
        <v>11.782</v>
      </c>
      <c r="AB24" s="53">
        <v>0.14099999999999999</v>
      </c>
      <c r="AC24" s="98">
        <v>2.9740000000000002</v>
      </c>
      <c r="AD24" s="2193"/>
    </row>
    <row r="25" spans="1:30" ht="13.35" customHeight="1">
      <c r="A25" s="549">
        <v>479</v>
      </c>
      <c r="B25" s="555" t="s">
        <v>430</v>
      </c>
      <c r="C25" s="82">
        <f>SUM(Drift!F64,Drift!F65,Drift!F66)</f>
        <v>979.19799999999998</v>
      </c>
      <c r="D25" s="53">
        <v>224.458</v>
      </c>
      <c r="E25" s="53">
        <v>29.917000000000002</v>
      </c>
      <c r="F25" s="53">
        <v>501.34199999999998</v>
      </c>
      <c r="G25" s="53">
        <v>88.844999999999999</v>
      </c>
      <c r="H25" s="53">
        <v>6.53</v>
      </c>
      <c r="I25" s="53">
        <v>0.67300000000000004</v>
      </c>
      <c r="J25" s="1188">
        <v>0</v>
      </c>
      <c r="K25" s="54">
        <v>126.96599999999999</v>
      </c>
      <c r="L25" s="184">
        <v>0.46600000000000003</v>
      </c>
      <c r="M25" s="432">
        <f t="shared" si="0"/>
        <v>9.9999999997635314E-4</v>
      </c>
      <c r="N25" s="433">
        <f>SUM(Drift!H64:H66)</f>
        <v>56.098999999999997</v>
      </c>
      <c r="O25" s="53">
        <v>11.385999999999999</v>
      </c>
      <c r="P25" s="53">
        <v>0</v>
      </c>
      <c r="Q25" s="53">
        <v>3.1920000000000002</v>
      </c>
      <c r="R25" s="53">
        <v>1.264</v>
      </c>
      <c r="S25" s="53">
        <v>1.494</v>
      </c>
      <c r="T25" s="53">
        <v>0.14299999999999999</v>
      </c>
      <c r="U25" s="53">
        <v>37.643000000000001</v>
      </c>
      <c r="V25" s="53">
        <v>0.91600000000000004</v>
      </c>
      <c r="W25" s="53">
        <v>0.06</v>
      </c>
      <c r="X25" s="432">
        <f t="shared" si="1"/>
        <v>9.9999999999766942E-4</v>
      </c>
      <c r="Y25" s="436">
        <v>101.95099999999999</v>
      </c>
      <c r="Z25" s="53">
        <v>0.216</v>
      </c>
      <c r="AA25" s="53">
        <v>1214.5989999999999</v>
      </c>
      <c r="AB25" s="53">
        <v>49.264000000000003</v>
      </c>
      <c r="AC25" s="98">
        <v>65.989000000000004</v>
      </c>
      <c r="AD25" s="2193"/>
    </row>
    <row r="26" spans="1:30" ht="13.35" customHeight="1">
      <c r="A26" s="549">
        <v>509</v>
      </c>
      <c r="B26" s="555" t="s">
        <v>429</v>
      </c>
      <c r="C26" s="82">
        <f>SUM(Drift!F70,Drift!F71)</f>
        <v>398.64600000000002</v>
      </c>
      <c r="D26" s="65">
        <v>0.15</v>
      </c>
      <c r="E26" s="65">
        <v>0</v>
      </c>
      <c r="F26" s="65">
        <v>154.80199999999999</v>
      </c>
      <c r="G26" s="65">
        <v>1.262</v>
      </c>
      <c r="H26" s="65">
        <v>240.54</v>
      </c>
      <c r="I26" s="65">
        <v>0.20100000000000001</v>
      </c>
      <c r="J26" s="1194">
        <v>0</v>
      </c>
      <c r="K26" s="184">
        <v>1.0309999999999999</v>
      </c>
      <c r="L26" s="184">
        <v>0.66</v>
      </c>
      <c r="M26" s="432">
        <f t="shared" si="0"/>
        <v>0</v>
      </c>
      <c r="N26" s="433">
        <f>SUM(Drift!H70,Drift!H71)</f>
        <v>1.768</v>
      </c>
      <c r="O26" s="65">
        <v>0.13600000000000001</v>
      </c>
      <c r="P26" s="65">
        <v>0</v>
      </c>
      <c r="Q26" s="65">
        <v>0.249</v>
      </c>
      <c r="R26" s="65">
        <v>1.2E-2</v>
      </c>
      <c r="S26" s="65">
        <v>1E-3</v>
      </c>
      <c r="T26" s="65">
        <v>1E-3</v>
      </c>
      <c r="U26" s="65">
        <v>0</v>
      </c>
      <c r="V26" s="65">
        <v>1.369</v>
      </c>
      <c r="W26" s="65">
        <v>0</v>
      </c>
      <c r="X26" s="432">
        <f t="shared" si="1"/>
        <v>0</v>
      </c>
      <c r="Y26" s="436">
        <v>18.417000000000002</v>
      </c>
      <c r="Z26" s="65">
        <v>97.102999999999994</v>
      </c>
      <c r="AA26" s="65">
        <v>350.96199999999999</v>
      </c>
      <c r="AB26" s="65">
        <v>0</v>
      </c>
      <c r="AC26" s="98">
        <v>22.709</v>
      </c>
      <c r="AD26" s="2193"/>
    </row>
    <row r="27" spans="1:30" ht="13.35" customHeight="1">
      <c r="A27" s="549">
        <v>510</v>
      </c>
      <c r="B27" s="555" t="s">
        <v>480</v>
      </c>
      <c r="C27" s="82">
        <f>Drift!F73</f>
        <v>24858.411</v>
      </c>
      <c r="D27" s="53">
        <v>2421.1680000000001</v>
      </c>
      <c r="E27" s="53">
        <v>702.39099999999996</v>
      </c>
      <c r="F27" s="53">
        <v>20261.833999999999</v>
      </c>
      <c r="G27" s="53">
        <v>315.95600000000002</v>
      </c>
      <c r="H27" s="53">
        <v>279.50599999999997</v>
      </c>
      <c r="I27" s="53">
        <v>4.9189999999999996</v>
      </c>
      <c r="J27" s="1188">
        <v>0</v>
      </c>
      <c r="K27" s="54">
        <v>870.32</v>
      </c>
      <c r="L27" s="184">
        <v>2.3170000000000002</v>
      </c>
      <c r="M27" s="432">
        <f t="shared" si="0"/>
        <v>0</v>
      </c>
      <c r="N27" s="433">
        <f>Drift!H73</f>
        <v>1173.2349999999999</v>
      </c>
      <c r="O27" s="53">
        <v>107.87</v>
      </c>
      <c r="P27" s="53">
        <v>40.542999999999999</v>
      </c>
      <c r="Q27" s="53">
        <v>447.11599999999999</v>
      </c>
      <c r="R27" s="53">
        <v>5.7</v>
      </c>
      <c r="S27" s="53">
        <v>10.628</v>
      </c>
      <c r="T27" s="53">
        <v>7.39</v>
      </c>
      <c r="U27" s="53">
        <v>23.582000000000001</v>
      </c>
      <c r="V27" s="53">
        <v>529.98099999999999</v>
      </c>
      <c r="W27" s="53">
        <v>0.42599999999999999</v>
      </c>
      <c r="X27" s="432">
        <f t="shared" si="1"/>
        <v>-9.9999999997635314E-4</v>
      </c>
      <c r="Y27" s="436">
        <v>295.178</v>
      </c>
      <c r="Z27" s="53">
        <v>213.136</v>
      </c>
      <c r="AA27" s="53">
        <v>6711.1949999999997</v>
      </c>
      <c r="AB27" s="53">
        <v>9.1549999999999994</v>
      </c>
      <c r="AC27" s="98">
        <v>2654.36</v>
      </c>
      <c r="AD27" s="2193"/>
    </row>
    <row r="28" spans="1:30" ht="18" customHeight="1">
      <c r="A28" s="549">
        <v>520</v>
      </c>
      <c r="B28" s="594" t="s">
        <v>363</v>
      </c>
      <c r="C28" s="82">
        <f>Drift!F74</f>
        <v>3878.4949999999999</v>
      </c>
      <c r="D28" s="53">
        <v>274.57600000000002</v>
      </c>
      <c r="E28" s="53">
        <v>12.589</v>
      </c>
      <c r="F28" s="53">
        <v>3388.136</v>
      </c>
      <c r="G28" s="53">
        <v>50.290999999999997</v>
      </c>
      <c r="H28" s="53">
        <v>29.172999999999998</v>
      </c>
      <c r="I28" s="53">
        <v>12.597</v>
      </c>
      <c r="J28" s="1188">
        <v>0</v>
      </c>
      <c r="K28" s="53">
        <v>110.883</v>
      </c>
      <c r="L28" s="53">
        <v>0.25</v>
      </c>
      <c r="M28" s="432">
        <f>C28-SUM(D28:L28)</f>
        <v>0</v>
      </c>
      <c r="N28" s="433">
        <f>Drift!H74</f>
        <v>476.68900000000002</v>
      </c>
      <c r="O28" s="53">
        <v>115.43899999999999</v>
      </c>
      <c r="P28" s="53">
        <v>3.0990000000000002</v>
      </c>
      <c r="Q28" s="53">
        <v>164.048</v>
      </c>
      <c r="R28" s="53">
        <v>2.2999999999999998</v>
      </c>
      <c r="S28" s="53">
        <v>0.58199999999999996</v>
      </c>
      <c r="T28" s="53">
        <v>2.2410000000000001</v>
      </c>
      <c r="U28" s="173">
        <v>5.4080000000000004</v>
      </c>
      <c r="V28" s="53">
        <v>183.572</v>
      </c>
      <c r="W28" s="53">
        <v>0</v>
      </c>
      <c r="X28" s="432">
        <f>N28-SUM(O28:W28)</f>
        <v>0</v>
      </c>
      <c r="Y28" s="435">
        <v>34.770000000000003</v>
      </c>
      <c r="Z28" s="53">
        <v>15.77</v>
      </c>
      <c r="AA28" s="53">
        <v>433.19900000000001</v>
      </c>
      <c r="AB28" s="53">
        <v>0.51400000000000001</v>
      </c>
      <c r="AC28" s="521">
        <v>360.78399999999999</v>
      </c>
      <c r="AD28" s="2193"/>
    </row>
    <row r="29" spans="1:30" ht="13.5" customHeight="1">
      <c r="A29" s="549">
        <v>513</v>
      </c>
      <c r="B29" s="1376" t="s">
        <v>364</v>
      </c>
      <c r="C29" s="82">
        <f>Drift!F75</f>
        <v>15595.325000000001</v>
      </c>
      <c r="D29" s="53">
        <v>1570.009</v>
      </c>
      <c r="E29" s="53">
        <v>318.20499999999998</v>
      </c>
      <c r="F29" s="53">
        <v>12860.353999999999</v>
      </c>
      <c r="G29" s="53">
        <v>294.20999999999998</v>
      </c>
      <c r="H29" s="53">
        <v>93.668000000000006</v>
      </c>
      <c r="I29" s="53">
        <v>37.404000000000003</v>
      </c>
      <c r="J29" s="1188">
        <v>0</v>
      </c>
      <c r="K29" s="54">
        <v>421.197</v>
      </c>
      <c r="L29" s="184">
        <v>0.27800000000000002</v>
      </c>
      <c r="M29" s="432">
        <f t="shared" si="0"/>
        <v>0</v>
      </c>
      <c r="N29" s="433">
        <f>Drift!H75</f>
        <v>5127.47</v>
      </c>
      <c r="O29" s="53">
        <v>18.021999999999998</v>
      </c>
      <c r="P29" s="53">
        <v>7.0860000000000003</v>
      </c>
      <c r="Q29" s="53">
        <v>132.44300000000001</v>
      </c>
      <c r="R29" s="53">
        <v>5.2149999999999999</v>
      </c>
      <c r="S29" s="53">
        <v>2.2469999999999999</v>
      </c>
      <c r="T29" s="53">
        <v>2.0059999999999998</v>
      </c>
      <c r="U29" s="173">
        <v>4486.1769999999997</v>
      </c>
      <c r="V29" s="53">
        <v>470.029</v>
      </c>
      <c r="W29" s="53">
        <v>4.2439999999999998</v>
      </c>
      <c r="X29" s="432">
        <f>N29-SUM(O29:W29)</f>
        <v>1.0000000002037268E-3</v>
      </c>
      <c r="Y29" s="435">
        <v>233.035</v>
      </c>
      <c r="Z29" s="53">
        <v>28.006</v>
      </c>
      <c r="AA29" s="53">
        <v>1072.076</v>
      </c>
      <c r="AB29" s="53">
        <v>1.395</v>
      </c>
      <c r="AC29" s="521">
        <v>6075.2240000000002</v>
      </c>
      <c r="AD29" s="2193"/>
    </row>
    <row r="30" spans="1:30" ht="13.35" customHeight="1">
      <c r="A30" s="549">
        <v>530</v>
      </c>
      <c r="B30" s="1030" t="s">
        <v>99</v>
      </c>
      <c r="C30" s="82">
        <f>Drift!F76</f>
        <v>2072.9720000000002</v>
      </c>
      <c r="D30" s="53">
        <v>0.94599999999999995</v>
      </c>
      <c r="E30" s="53">
        <v>3.6579999999999999</v>
      </c>
      <c r="F30" s="53">
        <v>1293.2760000000001</v>
      </c>
      <c r="G30" s="53">
        <v>8.1539999999999999</v>
      </c>
      <c r="H30" s="53">
        <v>746.70600000000002</v>
      </c>
      <c r="I30" s="53">
        <v>5.7000000000000002E-2</v>
      </c>
      <c r="J30" s="1188">
        <v>0</v>
      </c>
      <c r="K30" s="54">
        <v>20.175000000000001</v>
      </c>
      <c r="L30" s="184">
        <v>0</v>
      </c>
      <c r="M30" s="432">
        <f t="shared" si="0"/>
        <v>0</v>
      </c>
      <c r="N30" s="433">
        <f>Drift!H76</f>
        <v>36.499000000000002</v>
      </c>
      <c r="O30" s="53">
        <v>2.5999999999999999E-2</v>
      </c>
      <c r="P30" s="53">
        <v>0.35499999999999998</v>
      </c>
      <c r="Q30" s="53">
        <v>1.2E-2</v>
      </c>
      <c r="R30" s="53">
        <v>2E-3</v>
      </c>
      <c r="S30" s="53">
        <v>35.860999999999997</v>
      </c>
      <c r="T30" s="53">
        <v>0.40300000000000002</v>
      </c>
      <c r="U30" s="53">
        <v>5.0000000000000001E-3</v>
      </c>
      <c r="V30" s="53">
        <v>-0.16500000000000001</v>
      </c>
      <c r="W30" s="53">
        <v>0</v>
      </c>
      <c r="X30" s="432">
        <f t="shared" si="1"/>
        <v>0</v>
      </c>
      <c r="Y30" s="435">
        <v>7.4850000000000003</v>
      </c>
      <c r="Z30" s="53">
        <v>2.8000000000000001E-2</v>
      </c>
      <c r="AA30" s="53">
        <v>6.5979999999999999</v>
      </c>
      <c r="AB30" s="53">
        <v>0</v>
      </c>
      <c r="AC30" s="98">
        <v>21.359000000000002</v>
      </c>
      <c r="AD30" s="2193"/>
    </row>
    <row r="31" spans="1:30" ht="13.35" customHeight="1">
      <c r="A31" s="549">
        <v>559</v>
      </c>
      <c r="B31" s="1030" t="s">
        <v>196</v>
      </c>
      <c r="C31" s="82">
        <f>Drift!F79</f>
        <v>3212.703</v>
      </c>
      <c r="D31" s="53">
        <v>329.94299999999998</v>
      </c>
      <c r="E31" s="53">
        <v>1.367</v>
      </c>
      <c r="F31" s="53">
        <v>2222.23</v>
      </c>
      <c r="G31" s="53">
        <v>40.756</v>
      </c>
      <c r="H31" s="53">
        <v>20.535</v>
      </c>
      <c r="I31" s="53">
        <v>570.79499999999996</v>
      </c>
      <c r="J31" s="1188">
        <v>0</v>
      </c>
      <c r="K31" s="53">
        <v>27.068000000000001</v>
      </c>
      <c r="L31" s="53">
        <v>8.0000000000000002E-3</v>
      </c>
      <c r="M31" s="1224">
        <f t="shared" si="0"/>
        <v>1.0000000002037268E-3</v>
      </c>
      <c r="N31" s="433">
        <f>Drift!H79</f>
        <v>144.47200000000001</v>
      </c>
      <c r="O31" s="53">
        <v>120.31699999999999</v>
      </c>
      <c r="P31" s="53">
        <v>0.47499999999999998</v>
      </c>
      <c r="Q31" s="53">
        <v>9.9420000000000002</v>
      </c>
      <c r="R31" s="53">
        <v>0.56000000000000005</v>
      </c>
      <c r="S31" s="53">
        <v>1.413</v>
      </c>
      <c r="T31" s="53">
        <v>0.74099999999999999</v>
      </c>
      <c r="U31" s="53">
        <v>0.98</v>
      </c>
      <c r="V31" s="53">
        <v>10.045999999999999</v>
      </c>
      <c r="W31" s="53">
        <v>-3.0000000000000001E-3</v>
      </c>
      <c r="X31" s="1224">
        <f t="shared" si="1"/>
        <v>1.0000000000047748E-3</v>
      </c>
      <c r="Y31" s="435">
        <v>33.609000000000002</v>
      </c>
      <c r="Z31" s="65">
        <v>3.423</v>
      </c>
      <c r="AA31" s="65">
        <v>161.001</v>
      </c>
      <c r="AB31" s="65">
        <v>0.33300000000000002</v>
      </c>
      <c r="AC31" s="176">
        <v>191.04499999999999</v>
      </c>
      <c r="AD31" s="2193"/>
    </row>
    <row r="32" spans="1:30" ht="13.35" customHeight="1">
      <c r="A32" s="549">
        <v>552</v>
      </c>
      <c r="B32" s="555" t="s">
        <v>134</v>
      </c>
      <c r="C32" s="2351">
        <f>SUM(D32+E32+F32+G32+H32+I32+K32+L32)</f>
        <v>2234.9159999999997</v>
      </c>
      <c r="D32" s="53">
        <v>100.13</v>
      </c>
      <c r="E32" s="53">
        <v>0.36</v>
      </c>
      <c r="F32" s="53">
        <v>1530.635</v>
      </c>
      <c r="G32" s="53">
        <v>17.565999999999999</v>
      </c>
      <c r="H32" s="53">
        <v>11.138</v>
      </c>
      <c r="I32" s="53">
        <v>561.41099999999994</v>
      </c>
      <c r="J32" s="1188">
        <v>0</v>
      </c>
      <c r="K32" s="53">
        <v>13.676</v>
      </c>
      <c r="L32" s="53">
        <v>0</v>
      </c>
      <c r="M32" s="1224">
        <f>IF(OR(C32="",C32=0),"",C32-SUM(D32:L32))</f>
        <v>0</v>
      </c>
      <c r="N32" s="2352">
        <f>SUM(O32+P32+Q32+R32+S32+T32+U32+V32+W32)</f>
        <v>75.768000000000001</v>
      </c>
      <c r="O32" s="53">
        <v>70.926000000000002</v>
      </c>
      <c r="P32" s="53">
        <v>3.7999999999999999E-2</v>
      </c>
      <c r="Q32" s="53">
        <v>1.179</v>
      </c>
      <c r="R32" s="53">
        <v>0.19400000000000001</v>
      </c>
      <c r="S32" s="53">
        <v>0.112</v>
      </c>
      <c r="T32" s="53">
        <v>0.1</v>
      </c>
      <c r="U32" s="53">
        <v>0.23</v>
      </c>
      <c r="V32" s="53">
        <v>2.988</v>
      </c>
      <c r="W32" s="53">
        <v>1E-3</v>
      </c>
      <c r="X32" s="1224">
        <f>IF(OR(N32="",N32=0),"",N32-SUM(O32:W32))</f>
        <v>0</v>
      </c>
      <c r="Y32" s="436">
        <v>12.398999999999999</v>
      </c>
      <c r="Z32" s="53">
        <v>1.85</v>
      </c>
      <c r="AA32" s="53">
        <v>27.861999999999998</v>
      </c>
      <c r="AB32" s="53">
        <v>4.9000000000000002E-2</v>
      </c>
      <c r="AC32" s="176">
        <v>90.893000000000001</v>
      </c>
      <c r="AD32" s="2193"/>
    </row>
    <row r="33" spans="1:30" ht="13.35" customHeight="1">
      <c r="A33" s="549">
        <v>569</v>
      </c>
      <c r="B33" s="550" t="s">
        <v>103</v>
      </c>
      <c r="C33" s="82">
        <f>Drift!F80</f>
        <v>9994.9609999999993</v>
      </c>
      <c r="D33" s="53">
        <v>275.839</v>
      </c>
      <c r="E33" s="53">
        <v>3.8460000000000001</v>
      </c>
      <c r="F33" s="53">
        <v>8098.6270000000004</v>
      </c>
      <c r="G33" s="53">
        <v>177.72900000000001</v>
      </c>
      <c r="H33" s="53">
        <v>93.361000000000004</v>
      </c>
      <c r="I33" s="53">
        <v>1294.623</v>
      </c>
      <c r="J33" s="1188">
        <v>0</v>
      </c>
      <c r="K33" s="53">
        <v>47.667000000000002</v>
      </c>
      <c r="L33" s="53">
        <v>3.2690000000000001</v>
      </c>
      <c r="M33" s="1224">
        <f t="shared" si="0"/>
        <v>0</v>
      </c>
      <c r="N33" s="433">
        <f>Drift!H80</f>
        <v>137.81700000000001</v>
      </c>
      <c r="O33" s="53">
        <v>48.09</v>
      </c>
      <c r="P33" s="53">
        <v>2.2090000000000001</v>
      </c>
      <c r="Q33" s="53">
        <v>20.126000000000001</v>
      </c>
      <c r="R33" s="53">
        <v>1.869</v>
      </c>
      <c r="S33" s="53">
        <v>3.2989999999999999</v>
      </c>
      <c r="T33" s="53">
        <v>2.5609999999999999</v>
      </c>
      <c r="U33" s="53">
        <v>1.881</v>
      </c>
      <c r="V33" s="53">
        <v>57.735999999999997</v>
      </c>
      <c r="W33" s="53">
        <v>4.8000000000000001E-2</v>
      </c>
      <c r="X33" s="1224">
        <f t="shared" si="1"/>
        <v>-2.0000000000095497E-3</v>
      </c>
      <c r="Y33" s="436">
        <v>172.113</v>
      </c>
      <c r="Z33" s="53">
        <v>18.692</v>
      </c>
      <c r="AA33" s="53">
        <v>941.93</v>
      </c>
      <c r="AB33" s="53">
        <v>4.8650000000000002</v>
      </c>
      <c r="AC33" s="176">
        <v>654.89400000000001</v>
      </c>
      <c r="AD33" s="2193"/>
    </row>
    <row r="34" spans="1:30" ht="13.35" customHeight="1">
      <c r="A34" s="549">
        <v>554</v>
      </c>
      <c r="B34" s="555" t="s">
        <v>200</v>
      </c>
      <c r="C34" s="2351">
        <f>SUM(D34+E34+F34+G34+H34+I34+K34+L34)</f>
        <v>6203.8119999999999</v>
      </c>
      <c r="D34" s="53">
        <v>159.072</v>
      </c>
      <c r="E34" s="53">
        <v>1.2350000000000001</v>
      </c>
      <c r="F34" s="53">
        <v>4660.7920000000004</v>
      </c>
      <c r="G34" s="53">
        <v>54.204999999999998</v>
      </c>
      <c r="H34" s="53">
        <v>28.574000000000002</v>
      </c>
      <c r="I34" s="53">
        <v>1256.8979999999999</v>
      </c>
      <c r="J34" s="1188">
        <v>0</v>
      </c>
      <c r="K34" s="53">
        <v>41.192</v>
      </c>
      <c r="L34" s="53">
        <v>1.8440000000000001</v>
      </c>
      <c r="M34" s="1224">
        <f>IF(OR(C34="",C34=0),"",C34-SUM(D34:L34))</f>
        <v>0</v>
      </c>
      <c r="N34" s="2352">
        <f>SUM(O34+P34+Q34+R34+S34+T34+U34+V34+W34)</f>
        <v>27.137</v>
      </c>
      <c r="O34" s="53">
        <v>4.2789999999999999</v>
      </c>
      <c r="P34" s="53">
        <v>0.318</v>
      </c>
      <c r="Q34" s="53">
        <v>5.5149999999999997</v>
      </c>
      <c r="R34" s="53">
        <v>0.26900000000000002</v>
      </c>
      <c r="S34" s="53">
        <v>0.19600000000000001</v>
      </c>
      <c r="T34" s="53">
        <v>0.38</v>
      </c>
      <c r="U34" s="53">
        <v>0.89600000000000002</v>
      </c>
      <c r="V34" s="53">
        <v>15.272</v>
      </c>
      <c r="W34" s="53">
        <v>1.2E-2</v>
      </c>
      <c r="X34" s="1224">
        <f>IF(OR(N34="",N34=0),"",N34-SUM(O34:W34))</f>
        <v>0</v>
      </c>
      <c r="Y34" s="436">
        <v>56.444000000000003</v>
      </c>
      <c r="Z34" s="53">
        <v>7.194</v>
      </c>
      <c r="AA34" s="53">
        <v>108.83499999999999</v>
      </c>
      <c r="AB34" s="53">
        <v>8.5999999999999993E-2</v>
      </c>
      <c r="AC34" s="176">
        <v>261.35000000000002</v>
      </c>
      <c r="AD34" s="2193"/>
    </row>
    <row r="35" spans="1:30" ht="13.35" customHeight="1">
      <c r="A35" s="549">
        <v>580</v>
      </c>
      <c r="B35" s="555" t="s">
        <v>135</v>
      </c>
      <c r="C35" s="82">
        <f>SUM(Drift!F81,Drift!F82,Drift!F84)</f>
        <v>1235.4089999999999</v>
      </c>
      <c r="D35" s="53">
        <v>185.929</v>
      </c>
      <c r="E35" s="53">
        <v>2.7280000000000002</v>
      </c>
      <c r="F35" s="53">
        <v>846.52200000000005</v>
      </c>
      <c r="G35" s="53">
        <v>164.19</v>
      </c>
      <c r="H35" s="53">
        <v>9.2780000000000005</v>
      </c>
      <c r="I35" s="53">
        <v>3.9390000000000001</v>
      </c>
      <c r="J35" s="1188">
        <v>0</v>
      </c>
      <c r="K35" s="54">
        <v>22.754000000000001</v>
      </c>
      <c r="L35" s="184">
        <v>6.9000000000000006E-2</v>
      </c>
      <c r="M35" s="1224">
        <f t="shared" si="0"/>
        <v>0</v>
      </c>
      <c r="N35" s="433">
        <f>SUM(Drift!H81,Drift!H82,Drift!H84)</f>
        <v>10413.931</v>
      </c>
      <c r="O35" s="53">
        <v>296.298</v>
      </c>
      <c r="P35" s="53">
        <v>1.6679999999999999</v>
      </c>
      <c r="Q35" s="53">
        <v>70.634</v>
      </c>
      <c r="R35" s="53">
        <v>8.1679999999999993</v>
      </c>
      <c r="S35" s="53">
        <v>2.206</v>
      </c>
      <c r="T35" s="53">
        <v>6.73</v>
      </c>
      <c r="U35" s="53">
        <v>2.5009999999999999</v>
      </c>
      <c r="V35" s="53">
        <v>10025.725</v>
      </c>
      <c r="W35" s="53">
        <v>1E-3</v>
      </c>
      <c r="X35" s="1224">
        <f t="shared" si="1"/>
        <v>0</v>
      </c>
      <c r="Y35" s="435">
        <v>171.452</v>
      </c>
      <c r="Z35" s="53">
        <v>2.3380000000000001</v>
      </c>
      <c r="AA35" s="53">
        <v>449.80399999999997</v>
      </c>
      <c r="AB35" s="53">
        <v>1.9419999999999999</v>
      </c>
      <c r="AC35" s="98">
        <v>421.27800000000002</v>
      </c>
      <c r="AD35" s="2193"/>
    </row>
    <row r="36" spans="1:30" ht="13.35" customHeight="1">
      <c r="A36" s="549">
        <v>600</v>
      </c>
      <c r="B36" s="550" t="s">
        <v>110</v>
      </c>
      <c r="C36" s="82">
        <f>Drift!F87</f>
        <v>382.892</v>
      </c>
      <c r="D36" s="65">
        <v>21.684000000000001</v>
      </c>
      <c r="E36" s="65">
        <v>0.626</v>
      </c>
      <c r="F36" s="65">
        <v>285.387</v>
      </c>
      <c r="G36" s="65">
        <v>30.106000000000002</v>
      </c>
      <c r="H36" s="65">
        <v>6.7889999999999997</v>
      </c>
      <c r="I36" s="65">
        <v>27.036999999999999</v>
      </c>
      <c r="J36" s="1194">
        <v>0</v>
      </c>
      <c r="K36" s="184">
        <v>11.262</v>
      </c>
      <c r="L36" s="184">
        <v>1E-3</v>
      </c>
      <c r="M36" s="432">
        <f t="shared" si="0"/>
        <v>0</v>
      </c>
      <c r="N36" s="433">
        <f>Drift!H87</f>
        <v>483.92</v>
      </c>
      <c r="O36" s="65">
        <v>145.005</v>
      </c>
      <c r="P36" s="65">
        <v>2.5649999999999999</v>
      </c>
      <c r="Q36" s="65">
        <v>12.612</v>
      </c>
      <c r="R36" s="65">
        <v>0.48599999999999999</v>
      </c>
      <c r="S36" s="65">
        <v>9.9000000000000005E-2</v>
      </c>
      <c r="T36" s="65">
        <v>0.55100000000000005</v>
      </c>
      <c r="U36" s="65">
        <v>4.4470000000000001</v>
      </c>
      <c r="V36" s="65">
        <v>318.16000000000003</v>
      </c>
      <c r="W36" s="65">
        <v>-5.0000000000000001E-3</v>
      </c>
      <c r="X36" s="432">
        <f t="shared" si="1"/>
        <v>0</v>
      </c>
      <c r="Y36" s="436">
        <v>30.416</v>
      </c>
      <c r="Z36" s="65">
        <v>16.492000000000001</v>
      </c>
      <c r="AA36" s="65">
        <v>3438.2359999999999</v>
      </c>
      <c r="AB36" s="65">
        <v>38.869999999999997</v>
      </c>
      <c r="AC36" s="98">
        <v>57.496000000000002</v>
      </c>
      <c r="AD36" s="2193"/>
    </row>
    <row r="37" spans="1:30" ht="13.35" customHeight="1">
      <c r="A37" s="549">
        <v>610</v>
      </c>
      <c r="B37" s="555" t="s">
        <v>136</v>
      </c>
      <c r="C37" s="82">
        <f>Drift!F88</f>
        <v>194.00399999999999</v>
      </c>
      <c r="D37" s="53">
        <v>53.392000000000003</v>
      </c>
      <c r="E37" s="53">
        <v>24.744</v>
      </c>
      <c r="F37" s="53">
        <v>80.566000000000003</v>
      </c>
      <c r="G37" s="53">
        <v>21.558</v>
      </c>
      <c r="H37" s="53">
        <v>2.9849999999999999</v>
      </c>
      <c r="I37" s="53">
        <v>2.1509999999999998</v>
      </c>
      <c r="J37" s="1188">
        <v>0</v>
      </c>
      <c r="K37" s="54">
        <v>8.6080000000000005</v>
      </c>
      <c r="L37" s="184">
        <v>0</v>
      </c>
      <c r="M37" s="432">
        <f t="shared" si="0"/>
        <v>0</v>
      </c>
      <c r="N37" s="433">
        <f>Drift!H88</f>
        <v>155.91900000000001</v>
      </c>
      <c r="O37" s="53">
        <v>69.281000000000006</v>
      </c>
      <c r="P37" s="53">
        <v>11.698</v>
      </c>
      <c r="Q37" s="53">
        <v>36.807000000000002</v>
      </c>
      <c r="R37" s="53">
        <v>1.331</v>
      </c>
      <c r="S37" s="53">
        <v>1.401</v>
      </c>
      <c r="T37" s="53">
        <v>21.297999999999998</v>
      </c>
      <c r="U37" s="53">
        <v>1.446</v>
      </c>
      <c r="V37" s="53">
        <v>12.432</v>
      </c>
      <c r="W37" s="53">
        <v>0.224</v>
      </c>
      <c r="X37" s="432">
        <f t="shared" si="1"/>
        <v>1.0000000000331966E-3</v>
      </c>
      <c r="Y37" s="436">
        <v>54.32</v>
      </c>
      <c r="Z37" s="53">
        <v>1.0329999999999999</v>
      </c>
      <c r="AA37" s="53">
        <v>2628.7840000000001</v>
      </c>
      <c r="AB37" s="53">
        <v>117.447</v>
      </c>
      <c r="AC37" s="98">
        <v>254.70500000000001</v>
      </c>
      <c r="AD37" s="2193"/>
    </row>
    <row r="38" spans="1:30" ht="13.35" customHeight="1">
      <c r="A38" s="549">
        <v>890</v>
      </c>
      <c r="B38" s="555" t="s">
        <v>137</v>
      </c>
      <c r="C38" s="82">
        <f>Drift!F109</f>
        <v>6086.5580000000009</v>
      </c>
      <c r="D38" s="53">
        <v>10.726000000000001</v>
      </c>
      <c r="E38" s="53">
        <v>1532.749</v>
      </c>
      <c r="F38" s="53">
        <v>3582.8820000000001</v>
      </c>
      <c r="G38" s="53">
        <v>87.090999999999994</v>
      </c>
      <c r="H38" s="53">
        <v>460.35</v>
      </c>
      <c r="I38" s="53">
        <v>85.412000000000006</v>
      </c>
      <c r="J38" s="1188">
        <v>0</v>
      </c>
      <c r="K38" s="54">
        <v>314.20100000000002</v>
      </c>
      <c r="L38" s="184">
        <v>13.147</v>
      </c>
      <c r="M38" s="432">
        <f t="shared" si="0"/>
        <v>0</v>
      </c>
      <c r="N38" s="433">
        <f>Drift!H109</f>
        <v>1169.2459999999999</v>
      </c>
      <c r="O38" s="53">
        <v>13.329000000000001</v>
      </c>
      <c r="P38" s="53">
        <v>507.80799999999999</v>
      </c>
      <c r="Q38" s="53">
        <v>126.44799999999999</v>
      </c>
      <c r="R38" s="53">
        <v>7.3390000000000004</v>
      </c>
      <c r="S38" s="53">
        <v>220.81899999999999</v>
      </c>
      <c r="T38" s="53">
        <v>278.50099999999998</v>
      </c>
      <c r="U38" s="53">
        <v>12.278</v>
      </c>
      <c r="V38" s="53">
        <v>2.6989999999999998</v>
      </c>
      <c r="W38" s="53">
        <v>2.4E-2</v>
      </c>
      <c r="X38" s="432">
        <f t="shared" si="1"/>
        <v>9.9999999997635314E-4</v>
      </c>
      <c r="Y38" s="436">
        <v>114.661</v>
      </c>
      <c r="Z38" s="53">
        <v>23.428999999999998</v>
      </c>
      <c r="AA38" s="53">
        <v>562.17600000000004</v>
      </c>
      <c r="AB38" s="53">
        <v>7.1669999999999998</v>
      </c>
      <c r="AC38" s="98">
        <v>5475.3609999999999</v>
      </c>
      <c r="AD38" s="2193"/>
    </row>
    <row r="39" spans="1:30" ht="13.35" customHeight="1">
      <c r="A39" s="549">
        <v>940</v>
      </c>
      <c r="B39" s="555" t="s">
        <v>138</v>
      </c>
      <c r="C39" s="82">
        <f>SUM(Drift!F111:F112)</f>
        <v>1036.4169999999999</v>
      </c>
      <c r="D39" s="53">
        <v>14.462999999999999</v>
      </c>
      <c r="E39" s="53">
        <v>310.96899999999999</v>
      </c>
      <c r="F39" s="53">
        <v>391.15300000000002</v>
      </c>
      <c r="G39" s="53">
        <v>232.97300000000001</v>
      </c>
      <c r="H39" s="53">
        <v>12.414</v>
      </c>
      <c r="I39" s="53">
        <v>5.4729999999999999</v>
      </c>
      <c r="J39" s="1188">
        <v>0</v>
      </c>
      <c r="K39" s="54">
        <v>68.95</v>
      </c>
      <c r="L39" s="184">
        <v>2.3E-2</v>
      </c>
      <c r="M39" s="432">
        <f t="shared" si="0"/>
        <v>-9.9999999997635314E-4</v>
      </c>
      <c r="N39" s="433">
        <f>SUM(Drift!H111:H112)</f>
        <v>381.40100000000001</v>
      </c>
      <c r="O39" s="53">
        <v>153.232</v>
      </c>
      <c r="P39" s="53">
        <v>53.573999999999998</v>
      </c>
      <c r="Q39" s="53">
        <v>50.54</v>
      </c>
      <c r="R39" s="53">
        <v>3.0150000000000001</v>
      </c>
      <c r="S39" s="53">
        <v>3.8149999999999999</v>
      </c>
      <c r="T39" s="53">
        <v>48.316000000000003</v>
      </c>
      <c r="U39" s="53">
        <v>60.529000000000003</v>
      </c>
      <c r="V39" s="53">
        <v>2.7120000000000002</v>
      </c>
      <c r="W39" s="53">
        <v>5.6689999999999996</v>
      </c>
      <c r="X39" s="432">
        <f t="shared" si="1"/>
        <v>-9.9999999991950972E-4</v>
      </c>
      <c r="Y39" s="436">
        <v>753.50599999999997</v>
      </c>
      <c r="Z39" s="53">
        <v>27.363</v>
      </c>
      <c r="AA39" s="53">
        <v>1965.06</v>
      </c>
      <c r="AB39" s="53">
        <v>57.887</v>
      </c>
      <c r="AC39" s="98">
        <v>1035.076</v>
      </c>
      <c r="AD39" s="2193"/>
    </row>
    <row r="40" spans="1:30" ht="13.35" customHeight="1">
      <c r="A40" s="581" t="s">
        <v>275</v>
      </c>
      <c r="B40" s="1031" t="s">
        <v>33</v>
      </c>
      <c r="C40" s="407">
        <f>SUM(C9:C31,C33,C35:C39)</f>
        <v>159720.44899999999</v>
      </c>
      <c r="D40" s="361">
        <f>SUM(D9:D31,D33,D35:D39)</f>
        <v>17916.312999999995</v>
      </c>
      <c r="E40" s="361">
        <f t="shared" ref="E40:L40" si="2">SUM(E9:E31,E33,E35:E39)</f>
        <v>4964.6420000000007</v>
      </c>
      <c r="F40" s="361">
        <f t="shared" si="2"/>
        <v>107490.34100000001</v>
      </c>
      <c r="G40" s="361">
        <f t="shared" si="2"/>
        <v>14281.972999999998</v>
      </c>
      <c r="H40" s="361">
        <f t="shared" si="2"/>
        <v>2614.6360000000004</v>
      </c>
      <c r="I40" s="361">
        <f t="shared" si="2"/>
        <v>2844.9179999999992</v>
      </c>
      <c r="J40" s="1867">
        <f t="shared" si="2"/>
        <v>0</v>
      </c>
      <c r="K40" s="361">
        <f t="shared" si="2"/>
        <v>9554.7489999999998</v>
      </c>
      <c r="L40" s="361">
        <f t="shared" si="2"/>
        <v>52.874000000000002</v>
      </c>
      <c r="M40" s="364">
        <f>SUM(M9:M31,M33,M35:M39)</f>
        <v>3.0000000005827587E-3</v>
      </c>
      <c r="N40" s="434">
        <f>SUM(N9:N31,N33,N35:N39)</f>
        <v>28344.116000000002</v>
      </c>
      <c r="O40" s="361">
        <f>SUM(O9:O31,O33,O35:O39)</f>
        <v>5455.8390000000009</v>
      </c>
      <c r="P40" s="361">
        <f t="shared" ref="P40:W40" si="3">SUM(P9:P31,P33,P35:P39)</f>
        <v>1775.9159999999999</v>
      </c>
      <c r="Q40" s="361">
        <f t="shared" si="3"/>
        <v>2045.777</v>
      </c>
      <c r="R40" s="361">
        <f t="shared" si="3"/>
        <v>100.47900000000003</v>
      </c>
      <c r="S40" s="361">
        <f t="shared" si="3"/>
        <v>359.20400000000001</v>
      </c>
      <c r="T40" s="361">
        <f t="shared" si="3"/>
        <v>1344.2900000000002</v>
      </c>
      <c r="U40" s="361">
        <f t="shared" si="3"/>
        <v>5274.5430000000006</v>
      </c>
      <c r="V40" s="361">
        <f t="shared" si="3"/>
        <v>11965.603000000001</v>
      </c>
      <c r="W40" s="361">
        <f t="shared" si="3"/>
        <v>22.465000000000003</v>
      </c>
      <c r="X40" s="364">
        <f t="shared" ref="X40:AC40" si="4">SUM(X9:X31,X33,X35:X39)</f>
        <v>1.833533325168446E-13</v>
      </c>
      <c r="Y40" s="437">
        <f t="shared" si="4"/>
        <v>14712.416999999996</v>
      </c>
      <c r="Z40" s="362">
        <f t="shared" si="4"/>
        <v>484.95300000000003</v>
      </c>
      <c r="AA40" s="362">
        <f t="shared" si="4"/>
        <v>44729.064999999973</v>
      </c>
      <c r="AB40" s="362">
        <f t="shared" si="4"/>
        <v>586.37500000000023</v>
      </c>
      <c r="AC40" s="363">
        <f t="shared" si="4"/>
        <v>24077.147000000001</v>
      </c>
      <c r="AD40" s="2193"/>
    </row>
    <row r="41" spans="1:30" ht="12" customHeight="1">
      <c r="A41" s="581"/>
      <c r="B41" s="1032" t="s">
        <v>1005</v>
      </c>
      <c r="C41" s="10"/>
      <c r="D41" s="47"/>
      <c r="E41" s="47"/>
      <c r="F41" s="47"/>
      <c r="G41" s="47"/>
      <c r="H41" s="47"/>
      <c r="I41" s="47"/>
      <c r="J41" s="1646"/>
      <c r="K41" s="46"/>
      <c r="L41" s="1648"/>
      <c r="M41" s="2015"/>
      <c r="N41" s="524"/>
      <c r="O41" s="249"/>
      <c r="P41" s="249"/>
      <c r="Q41" s="249"/>
      <c r="R41" s="249"/>
      <c r="S41" s="249"/>
      <c r="T41" s="250"/>
      <c r="V41" s="250"/>
      <c r="W41" s="526"/>
      <c r="X41" s="2016" t="str">
        <f>IF(OR(ABS(X40&gt;100),(X40&lt;-100),COUNTIF(X9:X39,"&gt;100")&gt;0,COUNTIF(X9:X39,"&lt;-100")&gt;0),"Rätta differenserna i kolumn X","")</f>
        <v/>
      </c>
      <c r="Y41" s="120">
        <f>SUM('Verks int o kostn'!I27+'Verks int o kostn'!I29)</f>
        <v>14712.395</v>
      </c>
      <c r="Z41" s="85">
        <f>'Verks int o kostn'!I28</f>
        <v>484.93799999999999</v>
      </c>
      <c r="AA41" s="85">
        <f>SUM('Verks int o kostn'!D17,'Verks int o kostn'!D18)</f>
        <v>44745.411</v>
      </c>
      <c r="AB41" s="85">
        <f>'Verks int o kostn'!D23</f>
        <v>586.37099999999998</v>
      </c>
      <c r="AC41" s="248">
        <f>SUM('Verks int o kostn'!D14,'Verks int o kostn'!D19,'Verks int o kostn'!D20,'Verks int o kostn'!D21,'Verks int o kostn'!D22,'Verks int o kostn'!D24,'Verks int o kostn'!D25)</f>
        <v>24519.502999999997</v>
      </c>
      <c r="AD41" s="2193"/>
    </row>
    <row r="42" spans="1:30" ht="12.75" customHeight="1" thickBot="1">
      <c r="A42" s="572"/>
      <c r="B42" s="1033" t="s">
        <v>126</v>
      </c>
      <c r="C42" s="246"/>
      <c r="D42" s="126"/>
      <c r="E42" s="126"/>
      <c r="F42" s="126"/>
      <c r="G42" s="126"/>
      <c r="H42" s="126"/>
      <c r="I42" s="126"/>
      <c r="J42" s="522"/>
      <c r="K42" s="126"/>
      <c r="L42" s="523"/>
      <c r="M42" s="1292"/>
      <c r="N42" s="525"/>
      <c r="O42" s="247"/>
      <c r="P42" s="126"/>
      <c r="Q42" s="126"/>
      <c r="R42" s="126"/>
      <c r="S42" s="126"/>
      <c r="T42" s="127"/>
      <c r="U42" s="529"/>
      <c r="V42" s="127"/>
      <c r="W42" s="247"/>
      <c r="X42" s="527"/>
      <c r="Y42" s="408">
        <f>Y40-Y41</f>
        <v>2.1999999995387043E-2</v>
      </c>
      <c r="Z42" s="409">
        <f>Z40-Z41</f>
        <v>1.5000000000043201E-2</v>
      </c>
      <c r="AA42" s="410">
        <f>AA40-AA41</f>
        <v>-16.346000000026834</v>
      </c>
      <c r="AB42" s="410">
        <f>AB40-AB41</f>
        <v>4.0000000002464731E-3</v>
      </c>
      <c r="AC42" s="411">
        <f>AC40-AC41</f>
        <v>-442.35599999999613</v>
      </c>
      <c r="AD42" s="2193"/>
    </row>
    <row r="43" spans="1:30" ht="12.75" customHeight="1">
      <c r="A43" s="2193"/>
      <c r="B43" s="2193"/>
      <c r="C43" s="2193"/>
      <c r="D43" s="2193"/>
      <c r="E43" s="2193"/>
      <c r="F43" s="2193"/>
      <c r="G43" s="2193"/>
      <c r="H43" s="2193"/>
      <c r="I43" s="2193"/>
      <c r="J43" s="2193"/>
      <c r="K43" s="2193"/>
      <c r="L43" s="2193"/>
      <c r="M43" s="2193"/>
      <c r="N43" s="2193"/>
      <c r="O43" s="2193"/>
      <c r="P43" s="2193"/>
      <c r="Q43" s="2193"/>
      <c r="R43" s="2193"/>
      <c r="S43" s="2193"/>
      <c r="T43" s="2193"/>
      <c r="U43" s="2193"/>
      <c r="V43" s="2193"/>
      <c r="W43" s="2193"/>
      <c r="X43" s="2193"/>
      <c r="Y43" s="2193"/>
      <c r="Z43" s="2193"/>
      <c r="AA43" s="2193"/>
      <c r="AB43" s="2193"/>
      <c r="AC43" s="2193"/>
      <c r="AD43" s="2193"/>
    </row>
    <row r="44" spans="1:30" ht="12.75" customHeight="1">
      <c r="A44" s="2193"/>
      <c r="B44" s="2193"/>
      <c r="C44" s="2193"/>
      <c r="D44" s="2193"/>
      <c r="E44" s="2193"/>
      <c r="F44" s="2193"/>
      <c r="G44" s="2193"/>
      <c r="H44" s="2193"/>
      <c r="I44" s="2193"/>
      <c r="J44" s="2193"/>
      <c r="K44" s="2193"/>
      <c r="L44" s="2193"/>
      <c r="M44" s="2193"/>
      <c r="N44" s="2193"/>
      <c r="O44" s="2193"/>
      <c r="P44" s="2193"/>
      <c r="Q44" s="2193"/>
      <c r="R44" s="2193"/>
      <c r="S44" s="2193"/>
      <c r="T44" s="2193"/>
      <c r="U44" s="2193"/>
      <c r="V44" s="2193"/>
      <c r="W44" s="2193"/>
      <c r="X44" s="2193"/>
      <c r="Y44" s="2193"/>
      <c r="Z44" s="2193"/>
      <c r="AA44" s="2193"/>
      <c r="AB44" s="2193"/>
      <c r="AC44" s="2193"/>
      <c r="AD44" s="2193"/>
    </row>
    <row r="45" spans="1:30" ht="12.75" customHeight="1">
      <c r="A45" s="2193"/>
      <c r="B45" s="2193"/>
      <c r="C45" s="2193"/>
      <c r="D45" s="2193"/>
      <c r="E45" s="2193"/>
      <c r="F45" s="2193"/>
      <c r="G45" s="2193"/>
      <c r="H45" s="2193"/>
      <c r="I45" s="2193"/>
      <c r="J45" s="2193"/>
      <c r="K45" s="2193"/>
      <c r="L45" s="2193"/>
      <c r="M45" s="2193"/>
      <c r="N45" s="2193"/>
      <c r="O45" s="2193"/>
      <c r="P45" s="2193"/>
      <c r="Q45" s="2193"/>
      <c r="R45" s="2193"/>
      <c r="S45" s="2193"/>
      <c r="T45" s="2193"/>
      <c r="U45" s="2193"/>
      <c r="V45" s="2193"/>
      <c r="W45" s="2193"/>
      <c r="X45" s="2193"/>
      <c r="Y45" s="2193"/>
      <c r="Z45" s="2193"/>
      <c r="AA45" s="2193"/>
      <c r="AB45" s="2193"/>
      <c r="AC45" s="2193"/>
      <c r="AD45" s="2193"/>
    </row>
    <row r="46" spans="1:30" ht="9.75" customHeight="1">
      <c r="A46" s="2193"/>
      <c r="B46" s="2193"/>
      <c r="C46" s="2193"/>
      <c r="D46" s="2193"/>
      <c r="E46" s="2193"/>
      <c r="F46" s="2193"/>
      <c r="G46" s="2193"/>
      <c r="H46" s="2193"/>
      <c r="I46" s="2193"/>
      <c r="J46" s="2193"/>
      <c r="K46" s="2193"/>
      <c r="L46" s="2193"/>
      <c r="M46" s="2193"/>
      <c r="N46" s="2193"/>
      <c r="O46" s="2193"/>
      <c r="P46" s="2193"/>
      <c r="Q46" s="2193"/>
      <c r="R46" s="2193"/>
      <c r="S46" s="2193"/>
      <c r="T46" s="2193"/>
      <c r="U46" s="2193"/>
      <c r="V46" s="2193"/>
      <c r="W46" s="2193"/>
      <c r="X46" s="2193"/>
      <c r="Y46" s="2193"/>
      <c r="Z46" s="2193"/>
      <c r="AA46" s="2193"/>
      <c r="AB46" s="2193"/>
      <c r="AC46" s="2193"/>
      <c r="AD46" s="2193"/>
    </row>
    <row r="47" spans="1:30" ht="10.5" customHeight="1">
      <c r="A47" s="2193"/>
      <c r="B47" s="2193"/>
      <c r="C47" s="2193"/>
      <c r="D47" s="2193"/>
      <c r="E47" s="2193"/>
      <c r="F47" s="2193"/>
      <c r="G47" s="2193"/>
      <c r="H47" s="2193"/>
      <c r="I47" s="2193"/>
      <c r="J47" s="2193"/>
      <c r="K47" s="2193"/>
      <c r="L47" s="2193"/>
      <c r="M47" s="2193"/>
      <c r="N47" s="2193"/>
      <c r="O47" s="2193"/>
      <c r="P47" s="2193"/>
      <c r="Q47" s="2193"/>
      <c r="R47" s="2193"/>
      <c r="S47" s="2193"/>
      <c r="T47" s="2193"/>
      <c r="U47" s="2193"/>
      <c r="V47" s="2193"/>
      <c r="W47" s="2193"/>
      <c r="X47" s="2193"/>
      <c r="Y47" s="2193"/>
      <c r="Z47" s="2193"/>
      <c r="AA47" s="2193"/>
      <c r="AB47" s="2193"/>
      <c r="AC47" s="2193"/>
      <c r="AD47" s="2193"/>
    </row>
    <row r="48" spans="1:30" ht="9.75" customHeight="1">
      <c r="A48" s="2193"/>
      <c r="B48" s="2193"/>
      <c r="C48" s="2193"/>
      <c r="D48" s="2193"/>
      <c r="E48" s="2193"/>
      <c r="F48" s="2193"/>
      <c r="G48" s="2193"/>
      <c r="H48" s="2193"/>
      <c r="I48" s="2193"/>
      <c r="J48" s="2193"/>
      <c r="K48" s="2193"/>
      <c r="L48" s="2193"/>
      <c r="M48" s="2193"/>
      <c r="N48" s="2193"/>
      <c r="O48" s="2193"/>
      <c r="P48" s="2193"/>
      <c r="Q48" s="2193"/>
      <c r="R48" s="2193"/>
      <c r="S48" s="2193"/>
      <c r="T48" s="2193"/>
      <c r="U48" s="2193"/>
      <c r="V48" s="2193"/>
      <c r="W48" s="2193"/>
      <c r="X48" s="2193"/>
      <c r="Y48" s="2193"/>
      <c r="Z48" s="2193"/>
      <c r="AA48" s="2193"/>
      <c r="AB48" s="2193"/>
      <c r="AC48" s="2193"/>
      <c r="AD48" s="2193"/>
    </row>
    <row r="49" spans="1:30" ht="12.75">
      <c r="A49" s="2193"/>
      <c r="B49" s="2193"/>
      <c r="C49" s="2193"/>
      <c r="D49" s="2193"/>
      <c r="E49" s="2193"/>
      <c r="F49" s="2193"/>
      <c r="G49" s="2193"/>
      <c r="H49" s="2193"/>
      <c r="I49" s="2193"/>
      <c r="J49" s="2193"/>
      <c r="K49" s="2193"/>
      <c r="L49" s="2193"/>
      <c r="M49" s="2193"/>
      <c r="N49" s="2193"/>
      <c r="O49" s="2193"/>
      <c r="P49" s="2193"/>
      <c r="Q49" s="2193"/>
      <c r="R49" s="2193"/>
      <c r="S49" s="2193"/>
      <c r="T49" s="2193"/>
      <c r="U49" s="2193"/>
      <c r="V49" s="2193"/>
      <c r="W49" s="2193"/>
      <c r="X49" s="2193"/>
      <c r="Y49" s="2193"/>
      <c r="Z49" s="2193"/>
      <c r="AA49" s="2193"/>
      <c r="AB49" s="2193"/>
      <c r="AC49" s="2193"/>
      <c r="AD49" s="2193"/>
    </row>
    <row r="50" spans="1:30" ht="12.75">
      <c r="A50" s="2193"/>
      <c r="B50" s="2193"/>
      <c r="C50" s="2193"/>
      <c r="D50" s="2193"/>
      <c r="E50" s="2193"/>
      <c r="F50" s="2193"/>
      <c r="G50" s="2193"/>
      <c r="H50" s="2193"/>
      <c r="I50" s="2193"/>
      <c r="J50" s="2193"/>
      <c r="K50" s="2193"/>
      <c r="L50" s="2193"/>
      <c r="M50" s="2193"/>
      <c r="N50" s="2193"/>
      <c r="O50" s="2193"/>
      <c r="P50" s="2193"/>
      <c r="Q50" s="2193"/>
      <c r="R50" s="2193"/>
      <c r="S50" s="2193"/>
      <c r="T50" s="2193"/>
      <c r="U50" s="2193"/>
      <c r="V50" s="2193"/>
      <c r="W50" s="2193"/>
      <c r="X50" s="2193"/>
      <c r="Y50" s="2193"/>
      <c r="Z50" s="2193"/>
      <c r="AA50" s="2193"/>
      <c r="AB50" s="2193"/>
      <c r="AC50" s="2193"/>
      <c r="AD50" s="2193"/>
    </row>
    <row r="51" spans="1:30" ht="12" customHeight="1">
      <c r="A51" s="2193"/>
      <c r="B51" s="2193"/>
      <c r="C51" s="2193"/>
      <c r="D51" s="2193"/>
      <c r="E51" s="2193"/>
      <c r="F51" s="2193"/>
      <c r="G51" s="2193"/>
      <c r="H51" s="2193"/>
      <c r="I51" s="2193"/>
      <c r="J51" s="2193"/>
      <c r="K51" s="2193"/>
      <c r="L51" s="2193"/>
      <c r="M51" s="2193"/>
      <c r="N51" s="2193"/>
      <c r="O51" s="2193"/>
      <c r="P51" s="2193"/>
      <c r="Q51" s="2193"/>
      <c r="R51" s="2193"/>
      <c r="S51" s="2193"/>
      <c r="T51" s="2193"/>
      <c r="U51" s="2193"/>
      <c r="V51" s="2193"/>
      <c r="W51" s="2193"/>
      <c r="X51" s="2193"/>
      <c r="Y51" s="2193"/>
      <c r="Z51" s="2193"/>
      <c r="AA51" s="2193"/>
      <c r="AB51" s="2193"/>
      <c r="AC51" s="2193"/>
      <c r="AD51" s="2193"/>
    </row>
    <row r="52" spans="1:30" ht="12.75">
      <c r="A52" s="2193"/>
      <c r="B52" s="2193"/>
      <c r="C52" s="2193"/>
      <c r="D52" s="2193"/>
      <c r="E52" s="2193"/>
      <c r="F52" s="2193"/>
      <c r="G52" s="2193"/>
      <c r="H52" s="2193"/>
      <c r="I52" s="2193"/>
      <c r="J52" s="2193"/>
      <c r="K52" s="2193"/>
      <c r="L52" s="2193"/>
      <c r="M52" s="2193"/>
      <c r="N52" s="2193"/>
      <c r="O52" s="2193"/>
      <c r="P52" s="2193"/>
      <c r="Q52" s="2193"/>
      <c r="R52" s="2193"/>
      <c r="S52" s="2193"/>
      <c r="T52" s="2193"/>
      <c r="U52" s="2193"/>
      <c r="V52" s="2193"/>
      <c r="W52" s="2193"/>
      <c r="X52" s="2193"/>
      <c r="Y52" s="2193"/>
      <c r="Z52" s="2193"/>
      <c r="AA52" s="2193"/>
      <c r="AB52" s="2193"/>
      <c r="AC52" s="2193"/>
      <c r="AD52" s="2193"/>
    </row>
    <row r="53" spans="1:30" ht="12.75">
      <c r="A53" s="2193"/>
      <c r="B53" s="2193"/>
      <c r="C53" s="2193"/>
      <c r="D53" s="2193"/>
      <c r="E53" s="2193"/>
      <c r="F53" s="2193"/>
      <c r="G53" s="2193"/>
      <c r="H53" s="2193"/>
      <c r="I53" s="2193"/>
      <c r="J53" s="2193"/>
      <c r="K53" s="2193"/>
      <c r="L53" s="2193"/>
      <c r="M53" s="2193"/>
      <c r="N53" s="2193"/>
      <c r="O53" s="2193"/>
      <c r="P53" s="2193"/>
      <c r="Q53" s="2193"/>
      <c r="R53" s="2193"/>
      <c r="S53" s="2193"/>
      <c r="T53" s="2193"/>
      <c r="U53" s="2193"/>
      <c r="V53" s="2193"/>
      <c r="W53" s="2193"/>
      <c r="X53" s="2193"/>
      <c r="Y53" s="2193"/>
      <c r="Z53" s="2193"/>
      <c r="AA53" s="2193"/>
      <c r="AB53" s="2193"/>
      <c r="AC53" s="2193"/>
      <c r="AD53" s="2193"/>
    </row>
    <row r="54" spans="1:30" ht="12.75">
      <c r="A54" s="2193"/>
      <c r="B54" s="2193"/>
      <c r="C54" s="2193"/>
      <c r="D54" s="2193"/>
      <c r="E54" s="2193"/>
      <c r="F54" s="2193"/>
      <c r="G54" s="2193"/>
      <c r="H54" s="2193"/>
      <c r="I54" s="2193"/>
      <c r="J54" s="2193"/>
      <c r="K54" s="2193"/>
      <c r="L54" s="2193"/>
      <c r="M54" s="2193"/>
      <c r="N54" s="2193"/>
      <c r="O54" s="2193"/>
      <c r="P54" s="2193"/>
      <c r="Q54" s="2193"/>
      <c r="R54" s="2193"/>
      <c r="S54" s="2193"/>
      <c r="T54" s="2193"/>
      <c r="U54" s="2193"/>
      <c r="V54" s="2193"/>
      <c r="W54" s="2193"/>
      <c r="X54" s="2193"/>
      <c r="Y54" s="2193"/>
      <c r="Z54" s="2193"/>
      <c r="AA54" s="2193"/>
      <c r="AB54" s="2193"/>
      <c r="AC54" s="2193"/>
      <c r="AD54" s="2193"/>
    </row>
    <row r="55" spans="1:30" ht="12.75">
      <c r="A55" s="2193"/>
      <c r="B55" s="2193"/>
      <c r="C55" s="2193"/>
      <c r="D55" s="2193"/>
      <c r="E55" s="2193"/>
      <c r="F55" s="2193"/>
      <c r="G55" s="2193"/>
      <c r="H55" s="2193"/>
      <c r="I55" s="2193"/>
      <c r="J55" s="2193"/>
      <c r="K55" s="2193"/>
      <c r="L55" s="2193"/>
      <c r="M55" s="2193"/>
      <c r="N55" s="2193"/>
      <c r="O55" s="2193"/>
      <c r="P55" s="2193"/>
      <c r="Q55" s="2193"/>
      <c r="R55" s="2193"/>
      <c r="S55" s="2193"/>
      <c r="T55" s="2193"/>
      <c r="U55" s="2193"/>
      <c r="V55" s="2193"/>
      <c r="W55" s="2193"/>
      <c r="X55" s="2193"/>
      <c r="Y55" s="2193"/>
      <c r="Z55" s="2193"/>
      <c r="AA55" s="2193"/>
      <c r="AB55" s="2193"/>
      <c r="AC55" s="2193"/>
      <c r="AD55" s="2193"/>
    </row>
  </sheetData>
  <sheetProtection algorithmName="SHA-512" hashValue="xEQ0mIO3buWDaZFn4OCbgng/eB63eM5HuLEnkTxn/qwD9jlXfZJNuotu1wJQQJMcdnEg11SngA7MaFraeGGphA==" saltValue="mjmL7K+inPXCTJN3Ts3uoA==" spinCount="100000" sheet="1" objects="1" scenarios="1"/>
  <customSheetViews>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alignWithMargins="0">
        <oddHeader>&amp;L&amp;8Statistiska Centralbyrån
Offentlig ekonomi&amp;R&amp;P</oddHeader>
      </headerFooter>
    </customSheetView>
  </customSheetViews>
  <phoneticPr fontId="88" type="noConversion"/>
  <conditionalFormatting sqref="D32:L32 D34:L34 O34:W34 O32:W32 Y32:AC32 Y34:AC34">
    <cfRule type="cellIs" dxfId="72" priority="40" stopIfTrue="1" operator="lessThan">
      <formula>-500</formula>
    </cfRule>
    <cfRule type="cellIs" dxfId="71" priority="41" stopIfTrue="1" operator="greaterThan">
      <formula>D31</formula>
    </cfRule>
  </conditionalFormatting>
  <conditionalFormatting sqref="M9:M26 M30:M40 X9:X40">
    <cfRule type="cellIs" dxfId="70" priority="27" stopIfTrue="1" operator="notBetween">
      <formula>-500</formula>
      <formula>500</formula>
    </cfRule>
  </conditionalFormatting>
  <conditionalFormatting sqref="M27:M29">
    <cfRule type="cellIs" dxfId="69" priority="11" stopIfTrue="1" operator="notBetween">
      <formula>-10</formula>
      <formula>10</formula>
    </cfRule>
  </conditionalFormatting>
  <conditionalFormatting sqref="D9:L39 Y9:AC39 O9:W39">
    <cfRule type="cellIs" dxfId="68" priority="9" stopIfTrue="1" operator="lessThan">
      <formula>-500</formula>
    </cfRule>
  </conditionalFormatting>
  <conditionalFormatting sqref="J9:J39">
    <cfRule type="cellIs" dxfId="67" priority="8" stopIfTrue="1" operator="greaterThan">
      <formula>1</formula>
    </cfRule>
  </conditionalFormatting>
  <conditionalFormatting sqref="U31">
    <cfRule type="cellIs" dxfId="66" priority="7" stopIfTrue="1" operator="greaterThan">
      <formula>1</formula>
    </cfRule>
  </conditionalFormatting>
  <conditionalFormatting sqref="U33">
    <cfRule type="cellIs" dxfId="65" priority="6" stopIfTrue="1" operator="greaterThan">
      <formula>1</formula>
    </cfRule>
  </conditionalFormatting>
  <dataValidations count="1">
    <dataValidation type="decimal" operator="lessThan" allowBlank="1" showInputMessage="1" showErrorMessage="1" error="Beloppet ska vara i 1000 tal kr" sqref="D9:L39 O9:W39 Y9:AC39"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04"/>
  <sheetViews>
    <sheetView showGridLines="0" zoomScaleNormal="100" workbookViewId="0">
      <pane xSplit="2" ySplit="7" topLeftCell="C8" activePane="bottomRight" state="frozen"/>
      <selection activeCell="F36" sqref="F36"/>
      <selection pane="topRight" activeCell="F36" sqref="F36"/>
      <selection pane="bottomLeft" activeCell="F36" sqref="F36"/>
      <selection pane="bottomRight" activeCell="C8" sqref="C8"/>
    </sheetView>
  </sheetViews>
  <sheetFormatPr defaultColWidth="0" defaultRowHeight="0" customHeight="1" zeroHeight="1"/>
  <cols>
    <col min="1" max="1" width="4" style="260" customWidth="1"/>
    <col min="2" max="2" width="27.42578125" style="208" customWidth="1"/>
    <col min="3" max="5" width="10.42578125" style="208" customWidth="1"/>
    <col min="6" max="6" width="9.5703125" style="208" customWidth="1"/>
    <col min="7" max="7" width="8.42578125" style="208" customWidth="1"/>
    <col min="8" max="8" width="8.42578125" style="261" hidden="1" customWidth="1"/>
    <col min="9" max="9" width="25.5703125" style="208" customWidth="1"/>
    <col min="10" max="10" width="6.42578125" style="208" customWidth="1"/>
    <col min="11" max="11" width="1.42578125" style="209" customWidth="1"/>
    <col min="12" max="12" width="0.5703125" style="209" customWidth="1"/>
    <col min="13" max="13" width="12.7109375" style="169" customWidth="1"/>
    <col min="14" max="15" width="1" style="169" customWidth="1"/>
    <col min="16" max="16" width="1" style="262" customWidth="1"/>
    <col min="17" max="17" width="59.7109375" style="4" customWidth="1"/>
    <col min="18" max="23" width="8.42578125" style="168" customWidth="1"/>
    <col min="24" max="24" width="8.42578125" style="169" customWidth="1"/>
    <col min="25" max="26" width="9.42578125" style="168" customWidth="1"/>
    <col min="27" max="16384" width="0" style="168" hidden="1"/>
  </cols>
  <sheetData>
    <row r="1" spans="1:256" ht="21.75">
      <c r="A1" s="76" t="str">
        <f>"Specificering pedagogisk verksamhet "&amp;År&amp;", miljoner kr"</f>
        <v>Specificering pedagogisk verksamhet 2023, miljoner kr</v>
      </c>
      <c r="B1" s="77"/>
      <c r="C1" s="77"/>
      <c r="D1" s="77"/>
      <c r="E1" s="167"/>
      <c r="F1" s="167"/>
      <c r="G1" s="167"/>
      <c r="H1" s="251"/>
      <c r="I1" s="514" t="s">
        <v>450</v>
      </c>
      <c r="J1" s="511" t="str">
        <f>Information!A2</f>
        <v>RIKSTOTAL</v>
      </c>
      <c r="K1" s="192"/>
      <c r="L1" s="192"/>
      <c r="M1" s="1234"/>
      <c r="N1" s="167"/>
      <c r="O1" s="76"/>
      <c r="P1" s="138"/>
      <c r="Q1" s="167"/>
      <c r="R1" s="2193"/>
      <c r="S1" s="2193"/>
      <c r="T1" s="2193"/>
      <c r="U1" s="2193"/>
      <c r="V1" s="2193"/>
      <c r="W1" s="2193"/>
      <c r="X1" s="2193"/>
      <c r="Y1" s="2193"/>
      <c r="Z1" s="2193"/>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row>
    <row r="2" spans="1:256" ht="17.25" customHeight="1">
      <c r="A2" s="2193"/>
      <c r="B2" s="2193"/>
      <c r="C2" s="2193"/>
      <c r="D2" s="2193"/>
      <c r="E2" s="2193"/>
      <c r="F2" s="2193"/>
      <c r="G2" s="2193"/>
      <c r="H2" s="2193"/>
      <c r="I2" s="2193"/>
      <c r="J2" s="2193"/>
      <c r="K2" s="2193"/>
      <c r="L2" s="2193"/>
      <c r="M2" s="2193"/>
      <c r="N2" s="2193"/>
      <c r="O2" s="2193"/>
      <c r="P2" s="2193"/>
      <c r="Q2" s="2193"/>
      <c r="R2" s="2193"/>
      <c r="S2" s="2193"/>
      <c r="T2" s="2193"/>
      <c r="U2" s="2193"/>
      <c r="V2" s="2193"/>
      <c r="W2" s="2193"/>
      <c r="X2" s="2193"/>
      <c r="Y2" s="2193"/>
      <c r="Z2" s="2193"/>
    </row>
    <row r="3" spans="1:256" ht="17.25" customHeight="1" thickBot="1">
      <c r="A3" s="2193"/>
      <c r="B3" s="2193"/>
      <c r="C3" s="2193"/>
      <c r="D3" s="2193"/>
      <c r="E3" s="2193"/>
      <c r="F3" s="2193"/>
      <c r="G3" s="2193"/>
      <c r="H3" s="2193"/>
      <c r="I3" s="2193"/>
      <c r="J3" s="2193"/>
      <c r="K3" s="2193"/>
      <c r="L3" s="2193"/>
      <c r="M3" s="2193"/>
      <c r="N3" s="2193"/>
      <c r="O3" s="2193"/>
      <c r="P3" s="2193"/>
      <c r="Q3" s="2193"/>
      <c r="R3" s="2193"/>
      <c r="S3" s="2193"/>
      <c r="T3" s="2193"/>
      <c r="U3" s="2193"/>
      <c r="V3" s="2193"/>
      <c r="W3" s="2193"/>
      <c r="X3" s="2193"/>
      <c r="Y3" s="2193"/>
      <c r="Z3" s="2193"/>
    </row>
    <row r="4" spans="1:256" ht="11.25" customHeight="1">
      <c r="A4" s="1289" t="s">
        <v>607</v>
      </c>
      <c r="B4" s="1288" t="s">
        <v>449</v>
      </c>
      <c r="C4" s="1034" t="s">
        <v>139</v>
      </c>
      <c r="D4" s="1284"/>
      <c r="E4" s="776" t="s">
        <v>139</v>
      </c>
      <c r="F4" s="1284"/>
      <c r="G4" s="1283"/>
      <c r="H4" s="252" t="s">
        <v>567</v>
      </c>
      <c r="I4" s="2603" t="s">
        <v>1011</v>
      </c>
      <c r="J4" s="2604"/>
      <c r="K4" s="2604"/>
      <c r="L4" s="2604"/>
      <c r="M4" s="2594" t="s">
        <v>898</v>
      </c>
      <c r="N4" s="2193"/>
      <c r="O4" s="2193"/>
      <c r="P4" s="2193"/>
      <c r="Q4" s="2592" t="s">
        <v>58</v>
      </c>
      <c r="R4" s="2193"/>
      <c r="S4" s="2193"/>
      <c r="T4" s="2193"/>
      <c r="U4" s="2193"/>
      <c r="V4" s="2193"/>
      <c r="W4" s="2193"/>
      <c r="X4" s="2193"/>
      <c r="Y4" s="2193"/>
      <c r="Z4" s="2193"/>
    </row>
    <row r="5" spans="1:256" ht="12.6" customHeight="1">
      <c r="A5" s="1290" t="s">
        <v>610</v>
      </c>
      <c r="B5" s="819"/>
      <c r="C5" s="1035" t="s">
        <v>42</v>
      </c>
      <c r="D5" s="2597" t="s">
        <v>782</v>
      </c>
      <c r="E5" s="779" t="s">
        <v>146</v>
      </c>
      <c r="F5" s="2597" t="s">
        <v>1074</v>
      </c>
      <c r="G5" s="2600" t="s">
        <v>1218</v>
      </c>
      <c r="H5" s="148"/>
      <c r="I5" s="2605"/>
      <c r="J5" s="2606"/>
      <c r="K5" s="2606"/>
      <c r="L5" s="2607"/>
      <c r="M5" s="2595"/>
      <c r="N5" s="2193"/>
      <c r="O5" s="2193"/>
      <c r="P5" s="2193"/>
      <c r="Q5" s="2593"/>
      <c r="R5" s="2193"/>
      <c r="S5" s="2193"/>
      <c r="T5" s="2193"/>
      <c r="U5" s="2193"/>
      <c r="V5" s="2193"/>
      <c r="W5" s="2193"/>
      <c r="X5" s="2193"/>
      <c r="Y5" s="2193"/>
      <c r="Z5" s="2193"/>
    </row>
    <row r="6" spans="1:256" ht="36.6" customHeight="1">
      <c r="A6" s="1036"/>
      <c r="B6" s="819"/>
      <c r="C6" s="1035"/>
      <c r="D6" s="2598"/>
      <c r="E6" s="553"/>
      <c r="F6" s="2598"/>
      <c r="G6" s="2601"/>
      <c r="H6" s="148"/>
      <c r="I6" s="1360"/>
      <c r="J6" s="1371"/>
      <c r="K6" s="1371"/>
      <c r="L6" s="2353"/>
      <c r="M6" s="2596"/>
      <c r="N6" s="2193"/>
      <c r="O6" s="2193"/>
      <c r="P6" s="2193"/>
      <c r="Q6" s="2593"/>
      <c r="R6" s="2193"/>
      <c r="S6" s="2193"/>
      <c r="T6" s="2193"/>
      <c r="U6" s="2193"/>
      <c r="V6" s="2193"/>
      <c r="W6" s="2193"/>
      <c r="X6" s="2193"/>
      <c r="Y6" s="2193"/>
      <c r="Z6" s="2193"/>
      <c r="IV6" s="2591"/>
    </row>
    <row r="7" spans="1:256" ht="65.099999999999994" customHeight="1" thickBot="1">
      <c r="A7" s="1026"/>
      <c r="B7" s="819"/>
      <c r="C7" s="1028"/>
      <c r="D7" s="2599"/>
      <c r="E7" s="553"/>
      <c r="F7" s="2599"/>
      <c r="G7" s="2602"/>
      <c r="H7" s="148"/>
      <c r="I7" s="1372"/>
      <c r="J7" s="819"/>
      <c r="K7" s="1373"/>
      <c r="L7" s="1369"/>
      <c r="M7" s="2362" t="str">
        <f>"År "&amp;År</f>
        <v>År 2023</v>
      </c>
      <c r="N7" s="2193"/>
      <c r="O7" s="2193"/>
      <c r="P7" s="2193"/>
      <c r="Q7" s="2593"/>
      <c r="R7" s="2193"/>
      <c r="S7" s="2193"/>
      <c r="T7" s="2193"/>
      <c r="U7" s="2193"/>
      <c r="V7" s="2193"/>
      <c r="W7" s="2193"/>
      <c r="X7" s="2193"/>
      <c r="Y7" s="2193"/>
      <c r="Z7" s="2193"/>
      <c r="IV7" s="2591"/>
    </row>
    <row r="8" spans="1:256" ht="12.75">
      <c r="A8" s="1057" t="s">
        <v>387</v>
      </c>
      <c r="B8" s="1058" t="s">
        <v>529</v>
      </c>
      <c r="C8" s="120">
        <f>Drift!P47</f>
        <v>102604.80699999997</v>
      </c>
      <c r="D8" s="121">
        <f>SUM(Motpart!D13:L13)</f>
        <v>18866.374999999996</v>
      </c>
      <c r="E8" s="121">
        <f>Drift!W47</f>
        <v>23123.083999999999</v>
      </c>
      <c r="F8" s="121">
        <f>Motpart!Y13</f>
        <v>451.05799999999999</v>
      </c>
      <c r="G8" s="128">
        <f>Drift!V47</f>
        <v>10481.428</v>
      </c>
      <c r="H8" s="149"/>
      <c r="I8" s="1017" t="s">
        <v>816</v>
      </c>
      <c r="J8" s="1466">
        <v>577473</v>
      </c>
      <c r="K8" s="1364"/>
      <c r="L8" s="1364"/>
      <c r="M8" s="2363">
        <f>(C8-F8-G8)*1000000/J8</f>
        <v>158747.37173859205</v>
      </c>
      <c r="N8" s="2193"/>
      <c r="O8" s="2193"/>
      <c r="P8" s="2193"/>
      <c r="Q8" s="2375" t="s">
        <v>821</v>
      </c>
      <c r="R8" s="2193"/>
      <c r="S8" s="2193"/>
      <c r="T8" s="2193"/>
      <c r="U8" s="2193"/>
      <c r="V8" s="2193"/>
      <c r="W8" s="2193"/>
      <c r="X8" s="2193"/>
      <c r="Y8" s="2193"/>
      <c r="Z8" s="2193"/>
    </row>
    <row r="9" spans="1:256" s="1215" customFormat="1" ht="12.75">
      <c r="A9" s="1059" t="s">
        <v>312</v>
      </c>
      <c r="B9" s="1060" t="s">
        <v>358</v>
      </c>
      <c r="C9" s="360">
        <f>C8-G8-D8</f>
        <v>73257.003999999972</v>
      </c>
      <c r="D9" s="1037"/>
      <c r="E9" s="1043"/>
      <c r="F9" s="1043"/>
      <c r="G9" s="1049"/>
      <c r="H9" s="150">
        <v>850</v>
      </c>
      <c r="I9" s="1361"/>
      <c r="J9" s="1362"/>
      <c r="K9" s="1363"/>
      <c r="L9" s="1363"/>
      <c r="M9" s="2364">
        <f>C9*1000000/J8</f>
        <v>126857.88599640151</v>
      </c>
      <c r="N9" s="2193"/>
      <c r="O9" s="2193"/>
      <c r="P9" s="2193"/>
      <c r="Q9" s="2375" t="s">
        <v>822</v>
      </c>
      <c r="R9" s="2193"/>
      <c r="S9" s="2193"/>
      <c r="T9" s="2193"/>
      <c r="U9" s="2193"/>
      <c r="V9" s="2193"/>
      <c r="W9" s="2193"/>
      <c r="X9" s="2193"/>
      <c r="Y9" s="2193"/>
      <c r="Z9" s="2193"/>
    </row>
    <row r="10" spans="1:256" s="1211" customFormat="1" ht="12.75">
      <c r="A10" s="1059" t="s">
        <v>310</v>
      </c>
      <c r="B10" s="1061" t="s">
        <v>1058</v>
      </c>
      <c r="C10" s="82">
        <f>Drift!C47+Drift!D47</f>
        <v>51888.883000000002</v>
      </c>
      <c r="D10" s="1037"/>
      <c r="E10" s="1044"/>
      <c r="F10" s="1044"/>
      <c r="G10" s="1049"/>
      <c r="H10" s="150">
        <v>851</v>
      </c>
      <c r="I10" s="1361"/>
      <c r="J10" s="1362"/>
      <c r="K10" s="1093"/>
      <c r="L10" s="1093"/>
      <c r="M10" s="2364">
        <f>IF(C10=0,0,C10*100/C9)</f>
        <v>70.831292800344414</v>
      </c>
      <c r="N10" s="2193"/>
      <c r="O10" s="2193"/>
      <c r="P10" s="2193"/>
      <c r="Q10" s="2375" t="s">
        <v>359</v>
      </c>
      <c r="R10" s="2193"/>
      <c r="S10" s="2193"/>
      <c r="T10" s="2193"/>
      <c r="U10" s="2193"/>
      <c r="V10" s="2193"/>
      <c r="W10" s="2193"/>
      <c r="X10" s="2193"/>
      <c r="Y10" s="2193"/>
      <c r="Z10" s="2193"/>
    </row>
    <row r="11" spans="1:256" s="1211" customFormat="1" ht="12.75">
      <c r="A11" s="1059" t="s">
        <v>313</v>
      </c>
      <c r="B11" s="1061" t="s">
        <v>526</v>
      </c>
      <c r="C11" s="2073">
        <v>11693.38</v>
      </c>
      <c r="D11" s="1038" t="str">
        <f>IF(C8=0,"",IF(C11&lt;Drift!I47+Drift!J47+Drift!L47,"Kommentera",""))</f>
        <v/>
      </c>
      <c r="E11" s="242">
        <v>225.547</v>
      </c>
      <c r="F11" s="1044"/>
      <c r="G11" s="263">
        <v>182.64599999999999</v>
      </c>
      <c r="H11" s="150"/>
      <c r="I11" s="2173" t="str">
        <f>IF(G11&gt;E11,"Därav kol. G&gt; Kol. E- korrigera!","")</f>
        <v/>
      </c>
      <c r="J11" s="1467"/>
      <c r="K11" s="1089"/>
      <c r="L11" s="1089"/>
      <c r="M11" s="2364">
        <f>(C11-E11)*1000000/J8</f>
        <v>19858.647936786652</v>
      </c>
      <c r="N11" s="2193"/>
      <c r="O11" s="2193"/>
      <c r="P11" s="2193"/>
      <c r="Q11" s="2375" t="s">
        <v>823</v>
      </c>
      <c r="R11" s="2193"/>
      <c r="S11" s="2193"/>
      <c r="T11" s="2193"/>
      <c r="U11" s="2193"/>
      <c r="V11" s="2193"/>
      <c r="W11" s="2193"/>
      <c r="X11" s="2193"/>
      <c r="Y11" s="2193"/>
      <c r="Z11" s="2193"/>
    </row>
    <row r="12" spans="1:256" s="1211" customFormat="1" ht="12.75">
      <c r="A12" s="1059" t="s">
        <v>451</v>
      </c>
      <c r="B12" s="1061" t="s">
        <v>488</v>
      </c>
      <c r="C12" s="1041"/>
      <c r="D12" s="1039"/>
      <c r="E12" s="83">
        <f>Drift!R47</f>
        <v>5736.4650000000001</v>
      </c>
      <c r="F12" s="1045"/>
      <c r="G12" s="1230"/>
      <c r="H12" s="164" t="s">
        <v>541</v>
      </c>
      <c r="I12" s="1091"/>
      <c r="J12" s="1362"/>
      <c r="K12" s="1363"/>
      <c r="L12" s="1363"/>
      <c r="M12" s="2364">
        <f>(Motpart!G13+Motpart!K13)*1000000/J8</f>
        <v>783.60200390321279</v>
      </c>
      <c r="N12" s="2193"/>
      <c r="O12" s="2193"/>
      <c r="P12" s="2193"/>
      <c r="Q12" s="2375" t="s">
        <v>824</v>
      </c>
      <c r="R12" s="2193"/>
      <c r="S12" s="2193"/>
      <c r="T12" s="2193"/>
      <c r="U12" s="2193"/>
      <c r="V12" s="2193"/>
      <c r="W12" s="2193"/>
      <c r="X12" s="2193"/>
      <c r="Y12" s="2193"/>
      <c r="Z12" s="2193"/>
    </row>
    <row r="13" spans="1:256" s="1211" customFormat="1" ht="12.75">
      <c r="A13" s="1059" t="s">
        <v>452</v>
      </c>
      <c r="B13" s="1061" t="s">
        <v>453</v>
      </c>
      <c r="C13" s="1042"/>
      <c r="D13" s="1039"/>
      <c r="E13" s="242">
        <v>570.48299999999995</v>
      </c>
      <c r="F13" s="1045"/>
      <c r="G13" s="1230"/>
      <c r="H13" s="165" t="s">
        <v>542</v>
      </c>
      <c r="I13" s="1091"/>
      <c r="J13" s="1362"/>
      <c r="K13" s="1363"/>
      <c r="L13" s="1363"/>
      <c r="M13" s="2364">
        <f>F8*1000000/J8</f>
        <v>781.08933231510389</v>
      </c>
      <c r="N13" s="2193"/>
      <c r="O13" s="2193"/>
      <c r="P13" s="2193"/>
      <c r="Q13" s="2375" t="s">
        <v>825</v>
      </c>
      <c r="R13" s="2193"/>
      <c r="S13" s="2193"/>
      <c r="T13" s="2193"/>
      <c r="U13" s="2193"/>
      <c r="V13" s="2193"/>
      <c r="W13" s="2193"/>
      <c r="X13" s="2193"/>
      <c r="Y13" s="2193"/>
      <c r="Z13" s="2193"/>
    </row>
    <row r="14" spans="1:256" s="1211" customFormat="1" ht="12.75">
      <c r="A14" s="1062" t="s">
        <v>558</v>
      </c>
      <c r="B14" s="1063"/>
      <c r="C14" s="1042"/>
      <c r="D14" s="1040"/>
      <c r="E14" s="1048"/>
      <c r="F14" s="1046"/>
      <c r="G14" s="1230"/>
      <c r="H14" s="164" t="s">
        <v>543</v>
      </c>
      <c r="I14" s="1091"/>
      <c r="J14" s="1362"/>
      <c r="K14" s="1363"/>
      <c r="L14" s="1363"/>
      <c r="M14" s="2364">
        <f>((Motpart!D13+Motpart!E13+Motpart!F13+Motpart!J13)-((Motpart!D13+Motpart!E13+Motpart!F13+Motpart!J13)*0.06))*1000000/J8</f>
        <v>29934.368879583981</v>
      </c>
      <c r="N14" s="2193"/>
      <c r="O14" s="2193"/>
      <c r="P14" s="2193"/>
      <c r="Q14" s="2375" t="s">
        <v>826</v>
      </c>
      <c r="R14" s="2193"/>
      <c r="S14" s="2193"/>
      <c r="T14" s="2193"/>
      <c r="U14" s="2193"/>
      <c r="V14" s="2193"/>
      <c r="W14" s="2193"/>
      <c r="X14" s="2193"/>
      <c r="Y14" s="2193"/>
      <c r="Z14" s="2193"/>
    </row>
    <row r="15" spans="1:256" s="1216" customFormat="1" ht="13.5" thickBot="1">
      <c r="A15" s="1062" t="s">
        <v>308</v>
      </c>
      <c r="B15" s="1063"/>
      <c r="C15" s="1042"/>
      <c r="D15" s="1040"/>
      <c r="E15" s="1040"/>
      <c r="F15" s="1047"/>
      <c r="G15" s="1050"/>
      <c r="H15" s="151"/>
      <c r="I15" s="1370"/>
      <c r="J15" s="1468"/>
      <c r="K15" s="1090"/>
      <c r="L15" s="1090"/>
      <c r="M15" s="2365">
        <f>IF(C9=0,0,(E12-E13)*100/C9)</f>
        <v>7.0518608705319181</v>
      </c>
      <c r="N15" s="2193"/>
      <c r="O15" s="2193"/>
      <c r="P15" s="2193"/>
      <c r="Q15" s="2375" t="s">
        <v>514</v>
      </c>
      <c r="R15" s="2193"/>
      <c r="S15" s="2193"/>
      <c r="T15" s="2193"/>
      <c r="U15" s="2193"/>
      <c r="V15" s="2193"/>
      <c r="W15" s="2193"/>
      <c r="X15" s="2193"/>
      <c r="Y15" s="2193"/>
      <c r="Z15" s="2193"/>
    </row>
    <row r="16" spans="1:256" ht="12.75">
      <c r="A16" s="1064" t="s">
        <v>650</v>
      </c>
      <c r="B16" s="1065" t="s">
        <v>530</v>
      </c>
      <c r="C16" s="80">
        <f>Drift!P50</f>
        <v>25508.675999999999</v>
      </c>
      <c r="D16" s="81">
        <f>SUM(Motpart!D15:L15)</f>
        <v>2864.5170000000003</v>
      </c>
      <c r="E16" s="84">
        <f>Drift!W50</f>
        <v>7801.0119999999997</v>
      </c>
      <c r="F16" s="81">
        <f>Motpart!Y15</f>
        <v>165.167</v>
      </c>
      <c r="G16" s="129">
        <f>Drift!V50</f>
        <v>3143.8440000000001</v>
      </c>
      <c r="H16" s="148"/>
      <c r="I16" s="1017" t="s">
        <v>817</v>
      </c>
      <c r="J16" s="1466">
        <v>869491</v>
      </c>
      <c r="K16" s="1369"/>
      <c r="L16" s="1364"/>
      <c r="M16" s="2366">
        <f>(C16-G16-F16)*1000000/J16</f>
        <v>25531.793888608387</v>
      </c>
      <c r="N16" s="2193"/>
      <c r="O16" s="2193"/>
      <c r="P16" s="2193"/>
      <c r="Q16" s="2376" t="s">
        <v>863</v>
      </c>
      <c r="R16" s="2193"/>
      <c r="S16" s="2193"/>
      <c r="T16" s="2193"/>
      <c r="U16" s="2193"/>
      <c r="V16" s="2193"/>
      <c r="W16" s="2193"/>
      <c r="X16" s="2193"/>
      <c r="Y16" s="2193"/>
      <c r="Z16" s="2193"/>
    </row>
    <row r="17" spans="1:256" ht="12.75">
      <c r="A17" s="1059" t="s">
        <v>370</v>
      </c>
      <c r="B17" s="1066" t="s">
        <v>358</v>
      </c>
      <c r="C17" s="360">
        <f>C16-G16-D16</f>
        <v>19500.314999999999</v>
      </c>
      <c r="D17" s="1051"/>
      <c r="E17" s="1052"/>
      <c r="F17" s="1052"/>
      <c r="G17" s="1049"/>
      <c r="H17" s="152" t="s">
        <v>269</v>
      </c>
      <c r="I17" s="1361"/>
      <c r="J17" s="1362"/>
      <c r="K17" s="1363"/>
      <c r="L17" s="1363"/>
      <c r="M17" s="2364">
        <f>C17*1000000/J16</f>
        <v>22427.276418042278</v>
      </c>
      <c r="N17" s="2193"/>
      <c r="O17" s="2193"/>
      <c r="P17" s="2193"/>
      <c r="Q17" s="2375" t="s">
        <v>864</v>
      </c>
      <c r="R17" s="2193"/>
      <c r="S17" s="2193"/>
      <c r="T17" s="2193"/>
      <c r="U17" s="2193"/>
      <c r="V17" s="2193"/>
      <c r="W17" s="2193"/>
      <c r="X17" s="2193"/>
      <c r="Y17" s="2193"/>
      <c r="Z17" s="2193"/>
    </row>
    <row r="18" spans="1:256" ht="12.75">
      <c r="A18" s="1059" t="s">
        <v>371</v>
      </c>
      <c r="B18" s="2009" t="s">
        <v>1059</v>
      </c>
      <c r="C18" s="85">
        <f>Drift!C50+Drift!D50</f>
        <v>13597.130999999999</v>
      </c>
      <c r="D18" s="1051"/>
      <c r="E18" s="1044"/>
      <c r="F18" s="1044"/>
      <c r="G18" s="1049"/>
      <c r="H18" s="150" t="s">
        <v>568</v>
      </c>
      <c r="I18" s="1361"/>
      <c r="J18" s="1362"/>
      <c r="K18" s="1093"/>
      <c r="L18" s="1093"/>
      <c r="M18" s="2364">
        <f>IF(C18=0,0,(C18*100/C17))</f>
        <v>69.727750551721854</v>
      </c>
      <c r="N18" s="2193"/>
      <c r="O18" s="2193"/>
      <c r="P18" s="2193"/>
      <c r="Q18" s="2375" t="s">
        <v>365</v>
      </c>
      <c r="R18" s="2193"/>
      <c r="S18" s="2193"/>
      <c r="T18" s="2193"/>
      <c r="U18" s="2193"/>
      <c r="V18" s="2193"/>
      <c r="W18" s="2193"/>
      <c r="X18" s="2193"/>
      <c r="Y18" s="2193"/>
      <c r="Z18" s="2193"/>
    </row>
    <row r="19" spans="1:256" ht="13.5" customHeight="1">
      <c r="A19" s="1059" t="s">
        <v>372</v>
      </c>
      <c r="B19" s="1061" t="s">
        <v>526</v>
      </c>
      <c r="C19" s="2073">
        <v>3414.748</v>
      </c>
      <c r="D19" s="1051" t="str">
        <f>IF(C16=0,"",IF(C19&lt;Drift!I50+Drift!J50+Drift!L50,"Kommentera",""))</f>
        <v/>
      </c>
      <c r="E19" s="242">
        <v>66.816000000000003</v>
      </c>
      <c r="F19" s="1046"/>
      <c r="G19" s="263">
        <v>59.457999999999998</v>
      </c>
      <c r="H19" s="148"/>
      <c r="I19" s="2174" t="str">
        <f>IF(G19&gt;E19,"Därav kol. G&gt; Kol. E-korrigera!","")</f>
        <v/>
      </c>
      <c r="J19" s="1467"/>
      <c r="K19" s="1089"/>
      <c r="L19" s="1089"/>
      <c r="M19" s="2367">
        <f>(C19-E19)*1000000/J16</f>
        <v>3850.4504359447083</v>
      </c>
      <c r="N19" s="2193"/>
      <c r="O19" s="2193"/>
      <c r="P19" s="2193"/>
      <c r="Q19" s="2375" t="s">
        <v>865</v>
      </c>
      <c r="R19" s="2193"/>
      <c r="S19" s="2193"/>
      <c r="T19" s="2193"/>
      <c r="U19" s="2193"/>
      <c r="V19" s="2193"/>
      <c r="W19" s="2193"/>
      <c r="X19" s="2193"/>
      <c r="Y19" s="2193"/>
      <c r="Z19" s="2193"/>
    </row>
    <row r="20" spans="1:256" ht="12.75">
      <c r="A20" s="1059" t="s">
        <v>544</v>
      </c>
      <c r="B20" s="1061" t="s">
        <v>488</v>
      </c>
      <c r="C20" s="1041"/>
      <c r="D20" s="1039"/>
      <c r="E20" s="85">
        <f>Drift!R50</f>
        <v>3592.866</v>
      </c>
      <c r="F20" s="1045"/>
      <c r="G20" s="1230"/>
      <c r="H20" s="420" t="s">
        <v>569</v>
      </c>
      <c r="I20" s="1091"/>
      <c r="J20" s="1362"/>
      <c r="K20" s="1363"/>
      <c r="L20" s="1363"/>
      <c r="M20" s="2364">
        <f>IF(D16=0,0,(Motpart!G15+Motpart!K15)*1000000/J16)</f>
        <v>194.28378212080401</v>
      </c>
      <c r="N20" s="2193"/>
      <c r="O20" s="2193"/>
      <c r="P20" s="2193"/>
      <c r="Q20" s="2375" t="s">
        <v>866</v>
      </c>
      <c r="R20" s="2193"/>
      <c r="S20" s="2193"/>
      <c r="T20" s="2193"/>
      <c r="U20" s="2193"/>
      <c r="V20" s="2193"/>
      <c r="W20" s="2193"/>
      <c r="X20" s="2193"/>
      <c r="Y20" s="2193"/>
      <c r="Z20" s="2193"/>
    </row>
    <row r="21" spans="1:256" ht="12.75">
      <c r="A21" s="1059" t="s">
        <v>545</v>
      </c>
      <c r="B21" s="1061" t="s">
        <v>453</v>
      </c>
      <c r="C21" s="1042"/>
      <c r="D21" s="1039"/>
      <c r="E21" s="242">
        <v>170.21600000000001</v>
      </c>
      <c r="F21" s="1045"/>
      <c r="G21" s="1230"/>
      <c r="H21" s="420" t="s">
        <v>570</v>
      </c>
      <c r="I21" s="1091"/>
      <c r="J21" s="1362"/>
      <c r="K21" s="1363"/>
      <c r="L21" s="1363"/>
      <c r="M21" s="2364">
        <f>IF(F16=0,0,(F16*1000000/J16))</f>
        <v>189.95826293774175</v>
      </c>
      <c r="N21" s="2193"/>
      <c r="O21" s="2193"/>
      <c r="P21" s="2193"/>
      <c r="Q21" s="2375" t="s">
        <v>867</v>
      </c>
      <c r="R21" s="2193"/>
      <c r="S21" s="2193"/>
      <c r="T21" s="2193"/>
      <c r="U21" s="2193"/>
      <c r="V21" s="2193"/>
      <c r="W21" s="2193"/>
      <c r="X21" s="2193"/>
      <c r="Y21" s="2193"/>
      <c r="Z21" s="2193"/>
      <c r="IV21" s="253"/>
    </row>
    <row r="22" spans="1:256" ht="12.75">
      <c r="A22" s="1062" t="s">
        <v>557</v>
      </c>
      <c r="B22" s="1067"/>
      <c r="C22" s="1042"/>
      <c r="D22" s="1040"/>
      <c r="E22" s="1048"/>
      <c r="F22" s="1046"/>
      <c r="G22" s="1230"/>
      <c r="H22" s="420" t="s">
        <v>571</v>
      </c>
      <c r="I22" s="1091"/>
      <c r="J22" s="1362"/>
      <c r="K22" s="1363"/>
      <c r="L22" s="1363"/>
      <c r="M22" s="2364">
        <f>IF(D16=0,0,((Motpart!D15+Motpart!E15+Motpart!F15+Motpart!I15+Motpart!J15)-((Motpart!D15+Motpart!E15+Motpart!F15+Motpart!J15)*0.06))*1000000/J16)</f>
        <v>2917.8305008332463</v>
      </c>
      <c r="N22" s="2193"/>
      <c r="O22" s="2193"/>
      <c r="P22" s="2193"/>
      <c r="Q22" s="2375" t="s">
        <v>868</v>
      </c>
      <c r="R22" s="2193"/>
      <c r="S22" s="2193"/>
      <c r="T22" s="2193"/>
      <c r="U22" s="2193"/>
      <c r="V22" s="2193"/>
      <c r="W22" s="2193"/>
      <c r="X22" s="2193"/>
      <c r="Y22" s="2193"/>
      <c r="Z22" s="2193"/>
      <c r="IV22" s="253"/>
    </row>
    <row r="23" spans="1:256" ht="13.5" thickBot="1">
      <c r="A23" s="1062" t="s">
        <v>546</v>
      </c>
      <c r="B23" s="1067"/>
      <c r="C23" s="1042"/>
      <c r="D23" s="1040"/>
      <c r="E23" s="1040"/>
      <c r="F23" s="1040"/>
      <c r="G23" s="1050"/>
      <c r="H23" s="421"/>
      <c r="I23" s="647"/>
      <c r="J23" s="1468"/>
      <c r="K23" s="1090"/>
      <c r="L23" s="1090"/>
      <c r="M23" s="2368">
        <f>IF(E20=0,0,(E20-E21)*100/C17)</f>
        <v>17.551767753495266</v>
      </c>
      <c r="N23" s="2193"/>
      <c r="O23" s="2193"/>
      <c r="P23" s="2193"/>
      <c r="Q23" s="2377" t="s">
        <v>515</v>
      </c>
      <c r="R23" s="2193"/>
      <c r="S23" s="2193"/>
      <c r="T23" s="2193"/>
      <c r="U23" s="2193"/>
      <c r="V23" s="2193"/>
      <c r="W23" s="2193"/>
      <c r="X23" s="2193"/>
      <c r="Y23" s="2193"/>
      <c r="Z23" s="2193"/>
      <c r="IV23" s="253"/>
    </row>
    <row r="24" spans="1:256" ht="12.75">
      <c r="A24" s="1064" t="s">
        <v>376</v>
      </c>
      <c r="B24" s="1068" t="s">
        <v>531</v>
      </c>
      <c r="C24" s="80">
        <f>Drift!P53</f>
        <v>10323.272999999999</v>
      </c>
      <c r="D24" s="81">
        <f>SUM(Motpart!D17:L17)</f>
        <v>1257.4179999999997</v>
      </c>
      <c r="E24" s="81">
        <f>Drift!W53</f>
        <v>1837.1289999999999</v>
      </c>
      <c r="F24" s="81">
        <f>Motpart!Y17</f>
        <v>54.738999999999997</v>
      </c>
      <c r="G24" s="129">
        <f>Drift!V53</f>
        <v>1311.2529999999999</v>
      </c>
      <c r="H24" s="164"/>
      <c r="I24" s="1017" t="s">
        <v>818</v>
      </c>
      <c r="J24" s="1466">
        <v>120949</v>
      </c>
      <c r="K24" s="1366"/>
      <c r="L24" s="1364"/>
      <c r="M24" s="2366">
        <f>(C24-G24-F24)*1000000/J24</f>
        <v>74058.330370652082</v>
      </c>
      <c r="N24" s="2193"/>
      <c r="O24" s="2193"/>
      <c r="P24" s="2193"/>
      <c r="Q24" s="2375" t="s">
        <v>857</v>
      </c>
      <c r="R24" s="2193"/>
      <c r="S24" s="2193"/>
      <c r="T24" s="2193"/>
      <c r="U24" s="2193"/>
      <c r="V24" s="2193"/>
      <c r="W24" s="2193"/>
      <c r="X24" s="2193"/>
      <c r="Y24" s="2193"/>
      <c r="Z24" s="2193"/>
    </row>
    <row r="25" spans="1:256" ht="12.75">
      <c r="A25" s="1059" t="s">
        <v>373</v>
      </c>
      <c r="B25" s="1069" t="s">
        <v>358</v>
      </c>
      <c r="C25" s="360">
        <f>C24-G24-D24</f>
        <v>7754.601999999999</v>
      </c>
      <c r="D25" s="1051"/>
      <c r="E25" s="1052"/>
      <c r="F25" s="1052"/>
      <c r="G25" s="1049"/>
      <c r="H25" s="420" t="s">
        <v>572</v>
      </c>
      <c r="I25" s="1091"/>
      <c r="J25" s="1362"/>
      <c r="K25" s="1363"/>
      <c r="L25" s="1363"/>
      <c r="M25" s="2364">
        <f>C25*1000000/J24</f>
        <v>64114.643362078226</v>
      </c>
      <c r="N25" s="2193"/>
      <c r="O25" s="2193"/>
      <c r="P25" s="2193"/>
      <c r="Q25" s="2375" t="s">
        <v>858</v>
      </c>
      <c r="R25" s="2193"/>
      <c r="S25" s="2193"/>
      <c r="T25" s="2193"/>
      <c r="U25" s="2193"/>
      <c r="V25" s="2193"/>
      <c r="W25" s="2193"/>
      <c r="X25" s="2193"/>
      <c r="Y25" s="2193"/>
      <c r="Z25" s="2193"/>
    </row>
    <row r="26" spans="1:256" ht="12.75">
      <c r="A26" s="1059" t="s">
        <v>374</v>
      </c>
      <c r="B26" s="2010" t="s">
        <v>1059</v>
      </c>
      <c r="C26" s="85">
        <f>Drift!C53+Drift!D53</f>
        <v>4924.4759999999997</v>
      </c>
      <c r="D26" s="1051"/>
      <c r="E26" s="1044"/>
      <c r="F26" s="1044"/>
      <c r="G26" s="1049"/>
      <c r="H26" s="164" t="s">
        <v>376</v>
      </c>
      <c r="I26" s="1091"/>
      <c r="J26" s="1362"/>
      <c r="K26" s="1093"/>
      <c r="L26" s="1093"/>
      <c r="M26" s="2365">
        <f>IF(C26=0,0,C26*100/C25)</f>
        <v>63.503916770970328</v>
      </c>
      <c r="N26" s="2193"/>
      <c r="O26" s="2193"/>
      <c r="P26" s="2193"/>
      <c r="Q26" s="2375" t="s">
        <v>366</v>
      </c>
      <c r="R26" s="2193"/>
      <c r="S26" s="2193"/>
      <c r="T26" s="2193"/>
      <c r="U26" s="2193"/>
      <c r="V26" s="2193"/>
      <c r="W26" s="2193"/>
      <c r="X26" s="2193"/>
      <c r="Y26" s="2193"/>
      <c r="Z26" s="2193"/>
    </row>
    <row r="27" spans="1:256" ht="12.75">
      <c r="A27" s="1062" t="s">
        <v>375</v>
      </c>
      <c r="B27" s="1061" t="s">
        <v>526</v>
      </c>
      <c r="C27" s="2073">
        <v>1717.38</v>
      </c>
      <c r="D27" s="1051" t="str">
        <f>IF(C24=0,"",IF(C27&lt;Drift!I53+Drift!J53+Drift!L53,"Kommentera",""))</f>
        <v/>
      </c>
      <c r="E27" s="242">
        <v>38.591000000000001</v>
      </c>
      <c r="F27" s="1046"/>
      <c r="G27" s="263">
        <v>35.436</v>
      </c>
      <c r="H27" s="420"/>
      <c r="I27" s="2175" t="str">
        <f>IF(G27&gt;E27,"Därav kol. G&gt; Kol. E- korrigera!","")</f>
        <v/>
      </c>
      <c r="J27" s="1183"/>
      <c r="K27" s="1089"/>
      <c r="L27" s="1089"/>
      <c r="M27" s="2364">
        <f>(C27-E27)*1000000/J24</f>
        <v>13880.139562956289</v>
      </c>
      <c r="N27" s="2193"/>
      <c r="O27" s="2193"/>
      <c r="P27" s="2193"/>
      <c r="Q27" s="2375" t="s">
        <v>859</v>
      </c>
      <c r="R27" s="2193"/>
      <c r="S27" s="2193"/>
      <c r="T27" s="2193"/>
      <c r="U27" s="2193"/>
      <c r="V27" s="2193"/>
      <c r="W27" s="2193"/>
      <c r="X27" s="2193"/>
      <c r="Y27" s="2193"/>
      <c r="Z27" s="2193"/>
    </row>
    <row r="28" spans="1:256" ht="12.75">
      <c r="A28" s="1062" t="s">
        <v>547</v>
      </c>
      <c r="B28" s="1070"/>
      <c r="C28" s="1051"/>
      <c r="D28" s="1051"/>
      <c r="E28" s="1051"/>
      <c r="F28" s="1046"/>
      <c r="G28" s="1230"/>
      <c r="H28" s="164" t="s">
        <v>573</v>
      </c>
      <c r="I28" s="1091"/>
      <c r="J28" s="1362"/>
      <c r="K28" s="1363"/>
      <c r="L28" s="1363"/>
      <c r="M28" s="2365">
        <f>(Motpart!G17+Motpart!K17)*1000000/J24</f>
        <v>444.86519111360991</v>
      </c>
      <c r="N28" s="2193"/>
      <c r="O28" s="2193"/>
      <c r="P28" s="2193"/>
      <c r="Q28" s="2375" t="s">
        <v>860</v>
      </c>
      <c r="R28" s="2193"/>
      <c r="S28" s="2193"/>
      <c r="T28" s="2193"/>
      <c r="U28" s="2193"/>
      <c r="V28" s="2193"/>
      <c r="W28" s="2193"/>
      <c r="X28" s="2193"/>
      <c r="Y28" s="2193"/>
      <c r="Z28" s="2193"/>
    </row>
    <row r="29" spans="1:256" ht="12.75">
      <c r="A29" s="1062" t="s">
        <v>548</v>
      </c>
      <c r="B29" s="1071"/>
      <c r="C29" s="1051"/>
      <c r="D29" s="1051"/>
      <c r="E29" s="1051"/>
      <c r="F29" s="1046"/>
      <c r="G29" s="1230"/>
      <c r="H29" s="419" t="s">
        <v>574</v>
      </c>
      <c r="I29" s="1091"/>
      <c r="J29" s="1362"/>
      <c r="K29" s="1363"/>
      <c r="L29" s="1363"/>
      <c r="M29" s="2369">
        <f>F24*1000000/J24</f>
        <v>452.57918626859254</v>
      </c>
      <c r="N29" s="2193"/>
      <c r="O29" s="2193"/>
      <c r="P29" s="2193"/>
      <c r="Q29" s="2375" t="s">
        <v>861</v>
      </c>
      <c r="R29" s="2193"/>
      <c r="S29" s="2193"/>
      <c r="T29" s="2193"/>
      <c r="U29" s="2193"/>
      <c r="V29" s="2193"/>
      <c r="W29" s="2193"/>
      <c r="X29" s="2193"/>
      <c r="Y29" s="2193"/>
      <c r="Z29" s="2193"/>
    </row>
    <row r="30" spans="1:256" ht="13.5" thickBot="1">
      <c r="A30" s="1062" t="s">
        <v>556</v>
      </c>
      <c r="B30" s="1072"/>
      <c r="C30" s="1051"/>
      <c r="D30" s="1051"/>
      <c r="E30" s="1051"/>
      <c r="F30" s="1046"/>
      <c r="G30" s="1231"/>
      <c r="H30" s="422" t="s">
        <v>575</v>
      </c>
      <c r="I30" s="647"/>
      <c r="J30" s="1367"/>
      <c r="K30" s="1368"/>
      <c r="L30" s="1368"/>
      <c r="M30" s="2370">
        <f>(Motpart!D17+Motpart!E17+Motpart!F17+Motpart!I17+Motpart!J17-(Motpart!D17+Motpart!E17+Motpart!F17+Motpart!J17)*0.06)*1000000/J24</f>
        <v>9355.0264987722094</v>
      </c>
      <c r="N30" s="2193"/>
      <c r="O30" s="2193"/>
      <c r="P30" s="2193"/>
      <c r="Q30" s="2377" t="s">
        <v>862</v>
      </c>
      <c r="R30" s="2193"/>
      <c r="S30" s="2193"/>
      <c r="T30" s="2193"/>
      <c r="U30" s="2193"/>
      <c r="V30" s="2193"/>
      <c r="W30" s="2193"/>
      <c r="X30" s="2193"/>
      <c r="Y30" s="2193"/>
      <c r="Z30" s="2193"/>
    </row>
    <row r="31" spans="1:256" ht="12.75">
      <c r="A31" s="1064" t="s">
        <v>388</v>
      </c>
      <c r="B31" s="1073" t="s">
        <v>532</v>
      </c>
      <c r="C31" s="80">
        <f>Drift!P54</f>
        <v>170746.408</v>
      </c>
      <c r="D31" s="81">
        <f>SUM(Motpart!D18:L18)</f>
        <v>23054.217999999993</v>
      </c>
      <c r="E31" s="81">
        <f>Drift!W54</f>
        <v>32590.353999999999</v>
      </c>
      <c r="F31" s="81">
        <f>Motpart!Y18</f>
        <v>1602.8430000000001</v>
      </c>
      <c r="G31" s="129">
        <f>Drift!V54</f>
        <v>17408.393</v>
      </c>
      <c r="H31" s="423"/>
      <c r="I31" s="1017" t="s">
        <v>819</v>
      </c>
      <c r="J31" s="1466">
        <v>1129916</v>
      </c>
      <c r="K31" s="1364"/>
      <c r="L31" s="1364"/>
      <c r="M31" s="2371">
        <f>SUM(M32:M34,M36:M38)</f>
        <v>111164.73436963456</v>
      </c>
      <c r="N31" s="2193"/>
      <c r="O31" s="2193"/>
      <c r="P31" s="2193"/>
      <c r="Q31" s="2375" t="s">
        <v>845</v>
      </c>
      <c r="R31" s="2193"/>
      <c r="S31" s="2193"/>
      <c r="T31" s="2193"/>
      <c r="U31" s="2193"/>
      <c r="V31" s="2193"/>
      <c r="W31" s="2193"/>
      <c r="X31" s="2193"/>
      <c r="Y31" s="2193"/>
      <c r="Z31" s="2193"/>
    </row>
    <row r="32" spans="1:256" ht="12.75">
      <c r="A32" s="1059" t="s">
        <v>377</v>
      </c>
      <c r="B32" s="1074" t="s">
        <v>497</v>
      </c>
      <c r="C32" s="264">
        <v>76133.737999999998</v>
      </c>
      <c r="D32" s="1051"/>
      <c r="E32" s="242">
        <v>5889.6059999999998</v>
      </c>
      <c r="F32" s="1052"/>
      <c r="G32" s="263">
        <v>5690.6379999999999</v>
      </c>
      <c r="H32" s="150" t="s">
        <v>576</v>
      </c>
      <c r="I32" s="2176"/>
      <c r="J32" s="1917"/>
      <c r="K32" s="1917"/>
      <c r="L32" s="2354"/>
      <c r="M32" s="2364">
        <f>(C32-E32)*1000000/J31</f>
        <v>62167.569978653279</v>
      </c>
      <c r="N32" s="2193"/>
      <c r="O32" s="2193"/>
      <c r="P32" s="2193"/>
      <c r="Q32" s="2375" t="s">
        <v>846</v>
      </c>
      <c r="R32" s="2193"/>
      <c r="S32" s="2193"/>
      <c r="T32" s="2193"/>
      <c r="U32" s="2193"/>
      <c r="V32" s="2193"/>
      <c r="W32" s="2193"/>
      <c r="X32" s="2193"/>
      <c r="Y32" s="2193"/>
      <c r="Z32" s="2193"/>
    </row>
    <row r="33" spans="1:26" ht="12.75">
      <c r="A33" s="1059" t="s">
        <v>378</v>
      </c>
      <c r="B33" s="1074" t="s">
        <v>809</v>
      </c>
      <c r="C33" s="264">
        <v>5502.7020000000002</v>
      </c>
      <c r="D33" s="1051"/>
      <c r="E33" s="242">
        <v>222.565</v>
      </c>
      <c r="F33" s="1044"/>
      <c r="G33" s="263">
        <v>163.941</v>
      </c>
      <c r="H33" s="150" t="s">
        <v>577</v>
      </c>
      <c r="I33" s="2174"/>
      <c r="J33" s="1362"/>
      <c r="K33" s="1093"/>
      <c r="L33" s="1093"/>
      <c r="M33" s="2364">
        <f>(C33-E33)*1000000/J31</f>
        <v>4673.034986671576</v>
      </c>
      <c r="N33" s="2193"/>
      <c r="O33" s="2193"/>
      <c r="P33" s="2193"/>
      <c r="Q33" s="2375" t="s">
        <v>847</v>
      </c>
      <c r="R33" s="2193"/>
      <c r="S33" s="2193"/>
      <c r="T33" s="2193"/>
      <c r="U33" s="2193"/>
      <c r="V33" s="2193"/>
      <c r="W33" s="2193"/>
      <c r="X33" s="2193"/>
      <c r="Y33" s="2193"/>
      <c r="Z33" s="2193"/>
    </row>
    <row r="34" spans="1:26" ht="12.75">
      <c r="A34" s="1059" t="s">
        <v>379</v>
      </c>
      <c r="B34" s="1074" t="s">
        <v>513</v>
      </c>
      <c r="C34" s="264">
        <v>7763.2219999999998</v>
      </c>
      <c r="D34" s="1051"/>
      <c r="E34" s="242">
        <v>736.33299999999997</v>
      </c>
      <c r="F34" s="1044"/>
      <c r="G34" s="263">
        <v>590.55499999999995</v>
      </c>
      <c r="H34" s="150"/>
      <c r="I34" s="2174"/>
      <c r="J34" s="1183"/>
      <c r="K34" s="1089"/>
      <c r="L34" s="1089"/>
      <c r="M34" s="2364">
        <f>(C34-E34)*1000000/J31</f>
        <v>6218.9481341975861</v>
      </c>
      <c r="N34" s="2193"/>
      <c r="O34" s="2193"/>
      <c r="P34" s="2193"/>
      <c r="Q34" s="2375" t="s">
        <v>848</v>
      </c>
      <c r="R34" s="2193"/>
      <c r="S34" s="2193"/>
      <c r="T34" s="2193"/>
      <c r="U34" s="2193"/>
      <c r="V34" s="2193"/>
      <c r="W34" s="2193"/>
      <c r="X34" s="2193"/>
      <c r="Y34" s="2193"/>
      <c r="Z34" s="2193"/>
    </row>
    <row r="35" spans="1:26" ht="12.75">
      <c r="A35" s="1059" t="s">
        <v>380</v>
      </c>
      <c r="B35" s="1074" t="s">
        <v>495</v>
      </c>
      <c r="C35" s="264">
        <v>4165.1719999999996</v>
      </c>
      <c r="D35" s="1051" t="str">
        <f>IF(C31=0,"",IF(OR(C35=0,C35=""),"Kommentera",""))</f>
        <v/>
      </c>
      <c r="E35" s="242">
        <v>32.729999999999997</v>
      </c>
      <c r="F35" s="1044"/>
      <c r="G35" s="263">
        <v>11.256</v>
      </c>
      <c r="H35" s="150" t="s">
        <v>578</v>
      </c>
      <c r="I35" s="2173"/>
      <c r="J35" s="1362"/>
      <c r="K35" s="1363"/>
      <c r="L35" s="1363"/>
      <c r="M35" s="2364">
        <f>(C35-E35)*1000000/J31</f>
        <v>3657.3001886865927</v>
      </c>
      <c r="N35" s="2193"/>
      <c r="O35" s="2193"/>
      <c r="P35" s="2193"/>
      <c r="Q35" s="2375" t="s">
        <v>849</v>
      </c>
      <c r="R35" s="2193"/>
      <c r="S35" s="2193"/>
      <c r="T35" s="2193"/>
      <c r="U35" s="2193"/>
      <c r="V35" s="2193"/>
      <c r="W35" s="2193"/>
      <c r="X35" s="2193"/>
      <c r="Y35" s="2193"/>
      <c r="Z35" s="2193"/>
    </row>
    <row r="36" spans="1:26" ht="15" customHeight="1">
      <c r="A36" s="1059" t="s">
        <v>381</v>
      </c>
      <c r="B36" s="1075" t="s">
        <v>729</v>
      </c>
      <c r="C36" s="264">
        <v>4707.5619999999999</v>
      </c>
      <c r="D36" s="1051"/>
      <c r="E36" s="242">
        <v>277.85399999999998</v>
      </c>
      <c r="F36" s="1043"/>
      <c r="G36" s="263">
        <v>228.97200000000001</v>
      </c>
      <c r="H36" s="150" t="s">
        <v>579</v>
      </c>
      <c r="I36" s="1923"/>
      <c r="J36" s="1362"/>
      <c r="K36" s="1363"/>
      <c r="L36" s="1363"/>
      <c r="M36" s="2364">
        <f>(C36-E36)*1000000/J31</f>
        <v>3920.3870022196338</v>
      </c>
      <c r="N36" s="2193"/>
      <c r="O36" s="2193"/>
      <c r="P36" s="2193"/>
      <c r="Q36" s="2375" t="s">
        <v>850</v>
      </c>
      <c r="R36" s="2193"/>
      <c r="S36" s="2193"/>
      <c r="T36" s="2193"/>
      <c r="U36" s="2193"/>
      <c r="V36" s="2193"/>
      <c r="W36" s="2193"/>
      <c r="X36" s="2193"/>
      <c r="Y36" s="2193"/>
      <c r="Z36" s="2193"/>
    </row>
    <row r="37" spans="1:26" s="200" customFormat="1" ht="12.75">
      <c r="A37" s="1059" t="s">
        <v>234</v>
      </c>
      <c r="B37" s="1076" t="s">
        <v>527</v>
      </c>
      <c r="C37" s="264">
        <v>21864.971000000001</v>
      </c>
      <c r="D37" s="1051" t="str">
        <f>IF(C31=0,"",IF(C37&lt;Drift!I54+Drift!J54+Drift!L54,"Kommentera",""))</f>
        <v/>
      </c>
      <c r="E37" s="242">
        <v>716.43299999999999</v>
      </c>
      <c r="F37" s="971"/>
      <c r="G37" s="263">
        <v>645.61400000000003</v>
      </c>
      <c r="H37" s="165" t="s">
        <v>580</v>
      </c>
      <c r="I37" s="2177"/>
      <c r="J37" s="1362"/>
      <c r="K37" s="1363"/>
      <c r="L37" s="1363"/>
      <c r="M37" s="2364">
        <f>(C37-E37)*1000000/J31</f>
        <v>18716.911699630768</v>
      </c>
      <c r="N37" s="2193"/>
      <c r="O37" s="2193"/>
      <c r="P37" s="2193"/>
      <c r="Q37" s="2375" t="s">
        <v>851</v>
      </c>
      <c r="R37" s="2193"/>
      <c r="S37" s="2193"/>
      <c r="T37" s="2193"/>
      <c r="U37" s="2193"/>
      <c r="V37" s="2193"/>
      <c r="W37" s="2193"/>
      <c r="X37" s="2193"/>
      <c r="Y37" s="2193"/>
      <c r="Z37" s="2193"/>
    </row>
    <row r="38" spans="1:26" s="200" customFormat="1" ht="12.75" customHeight="1">
      <c r="A38" s="1059" t="s">
        <v>382</v>
      </c>
      <c r="B38" s="1074" t="s">
        <v>448</v>
      </c>
      <c r="C38" s="264">
        <v>22210.757000000001</v>
      </c>
      <c r="D38" s="1051"/>
      <c r="E38" s="242">
        <v>21851.235000000001</v>
      </c>
      <c r="F38" s="971"/>
      <c r="G38" s="263">
        <v>10077.415999999999</v>
      </c>
      <c r="H38" s="150"/>
      <c r="I38" s="2583"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1920"/>
      <c r="K38" s="1920"/>
      <c r="L38" s="2355"/>
      <c r="M38" s="2364">
        <f>((C38+C39-G38)*1000000/J31)</f>
        <v>15467.882568261715</v>
      </c>
      <c r="N38" s="2193"/>
      <c r="O38" s="2193"/>
      <c r="P38" s="2193"/>
      <c r="Q38" s="2375" t="s">
        <v>852</v>
      </c>
      <c r="R38" s="2193"/>
      <c r="S38" s="2193"/>
      <c r="T38" s="2193"/>
      <c r="U38" s="2193"/>
      <c r="V38" s="2193"/>
      <c r="W38" s="2193"/>
      <c r="X38" s="2193"/>
      <c r="Y38" s="2193"/>
      <c r="Z38" s="2193"/>
    </row>
    <row r="39" spans="1:26" s="200" customFormat="1" ht="12.75">
      <c r="A39" s="1059" t="s">
        <v>383</v>
      </c>
      <c r="B39" s="1077" t="s">
        <v>496</v>
      </c>
      <c r="C39" s="264">
        <v>5344.067</v>
      </c>
      <c r="D39" s="2112"/>
      <c r="E39" s="973"/>
      <c r="F39" s="973"/>
      <c r="G39" s="1053"/>
      <c r="H39" s="164"/>
      <c r="I39" s="2584"/>
      <c r="J39" s="1921"/>
      <c r="K39" s="1921"/>
      <c r="L39" s="2356"/>
      <c r="M39" s="2365">
        <f>(M31*J31/1000000+D31-F31-(Motpart!D18+Motpart!E18+Motpart!F18+Motpart!J18)*0.06)*1000000/J31+M35</f>
        <v>132691.170706495</v>
      </c>
      <c r="N39" s="2193"/>
      <c r="O39" s="2193"/>
      <c r="P39" s="2193"/>
      <c r="Q39" s="2375" t="s">
        <v>853</v>
      </c>
      <c r="R39" s="2193"/>
      <c r="S39" s="2193"/>
      <c r="T39" s="2193"/>
      <c r="U39" s="2193"/>
      <c r="V39" s="2193"/>
      <c r="W39" s="2193"/>
      <c r="X39" s="2193"/>
      <c r="Y39" s="2193"/>
      <c r="Z39" s="2193"/>
    </row>
    <row r="40" spans="1:26" ht="12.75">
      <c r="A40" s="1078" t="s">
        <v>549</v>
      </c>
      <c r="B40" s="1079" t="s">
        <v>126</v>
      </c>
      <c r="C40" s="1227">
        <f>(C31-SUM(C32:C39)-D31)*-1</f>
        <v>1.0000000183936208E-3</v>
      </c>
      <c r="D40" s="1040"/>
      <c r="E40" s="1228">
        <f>(E31-SUM(E32:E38)-F31-SUM(Motpart!D18+Motpart!E18+Motpart!F18+Motpart!J18)*0.06)*-1</f>
        <v>-2.8399999980592838E-3</v>
      </c>
      <c r="F40" s="1040"/>
      <c r="G40" s="1229">
        <f>(G31-SUM(G32:G38))*-1</f>
        <v>-1.0000000002037268E-3</v>
      </c>
      <c r="H40" s="152"/>
      <c r="I40" s="2584"/>
      <c r="J40" s="1921"/>
      <c r="K40" s="1921"/>
      <c r="L40" s="2356"/>
      <c r="M40" s="2364">
        <f>(Motpart!G18+Motpart!K18)*1000000/J31</f>
        <v>1425.3643633686047</v>
      </c>
      <c r="N40" s="2193"/>
      <c r="O40" s="2193"/>
      <c r="P40" s="2193"/>
      <c r="Q40" s="2375" t="s">
        <v>854</v>
      </c>
      <c r="R40" s="2193"/>
      <c r="S40" s="2193"/>
      <c r="T40" s="2193"/>
      <c r="U40" s="2193"/>
      <c r="V40" s="2193"/>
      <c r="W40" s="2193"/>
      <c r="X40" s="2193"/>
      <c r="Y40" s="2193"/>
      <c r="Z40" s="2193"/>
    </row>
    <row r="41" spans="1:26" ht="12.75">
      <c r="A41" s="1078" t="s">
        <v>550</v>
      </c>
      <c r="B41" s="1079"/>
      <c r="C41" s="1042"/>
      <c r="D41" s="1040"/>
      <c r="E41" s="1040"/>
      <c r="F41" s="1040"/>
      <c r="G41" s="1050"/>
      <c r="H41" s="152"/>
      <c r="I41" s="2584"/>
      <c r="J41" s="1921"/>
      <c r="K41" s="1921"/>
      <c r="L41" s="2356"/>
      <c r="M41" s="2365">
        <f>F31*1000000/J31</f>
        <v>1418.5505825211785</v>
      </c>
      <c r="N41" s="2193"/>
      <c r="O41" s="2193"/>
      <c r="P41" s="2193"/>
      <c r="Q41" s="2375" t="s">
        <v>855</v>
      </c>
      <c r="R41" s="2193"/>
      <c r="S41" s="2193"/>
      <c r="T41" s="2193"/>
      <c r="U41" s="2193"/>
      <c r="V41" s="2193"/>
      <c r="W41" s="2193"/>
      <c r="X41" s="2193"/>
      <c r="Y41" s="2193"/>
      <c r="Z41" s="2193"/>
    </row>
    <row r="42" spans="1:26" ht="12.75">
      <c r="A42" s="1059" t="s">
        <v>551</v>
      </c>
      <c r="B42" s="1077"/>
      <c r="C42" s="1042"/>
      <c r="D42" s="1040"/>
      <c r="E42" s="1040"/>
      <c r="F42" s="1040"/>
      <c r="G42" s="1050"/>
      <c r="H42" s="152"/>
      <c r="I42" s="2584"/>
      <c r="J42" s="1922"/>
      <c r="K42" s="1922"/>
      <c r="L42" s="2357"/>
      <c r="M42" s="2369">
        <f>((Motpart!D18+Motpart!E18+Motpart!F18+Motpart!J18-(Motpart!D18+Motpart!E18+Motpart!F18+Motpart!J18)*0.06))*1000000/J31</f>
        <v>17480.754179956741</v>
      </c>
      <c r="N42" s="2193"/>
      <c r="O42" s="2193"/>
      <c r="P42" s="2193"/>
      <c r="Q42" s="2375" t="s">
        <v>856</v>
      </c>
      <c r="R42" s="2193"/>
      <c r="S42" s="2193"/>
      <c r="T42" s="2193"/>
      <c r="U42" s="2193"/>
      <c r="V42" s="2193"/>
      <c r="W42" s="2193"/>
      <c r="X42" s="2193"/>
      <c r="Y42" s="2193"/>
      <c r="Z42" s="2193"/>
    </row>
    <row r="43" spans="1:26" ht="13.5" thickBot="1">
      <c r="A43" s="1080"/>
      <c r="B43" s="1081"/>
      <c r="C43" s="1792" t="str">
        <f>IF(ABS(C40)&lt;100,"",IF(C31=0,"C31",IF(ABS(C40/C31)&gt;0.01,"C40")))</f>
        <v/>
      </c>
      <c r="D43" s="1793"/>
      <c r="E43" s="1790" t="str">
        <f>IF(ABS(E40)&lt;100,"",IF(E31=0,"E31",IF(ABS(E40/E31)&gt;0.01,"E40")))</f>
        <v/>
      </c>
      <c r="F43" s="1793"/>
      <c r="G43" s="1794" t="str">
        <f>IF(ABS(G40)&lt;100,"",IF(G31=0,"G31",IF(ABS(G40/G31)&gt;0.01,"G40")))</f>
        <v/>
      </c>
      <c r="H43" s="151"/>
      <c r="I43" s="1092"/>
      <c r="J43" s="1468"/>
      <c r="K43" s="1090"/>
      <c r="L43" s="1090"/>
      <c r="M43" s="2370"/>
      <c r="N43" s="2193"/>
      <c r="O43" s="2193"/>
      <c r="P43" s="2193"/>
      <c r="Q43" s="2377" t="s">
        <v>498</v>
      </c>
      <c r="R43" s="2193"/>
      <c r="S43" s="2193"/>
      <c r="T43" s="2193"/>
      <c r="U43" s="2193"/>
      <c r="V43" s="2193"/>
      <c r="W43" s="2193"/>
      <c r="X43" s="2193"/>
      <c r="Y43" s="2193"/>
      <c r="Z43" s="2193"/>
    </row>
    <row r="44" spans="1:26" ht="12.75">
      <c r="A44" s="1064" t="s">
        <v>389</v>
      </c>
      <c r="B44" s="2380" t="s">
        <v>1202</v>
      </c>
      <c r="C44" s="80">
        <f>Drift!P55</f>
        <v>9410.0329999999976</v>
      </c>
      <c r="D44" s="81">
        <f>SUM(Motpart!D19:L19)</f>
        <v>715.21199999999999</v>
      </c>
      <c r="E44" s="81">
        <f>Drift!W55</f>
        <v>1408.069</v>
      </c>
      <c r="F44" s="81">
        <f>Motpart!Y19</f>
        <v>313.02100000000002</v>
      </c>
      <c r="G44" s="129">
        <f>Drift!V55</f>
        <v>921.61699999999996</v>
      </c>
      <c r="H44" s="154"/>
      <c r="I44" s="1365" t="s">
        <v>819</v>
      </c>
      <c r="J44" s="1466">
        <v>1129916</v>
      </c>
      <c r="K44" s="1366"/>
      <c r="L44" s="1364"/>
      <c r="M44" s="2365">
        <f>SUM(M45:M47,M49:M51)</f>
        <v>6149.7606901751988</v>
      </c>
      <c r="N44" s="2193"/>
      <c r="O44" s="2193"/>
      <c r="P44" s="2193"/>
      <c r="Q44" s="2375" t="s">
        <v>845</v>
      </c>
      <c r="R44" s="2193"/>
      <c r="S44" s="2193"/>
      <c r="T44" s="2193"/>
      <c r="U44" s="2193"/>
      <c r="V44" s="2193"/>
      <c r="W44" s="2193"/>
      <c r="X44" s="2193"/>
      <c r="Y44" s="2193"/>
      <c r="Z44" s="2193"/>
    </row>
    <row r="45" spans="1:26" ht="12.75">
      <c r="A45" s="1059" t="s">
        <v>384</v>
      </c>
      <c r="B45" s="1074" t="s">
        <v>497</v>
      </c>
      <c r="C45" s="264">
        <v>4169.6880000000001</v>
      </c>
      <c r="D45" s="1051"/>
      <c r="E45" s="242">
        <v>326.72399999999999</v>
      </c>
      <c r="F45" s="1044"/>
      <c r="G45" s="263">
        <v>321.88</v>
      </c>
      <c r="H45" s="148" t="s">
        <v>581</v>
      </c>
      <c r="I45" s="1361"/>
      <c r="J45" s="1362"/>
      <c r="K45" s="1363"/>
      <c r="L45" s="1363"/>
      <c r="M45" s="2369">
        <f>(C45-E45)*1000000/J44</f>
        <v>3401.1059229181637</v>
      </c>
      <c r="N45" s="2193"/>
      <c r="O45" s="2193"/>
      <c r="P45" s="2193"/>
      <c r="Q45" s="2375" t="s">
        <v>883</v>
      </c>
      <c r="R45" s="2193"/>
      <c r="S45" s="2193"/>
      <c r="T45" s="2193"/>
      <c r="U45" s="2193"/>
      <c r="V45" s="2193"/>
      <c r="W45" s="2193"/>
      <c r="X45" s="2193"/>
      <c r="Y45" s="2193"/>
      <c r="Z45" s="2193"/>
    </row>
    <row r="46" spans="1:26" ht="12.75">
      <c r="A46" s="1059" t="s">
        <v>390</v>
      </c>
      <c r="B46" s="1074" t="s">
        <v>809</v>
      </c>
      <c r="C46" s="264">
        <v>138.059</v>
      </c>
      <c r="D46" s="1051"/>
      <c r="E46" s="242">
        <v>5.2960000000000003</v>
      </c>
      <c r="F46" s="1044"/>
      <c r="G46" s="263">
        <v>3.9790000000000001</v>
      </c>
      <c r="H46" s="152" t="s">
        <v>582</v>
      </c>
      <c r="I46" s="1361"/>
      <c r="J46" s="1362"/>
      <c r="K46" s="1093"/>
      <c r="L46" s="1093"/>
      <c r="M46" s="2369">
        <f>(C46-E46)*1000000/J44</f>
        <v>117.49811490411676</v>
      </c>
      <c r="N46" s="2193"/>
      <c r="O46" s="2193"/>
      <c r="P46" s="2193"/>
      <c r="Q46" s="2375" t="s">
        <v>884</v>
      </c>
      <c r="R46" s="2193"/>
      <c r="S46" s="2193"/>
      <c r="T46" s="2193"/>
      <c r="U46" s="2193"/>
      <c r="V46" s="2193"/>
      <c r="W46" s="2193"/>
      <c r="X46" s="2193"/>
      <c r="Y46" s="2193"/>
      <c r="Z46" s="2193"/>
    </row>
    <row r="47" spans="1:26" ht="12.75">
      <c r="A47" s="1059" t="s">
        <v>391</v>
      </c>
      <c r="B47" s="1074" t="s">
        <v>513</v>
      </c>
      <c r="C47" s="264">
        <v>136.01</v>
      </c>
      <c r="D47" s="1051"/>
      <c r="E47" s="242">
        <v>6.4790000000000001</v>
      </c>
      <c r="F47" s="1043"/>
      <c r="G47" s="263">
        <v>3.8250000000000002</v>
      </c>
      <c r="H47" s="152"/>
      <c r="I47" s="1361"/>
      <c r="J47" s="1467"/>
      <c r="K47" s="1089"/>
      <c r="L47" s="1089"/>
      <c r="M47" s="2369">
        <f>(C47-E47)*1000000/J44</f>
        <v>114.63772528223335</v>
      </c>
      <c r="N47" s="2193"/>
      <c r="O47" s="2193"/>
      <c r="P47" s="2193"/>
      <c r="Q47" s="2375" t="s">
        <v>885</v>
      </c>
      <c r="R47" s="2193"/>
      <c r="S47" s="2193"/>
      <c r="T47" s="2193"/>
      <c r="U47" s="2193"/>
      <c r="V47" s="2193"/>
      <c r="W47" s="2193"/>
      <c r="X47" s="2193"/>
      <c r="Y47" s="2193"/>
      <c r="Z47" s="2193"/>
    </row>
    <row r="48" spans="1:26" ht="12.75">
      <c r="A48" s="1059" t="s">
        <v>385</v>
      </c>
      <c r="B48" s="1074" t="s">
        <v>495</v>
      </c>
      <c r="C48" s="264">
        <v>815.03899999999999</v>
      </c>
      <c r="D48" s="1051" t="str">
        <f>IF(C44=0,"",IF(OR(C48=0,C48=""),"Kommentera",""))</f>
        <v/>
      </c>
      <c r="E48" s="242">
        <v>4.7480000000000002</v>
      </c>
      <c r="F48" s="971"/>
      <c r="G48" s="263">
        <v>0.623</v>
      </c>
      <c r="H48" s="150" t="s">
        <v>583</v>
      </c>
      <c r="I48" s="1361"/>
      <c r="J48" s="1362"/>
      <c r="K48" s="1363"/>
      <c r="L48" s="1363"/>
      <c r="M48" s="2369">
        <f>(C48-E48)*1000000/J44</f>
        <v>717.12498982225213</v>
      </c>
      <c r="N48" s="2193"/>
      <c r="O48" s="2193"/>
      <c r="P48" s="2193"/>
      <c r="Q48" s="2375" t="s">
        <v>886</v>
      </c>
      <c r="R48" s="2193"/>
      <c r="S48" s="2193"/>
      <c r="T48" s="2193"/>
      <c r="U48" s="2193"/>
      <c r="V48" s="2193"/>
      <c r="W48" s="2193"/>
      <c r="X48" s="2193"/>
      <c r="Y48" s="2193"/>
      <c r="Z48" s="2193"/>
    </row>
    <row r="49" spans="1:26" ht="12.75">
      <c r="A49" s="1059" t="s">
        <v>392</v>
      </c>
      <c r="B49" s="1075" t="s">
        <v>729</v>
      </c>
      <c r="C49" s="264">
        <v>123.697</v>
      </c>
      <c r="D49" s="1051"/>
      <c r="E49" s="242">
        <v>6.6310000000000002</v>
      </c>
      <c r="F49" s="1054"/>
      <c r="G49" s="263">
        <v>6.0460000000000003</v>
      </c>
      <c r="H49" s="152" t="s">
        <v>584</v>
      </c>
      <c r="I49" s="1361"/>
      <c r="J49" s="1362"/>
      <c r="K49" s="1363"/>
      <c r="L49" s="1363"/>
      <c r="M49" s="2369">
        <f>(C49-E49)*1000000/J44</f>
        <v>103.60593176837924</v>
      </c>
      <c r="N49" s="2193"/>
      <c r="O49" s="2193"/>
      <c r="P49" s="2193"/>
      <c r="Q49" s="2375" t="s">
        <v>887</v>
      </c>
      <c r="R49" s="2193"/>
      <c r="S49" s="2193"/>
      <c r="T49" s="2193"/>
      <c r="U49" s="2193"/>
      <c r="V49" s="2193"/>
      <c r="W49" s="2193"/>
      <c r="X49" s="2193"/>
      <c r="Y49" s="2193"/>
      <c r="Z49" s="2193"/>
    </row>
    <row r="50" spans="1:26" ht="12.75">
      <c r="A50" s="1059" t="s">
        <v>393</v>
      </c>
      <c r="B50" s="1076" t="s">
        <v>527</v>
      </c>
      <c r="C50" s="264">
        <v>751.09900000000005</v>
      </c>
      <c r="D50" s="1051" t="str">
        <f>IF(C44=0,"",IF(C50&lt;Drift!I55+Drift!J55+Drift!L55,"Kommentera",""))</f>
        <v/>
      </c>
      <c r="E50" s="242">
        <v>12.208</v>
      </c>
      <c r="F50" s="1043"/>
      <c r="G50" s="263">
        <v>11.529</v>
      </c>
      <c r="H50" s="150" t="s">
        <v>585</v>
      </c>
      <c r="I50" s="1361"/>
      <c r="J50" s="1362"/>
      <c r="K50" s="1363"/>
      <c r="L50" s="1363"/>
      <c r="M50" s="2369">
        <f>(C50-E50)*1000000/J44</f>
        <v>653.934451764556</v>
      </c>
      <c r="N50" s="2193"/>
      <c r="O50" s="2193"/>
      <c r="P50" s="2193"/>
      <c r="Q50" s="2375" t="s">
        <v>888</v>
      </c>
      <c r="R50" s="2193"/>
      <c r="S50" s="2193"/>
      <c r="T50" s="2193"/>
      <c r="U50" s="2193"/>
      <c r="V50" s="2193"/>
      <c r="W50" s="2193"/>
      <c r="X50" s="2193"/>
      <c r="Y50" s="2193"/>
      <c r="Z50" s="2193"/>
    </row>
    <row r="51" spans="1:26" ht="12.75">
      <c r="A51" s="1059" t="s">
        <v>394</v>
      </c>
      <c r="B51" s="1074" t="s">
        <v>448</v>
      </c>
      <c r="C51" s="264">
        <v>2255.7649999999999</v>
      </c>
      <c r="D51" s="1287"/>
      <c r="E51" s="242">
        <v>710.12199999999996</v>
      </c>
      <c r="F51" s="1043"/>
      <c r="G51" s="263">
        <v>573.73500000000001</v>
      </c>
      <c r="H51" s="148" t="s">
        <v>586</v>
      </c>
      <c r="I51" s="2585"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1924"/>
      <c r="K51" s="1924"/>
      <c r="L51" s="2358"/>
      <c r="M51" s="2369">
        <f>(C51+C52-G51)*1000000/J44</f>
        <v>1758.9785435377494</v>
      </c>
      <c r="N51" s="2193"/>
      <c r="O51" s="2193"/>
      <c r="P51" s="2193"/>
      <c r="Q51" s="2375" t="s">
        <v>889</v>
      </c>
      <c r="R51" s="2193"/>
      <c r="S51" s="2193"/>
      <c r="T51" s="2193"/>
      <c r="U51" s="2193"/>
      <c r="V51" s="2193"/>
      <c r="W51" s="2193"/>
      <c r="X51" s="2193"/>
      <c r="Y51" s="2193"/>
      <c r="Z51" s="2193"/>
    </row>
    <row r="52" spans="1:26" ht="12.75">
      <c r="A52" s="1059" t="s">
        <v>395</v>
      </c>
      <c r="B52" s="1077" t="s">
        <v>458</v>
      </c>
      <c r="C52" s="264">
        <v>305.46800000000002</v>
      </c>
      <c r="D52" s="2113" t="str">
        <f>IF(OR(C52 &gt; SUM(Drift!N55+Drift!O55+100), C52 &lt; SUM(Drift!N55+Drift!O55-100)),"Fördelad gemensam verksamhet skiljer sig mot Driftfliken.","")</f>
        <v/>
      </c>
      <c r="E52" s="1051"/>
      <c r="F52" s="1051"/>
      <c r="G52" s="1053"/>
      <c r="H52" s="152"/>
      <c r="I52" s="2582"/>
      <c r="J52" s="1924"/>
      <c r="K52" s="1924"/>
      <c r="L52" s="2358"/>
      <c r="M52" s="2364">
        <f>((M44*J44/1000000+D44-F44-(Motpart!D19+Motpart!E19+Motpart!F19+Motpart!J19)*0.06))*1000000/J44+M48</f>
        <v>7202.619256652707</v>
      </c>
      <c r="N52" s="2193"/>
      <c r="O52" s="2193"/>
      <c r="P52" s="2193"/>
      <c r="Q52" s="2375" t="s">
        <v>890</v>
      </c>
      <c r="R52" s="2193"/>
      <c r="S52" s="2193"/>
      <c r="T52" s="2193"/>
      <c r="U52" s="2193"/>
      <c r="V52" s="2193"/>
      <c r="W52" s="2193"/>
      <c r="X52" s="2193"/>
      <c r="Y52" s="2193"/>
      <c r="Z52" s="2193"/>
    </row>
    <row r="53" spans="1:26" ht="12.75">
      <c r="A53" s="1080" t="s">
        <v>552</v>
      </c>
      <c r="B53" s="1077" t="s">
        <v>126</v>
      </c>
      <c r="C53" s="1227">
        <f>(C44-SUM(C45:C52)-D44)*-1</f>
        <v>4.000000003088644E-3</v>
      </c>
      <c r="D53" s="1051"/>
      <c r="E53" s="1228">
        <f>(E44-SUM(E45:E51)-F44-SUM(Motpart!D19+Motpart!E19+Motpart!F19+Motpart!J19)*0.06)*-1</f>
        <v>2.5999999990844458E-4</v>
      </c>
      <c r="F53" s="1051"/>
      <c r="G53" s="1229">
        <f>(G44-SUM(G45:G51))*-1</f>
        <v>0</v>
      </c>
      <c r="H53" s="152"/>
      <c r="I53" s="2582"/>
      <c r="J53" s="1924"/>
      <c r="K53" s="1924"/>
      <c r="L53" s="2358"/>
      <c r="M53" s="2365">
        <f>(Motpart!G19+Motpart!K19)*1000000/J44</f>
        <v>284.56274625724387</v>
      </c>
      <c r="N53" s="2193"/>
      <c r="O53" s="2193"/>
      <c r="P53" s="2193"/>
      <c r="Q53" s="2375" t="s">
        <v>891</v>
      </c>
      <c r="R53" s="2193"/>
      <c r="S53" s="2193"/>
      <c r="T53" s="2193"/>
      <c r="U53" s="2193"/>
      <c r="V53" s="2193"/>
      <c r="W53" s="2193"/>
      <c r="X53" s="2193"/>
      <c r="Y53" s="2193"/>
      <c r="Z53" s="2193"/>
    </row>
    <row r="54" spans="1:26" ht="12.75">
      <c r="A54" s="1080" t="s">
        <v>553</v>
      </c>
      <c r="B54" s="1077"/>
      <c r="C54" s="1051"/>
      <c r="D54" s="1051"/>
      <c r="E54" s="1051"/>
      <c r="F54" s="1051"/>
      <c r="G54" s="1053"/>
      <c r="H54" s="150"/>
      <c r="I54" s="2582"/>
      <c r="J54" s="1924"/>
      <c r="K54" s="1924"/>
      <c r="L54" s="2358"/>
      <c r="M54" s="2369">
        <f>F44*1000000/J44</f>
        <v>277.03032791818151</v>
      </c>
      <c r="N54" s="2193"/>
      <c r="O54" s="2193"/>
      <c r="P54" s="2193"/>
      <c r="Q54" s="2375" t="s">
        <v>892</v>
      </c>
      <c r="R54" s="2193"/>
      <c r="S54" s="2193"/>
      <c r="T54" s="2193"/>
      <c r="U54" s="2193"/>
      <c r="V54" s="2193"/>
      <c r="W54" s="2193"/>
      <c r="X54" s="2193"/>
      <c r="Y54" s="2193"/>
      <c r="Z54" s="2193"/>
    </row>
    <row r="55" spans="1:26" ht="12.75">
      <c r="A55" s="1080" t="s">
        <v>554</v>
      </c>
      <c r="B55" s="1082"/>
      <c r="C55" s="1051"/>
      <c r="D55" s="1051"/>
      <c r="E55" s="1051"/>
      <c r="F55" s="1051"/>
      <c r="G55" s="1053"/>
      <c r="H55" s="148"/>
      <c r="I55" s="2582"/>
      <c r="J55" s="1924"/>
      <c r="K55" s="1924"/>
      <c r="L55" s="2358"/>
      <c r="M55" s="2369">
        <f>Motpart!H19*1000000/J44</f>
        <v>0.79120925803334052</v>
      </c>
      <c r="N55" s="2193"/>
      <c r="O55" s="2193"/>
      <c r="P55" s="2193"/>
      <c r="Q55" s="2375" t="s">
        <v>1077</v>
      </c>
      <c r="R55" s="2193"/>
      <c r="S55" s="2193"/>
      <c r="T55" s="2193"/>
      <c r="U55" s="2193"/>
      <c r="V55" s="2193"/>
      <c r="W55" s="2193"/>
      <c r="X55" s="2193"/>
      <c r="Y55" s="2193"/>
      <c r="Z55" s="2193"/>
    </row>
    <row r="56" spans="1:26" ht="12.75">
      <c r="A56" s="1062" t="s">
        <v>555</v>
      </c>
      <c r="B56" s="1077"/>
      <c r="C56" s="1040"/>
      <c r="D56" s="1040"/>
      <c r="E56" s="1040"/>
      <c r="F56" s="1040"/>
      <c r="G56" s="1050"/>
      <c r="H56" s="1232"/>
      <c r="I56" s="1233"/>
      <c r="J56" s="1467"/>
      <c r="K56" s="1093"/>
      <c r="L56" s="1093"/>
      <c r="M56" s="2369">
        <f>(Motpart!D19+Motpart!E19+Motpart!F19+Motpart!J19-(Motpart!D19+Motpart!E19+Motpart!F19+Motpart!J19)*0.06)*1000000/J44</f>
        <v>316.68791308380446</v>
      </c>
      <c r="N56" s="2193"/>
      <c r="O56" s="2193"/>
      <c r="P56" s="2193"/>
      <c r="Q56" s="2375" t="s">
        <v>893</v>
      </c>
      <c r="R56" s="2193"/>
      <c r="S56" s="2193"/>
      <c r="T56" s="2193"/>
      <c r="U56" s="2193"/>
      <c r="V56" s="2193"/>
      <c r="W56" s="2193"/>
      <c r="X56" s="2193"/>
      <c r="Y56" s="2193"/>
      <c r="Z56" s="2193"/>
    </row>
    <row r="57" spans="1:26" ht="13.5" thickBot="1">
      <c r="A57" s="1080"/>
      <c r="B57" s="1083"/>
      <c r="C57" s="1790" t="str">
        <f>IF(ABS(C53)&lt;100,"",IF(C44=0,"C44",IF(ABS(C53/C44)&gt;0.01,"C53")))</f>
        <v/>
      </c>
      <c r="D57" s="1790"/>
      <c r="E57" s="1790" t="str">
        <f>IF(ABS(E53)&lt;100,"",IF(E44=0,"E44",IF(ABS(E53/E44)&gt;0.01,"E53")))</f>
        <v/>
      </c>
      <c r="F57" s="1790"/>
      <c r="G57" s="1791" t="str">
        <f>IF(ABS(G53)&lt;100,"",IF(G44=0,"G44",IF(ABS(G53/G44)&gt;0.01,"G53")))</f>
        <v/>
      </c>
      <c r="H57" s="166"/>
      <c r="I57" s="1094"/>
      <c r="J57" s="1468"/>
      <c r="K57" s="1090"/>
      <c r="L57" s="1090"/>
      <c r="M57" s="2370"/>
      <c r="N57" s="2193"/>
      <c r="O57" s="2193"/>
      <c r="P57" s="2193"/>
      <c r="Q57" s="2377" t="s">
        <v>1206</v>
      </c>
      <c r="R57" s="2193"/>
      <c r="S57" s="2193"/>
      <c r="T57" s="2193"/>
      <c r="U57" s="2193"/>
      <c r="V57" s="2193"/>
      <c r="W57" s="2193"/>
      <c r="X57" s="2193"/>
      <c r="Y57" s="2193"/>
      <c r="Z57" s="2193"/>
    </row>
    <row r="58" spans="1:26" ht="12.75">
      <c r="A58" s="1064" t="s">
        <v>396</v>
      </c>
      <c r="B58" s="1073" t="s">
        <v>533</v>
      </c>
      <c r="C58" s="80">
        <f>Drift!P56</f>
        <v>64574.570999999996</v>
      </c>
      <c r="D58" s="81">
        <f>SUM(Motpart!D20:L20)</f>
        <v>25254.948</v>
      </c>
      <c r="E58" s="81">
        <f>Drift!W56</f>
        <v>15821.022000000001</v>
      </c>
      <c r="F58" s="81">
        <f>Motpart!Y20</f>
        <v>8145.7820000000002</v>
      </c>
      <c r="G58" s="129">
        <f>Drift!V56</f>
        <v>4509.9780000000001</v>
      </c>
      <c r="H58" s="148"/>
      <c r="I58" s="1365" t="s">
        <v>820</v>
      </c>
      <c r="J58" s="1466">
        <v>367238</v>
      </c>
      <c r="K58" s="1364"/>
      <c r="L58" s="1364"/>
      <c r="M58" s="2371">
        <f>SUM(M59:M61,M63:M65)</f>
        <v>89608.610764681231</v>
      </c>
      <c r="N58" s="2193"/>
      <c r="O58" s="2193"/>
      <c r="P58" s="2193"/>
      <c r="Q58" s="2375" t="s">
        <v>827</v>
      </c>
      <c r="R58" s="2193"/>
      <c r="S58" s="2193"/>
      <c r="T58" s="2193"/>
      <c r="U58" s="2193"/>
      <c r="V58" s="2193"/>
      <c r="W58" s="2193"/>
      <c r="X58" s="2193"/>
      <c r="Y58" s="2193"/>
      <c r="Z58" s="2193"/>
    </row>
    <row r="59" spans="1:26" ht="12.75">
      <c r="A59" s="1059" t="s">
        <v>397</v>
      </c>
      <c r="B59" s="1074" t="s">
        <v>497</v>
      </c>
      <c r="C59" s="264">
        <v>19076.741000000002</v>
      </c>
      <c r="D59" s="1051"/>
      <c r="E59" s="242">
        <v>2032.624</v>
      </c>
      <c r="F59" s="1043"/>
      <c r="G59" s="263">
        <v>1866.789</v>
      </c>
      <c r="H59" s="152" t="s">
        <v>587</v>
      </c>
      <c r="I59" s="1361"/>
      <c r="J59" s="1362"/>
      <c r="K59" s="1363"/>
      <c r="L59" s="1363"/>
      <c r="M59" s="2369">
        <f>(C59-E59)*1000000/J58</f>
        <v>46411.637684553345</v>
      </c>
      <c r="N59" s="2193"/>
      <c r="O59" s="2193"/>
      <c r="P59" s="2193"/>
      <c r="Q59" s="2375" t="s">
        <v>828</v>
      </c>
      <c r="R59" s="2193"/>
      <c r="S59" s="2193"/>
      <c r="T59" s="2193"/>
      <c r="U59" s="2193"/>
      <c r="V59" s="2193"/>
      <c r="W59" s="2193"/>
      <c r="X59" s="2193"/>
      <c r="Y59" s="2193"/>
      <c r="Z59" s="2193"/>
    </row>
    <row r="60" spans="1:26" ht="12.75">
      <c r="A60" s="1059" t="s">
        <v>398</v>
      </c>
      <c r="B60" s="1074" t="s">
        <v>809</v>
      </c>
      <c r="C60" s="264">
        <v>2488.1289999999999</v>
      </c>
      <c r="D60" s="1051"/>
      <c r="E60" s="242">
        <v>187.02600000000001</v>
      </c>
      <c r="F60" s="1043"/>
      <c r="G60" s="263">
        <v>59.786000000000001</v>
      </c>
      <c r="H60" s="152" t="s">
        <v>588</v>
      </c>
      <c r="I60" s="1361"/>
      <c r="J60" s="1362"/>
      <c r="K60" s="1093"/>
      <c r="L60" s="1093"/>
      <c r="M60" s="2369">
        <f>(C60-E60)*1000000/J58</f>
        <v>6265.9719310093178</v>
      </c>
      <c r="N60" s="2193"/>
      <c r="O60" s="2193"/>
      <c r="P60" s="2193"/>
      <c r="Q60" s="2375" t="s">
        <v>829</v>
      </c>
      <c r="R60" s="2193"/>
      <c r="S60" s="2193"/>
      <c r="T60" s="2193"/>
      <c r="U60" s="2193"/>
      <c r="V60" s="2193"/>
      <c r="W60" s="2193"/>
      <c r="X60" s="2193"/>
      <c r="Y60" s="2193"/>
      <c r="Z60" s="2193"/>
    </row>
    <row r="61" spans="1:26" ht="12.75">
      <c r="A61" s="1059" t="s">
        <v>399</v>
      </c>
      <c r="B61" s="1074" t="s">
        <v>513</v>
      </c>
      <c r="C61" s="264">
        <v>1703.5239999999999</v>
      </c>
      <c r="D61" s="1051"/>
      <c r="E61" s="242">
        <v>214.161</v>
      </c>
      <c r="F61" s="1043"/>
      <c r="G61" s="263">
        <v>100.139</v>
      </c>
      <c r="H61" s="150"/>
      <c r="I61" s="1361"/>
      <c r="J61" s="1183"/>
      <c r="K61" s="1089"/>
      <c r="L61" s="1089"/>
      <c r="M61" s="2369">
        <f>(C61-E61)*1000000/J58</f>
        <v>4055.5797602644602</v>
      </c>
      <c r="N61" s="2193"/>
      <c r="O61" s="2193"/>
      <c r="P61" s="2193"/>
      <c r="Q61" s="2375" t="s">
        <v>830</v>
      </c>
      <c r="R61" s="2193"/>
      <c r="S61" s="2193"/>
      <c r="T61" s="2193"/>
      <c r="U61" s="2193"/>
      <c r="V61" s="2193"/>
      <c r="W61" s="2193"/>
      <c r="X61" s="2193"/>
      <c r="Y61" s="2193"/>
      <c r="Z61" s="2193"/>
    </row>
    <row r="62" spans="1:26" ht="12.75">
      <c r="A62" s="1059" t="s">
        <v>250</v>
      </c>
      <c r="B62" s="1074" t="s">
        <v>495</v>
      </c>
      <c r="C62" s="264">
        <v>1430.412</v>
      </c>
      <c r="D62" s="1051" t="str">
        <f>IF(C58=0,"",IF(OR(C62=0,C62=""),"Kommentera",""))</f>
        <v/>
      </c>
      <c r="E62" s="242">
        <v>40.921999999999997</v>
      </c>
      <c r="F62" s="1043"/>
      <c r="G62" s="263">
        <v>2.4260000000000002</v>
      </c>
      <c r="H62" s="148" t="s">
        <v>589</v>
      </c>
      <c r="I62" s="1361"/>
      <c r="J62" s="1362"/>
      <c r="K62" s="1363"/>
      <c r="L62" s="1363"/>
      <c r="M62" s="2369">
        <f>(C62-E62)*1000000/J58</f>
        <v>3783.6226098606353</v>
      </c>
      <c r="N62" s="2193"/>
      <c r="O62" s="2193"/>
      <c r="P62" s="2193"/>
      <c r="Q62" s="2375" t="s">
        <v>831</v>
      </c>
      <c r="R62" s="2193"/>
      <c r="S62" s="2193"/>
      <c r="T62" s="2193"/>
      <c r="U62" s="2193"/>
      <c r="V62" s="2193"/>
      <c r="W62" s="2193"/>
      <c r="X62" s="2193"/>
      <c r="Y62" s="2193"/>
      <c r="Z62" s="2193"/>
    </row>
    <row r="63" spans="1:26" ht="12.75">
      <c r="A63" s="1059" t="s">
        <v>400</v>
      </c>
      <c r="B63" s="1075" t="s">
        <v>729</v>
      </c>
      <c r="C63" s="264">
        <v>971.03300000000002</v>
      </c>
      <c r="D63" s="1051"/>
      <c r="E63" s="242">
        <v>40.188000000000002</v>
      </c>
      <c r="F63" s="1043"/>
      <c r="G63" s="263">
        <v>33.326999999999998</v>
      </c>
      <c r="H63" s="152" t="s">
        <v>590</v>
      </c>
      <c r="I63" s="1361"/>
      <c r="J63" s="1362"/>
      <c r="K63" s="1363"/>
      <c r="L63" s="1363"/>
      <c r="M63" s="2369">
        <f>(C63-E63)*1000000/J58</f>
        <v>2534.718629335744</v>
      </c>
      <c r="N63" s="2193"/>
      <c r="O63" s="2193"/>
      <c r="P63" s="2193"/>
      <c r="Q63" s="2375" t="s">
        <v>832</v>
      </c>
      <c r="R63" s="2193"/>
      <c r="S63" s="2193"/>
      <c r="T63" s="2193"/>
      <c r="U63" s="2193"/>
      <c r="V63" s="2193"/>
      <c r="W63" s="2193"/>
      <c r="X63" s="2193"/>
      <c r="Y63" s="2193"/>
      <c r="Z63" s="2193"/>
    </row>
    <row r="64" spans="1:26" ht="12.75">
      <c r="A64" s="1059" t="s">
        <v>401</v>
      </c>
      <c r="B64" s="1076" t="s">
        <v>527</v>
      </c>
      <c r="C64" s="264">
        <v>5972.3239999999996</v>
      </c>
      <c r="D64" s="1051" t="str">
        <f>IF(C58=0,"",IF(C64&lt;Drift!I56+Drift!J56+Drift!L56,"Kommentera",""))</f>
        <v/>
      </c>
      <c r="E64" s="242">
        <v>145.346</v>
      </c>
      <c r="F64" s="1043"/>
      <c r="G64" s="263">
        <v>85.331000000000003</v>
      </c>
      <c r="H64" s="152" t="s">
        <v>591</v>
      </c>
      <c r="I64" s="1361"/>
      <c r="J64" s="1362"/>
      <c r="K64" s="1363"/>
      <c r="L64" s="1363"/>
      <c r="M64" s="2369">
        <f>(C64-E64)*1000000/J58</f>
        <v>15867.034457218477</v>
      </c>
      <c r="N64" s="2193"/>
      <c r="O64" s="2193"/>
      <c r="P64" s="2193"/>
      <c r="Q64" s="2375" t="s">
        <v>833</v>
      </c>
      <c r="R64" s="2193"/>
      <c r="S64" s="2193"/>
      <c r="T64" s="2193"/>
      <c r="U64" s="2193"/>
      <c r="V64" s="2193"/>
      <c r="W64" s="2193"/>
      <c r="X64" s="2193"/>
      <c r="Y64" s="2193"/>
      <c r="Z64" s="2193"/>
    </row>
    <row r="65" spans="1:26" ht="12.75">
      <c r="A65" s="1059" t="s">
        <v>402</v>
      </c>
      <c r="B65" s="1084" t="s">
        <v>448</v>
      </c>
      <c r="C65" s="264">
        <v>6379.1360000000004</v>
      </c>
      <c r="D65" s="1051"/>
      <c r="E65" s="242">
        <v>4180.7830000000004</v>
      </c>
      <c r="F65" s="1043"/>
      <c r="G65" s="263">
        <v>2362.1799999999998</v>
      </c>
      <c r="H65" s="152" t="s">
        <v>592</v>
      </c>
      <c r="I65" s="2586"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1925"/>
      <c r="K65" s="1925"/>
      <c r="L65" s="2359"/>
      <c r="M65" s="2369">
        <f>(C65+C66-G65)*1000000/J58</f>
        <v>14473.668302299873</v>
      </c>
      <c r="N65" s="2193"/>
      <c r="O65" s="2193"/>
      <c r="P65" s="2193"/>
      <c r="Q65" s="2375" t="s">
        <v>834</v>
      </c>
      <c r="R65" s="2193"/>
      <c r="S65" s="2193"/>
      <c r="T65" s="2193"/>
      <c r="U65" s="2193"/>
      <c r="V65" s="2193"/>
      <c r="W65" s="2193"/>
      <c r="X65" s="2193"/>
      <c r="Y65" s="2193"/>
      <c r="Z65" s="2193"/>
    </row>
    <row r="66" spans="1:26" ht="12.75">
      <c r="A66" s="1059" t="s">
        <v>403</v>
      </c>
      <c r="B66" s="1085" t="s">
        <v>458</v>
      </c>
      <c r="C66" s="264">
        <v>1298.325</v>
      </c>
      <c r="D66" s="2112" t="str">
        <f>IF(OR(C66 &gt; SUM(Drift!N56+Drift!O56+100), C66 &lt; SUM(Drift!N56+Drift!O56-100)),"Fördelad gemensam verksamhet skiljer sig mot Driftfliken.","")</f>
        <v/>
      </c>
      <c r="E66" s="1051"/>
      <c r="F66" s="1051"/>
      <c r="G66" s="1053"/>
      <c r="H66" s="152"/>
      <c r="I66" s="2587"/>
      <c r="J66" s="1925"/>
      <c r="K66" s="1925"/>
      <c r="L66" s="2359"/>
      <c r="M66" s="2369">
        <f>(M58*J58/1000000+D58-F58-(Motpart!D20+Motpart!E20+Motpart!F20+Motpart!J20)*0.06)*1000000/J58+M62</f>
        <v>137709.48469384978</v>
      </c>
      <c r="N66" s="2193"/>
      <c r="O66" s="2193"/>
      <c r="P66" s="2193"/>
      <c r="Q66" s="2375" t="s">
        <v>835</v>
      </c>
      <c r="R66" s="2193"/>
      <c r="S66" s="2193"/>
      <c r="T66" s="2193"/>
      <c r="U66" s="2193"/>
      <c r="V66" s="2193"/>
      <c r="W66" s="2193"/>
      <c r="X66" s="2193"/>
      <c r="Y66" s="2193"/>
      <c r="Z66" s="2193"/>
    </row>
    <row r="67" spans="1:26" ht="12.75">
      <c r="A67" s="1059" t="s">
        <v>559</v>
      </c>
      <c r="B67" s="1077" t="s">
        <v>126</v>
      </c>
      <c r="C67" s="1227">
        <f>(C58-SUM(C59:C66)-D58)*-1</f>
        <v>1.0000000074796844E-3</v>
      </c>
      <c r="D67" s="1039"/>
      <c r="E67" s="1228">
        <f>(E58-SUM(E59:E65)-F58-SUM(Motpart!D20+Motpart!E20+Motpart!F20+Motpart!J20)*0.06)*-1</f>
        <v>-2.7399999995623148E-3</v>
      </c>
      <c r="F67" s="1039"/>
      <c r="G67" s="1229">
        <f>(G58-SUM(G59:G65))*-1</f>
        <v>-9.0949470177292824E-13</v>
      </c>
      <c r="H67" s="152"/>
      <c r="I67" s="2587"/>
      <c r="J67" s="1925"/>
      <c r="K67" s="1925"/>
      <c r="L67" s="2359"/>
      <c r="M67" s="2369">
        <f>(Motpart!G20+Motpart!K20)*1000000/J58</f>
        <v>29050.065625017018</v>
      </c>
      <c r="N67" s="2193"/>
      <c r="O67" s="2193"/>
      <c r="P67" s="2193"/>
      <c r="Q67" s="2375" t="s">
        <v>1076</v>
      </c>
      <c r="R67" s="2193"/>
      <c r="S67" s="2193"/>
      <c r="T67" s="2193"/>
      <c r="U67" s="2193"/>
      <c r="V67" s="2193"/>
      <c r="W67" s="2193"/>
      <c r="X67" s="2193"/>
      <c r="Y67" s="2193"/>
      <c r="Z67" s="2193"/>
    </row>
    <row r="68" spans="1:26" ht="12.75">
      <c r="A68" s="1078" t="s">
        <v>560</v>
      </c>
      <c r="B68" s="1077"/>
      <c r="C68" s="1051"/>
      <c r="D68" s="1040"/>
      <c r="E68" s="1051"/>
      <c r="F68" s="1051"/>
      <c r="G68" s="1053"/>
      <c r="H68" s="150"/>
      <c r="I68" s="2587"/>
      <c r="J68" s="1925"/>
      <c r="K68" s="1925"/>
      <c r="L68" s="2359"/>
      <c r="M68" s="2369">
        <f>F58*1000000/J58</f>
        <v>22181.206737864817</v>
      </c>
      <c r="N68" s="2193"/>
      <c r="O68" s="2193"/>
      <c r="P68" s="2193"/>
      <c r="Q68" s="2375" t="s">
        <v>1075</v>
      </c>
      <c r="R68" s="2193"/>
      <c r="S68" s="2193"/>
      <c r="T68" s="2193"/>
      <c r="U68" s="2193"/>
      <c r="V68" s="2193"/>
      <c r="W68" s="2193"/>
      <c r="X68" s="2193"/>
      <c r="Y68" s="2193"/>
      <c r="Z68" s="2193"/>
    </row>
    <row r="69" spans="1:26" ht="12.75">
      <c r="A69" s="1078" t="s">
        <v>561</v>
      </c>
      <c r="B69" s="1082"/>
      <c r="C69" s="1051"/>
      <c r="D69" s="1040"/>
      <c r="E69" s="1051"/>
      <c r="F69" s="1051"/>
      <c r="G69" s="1053"/>
      <c r="H69" s="148"/>
      <c r="I69" s="2587"/>
      <c r="J69" s="1925"/>
      <c r="K69" s="1925"/>
      <c r="L69" s="2359"/>
      <c r="M69" s="2369">
        <f>Motpart!H20*1000000/J58</f>
        <v>1328.8466879789128</v>
      </c>
      <c r="N69" s="2193"/>
      <c r="O69" s="2193"/>
      <c r="P69" s="2193"/>
      <c r="Q69" s="2375" t="s">
        <v>1078</v>
      </c>
      <c r="R69" s="2193"/>
      <c r="S69" s="2193"/>
      <c r="T69" s="2193"/>
      <c r="U69" s="2193"/>
      <c r="V69" s="2193"/>
      <c r="W69" s="2193"/>
      <c r="X69" s="2193"/>
      <c r="Y69" s="2193"/>
      <c r="Z69" s="2193"/>
    </row>
    <row r="70" spans="1:26" ht="12.75">
      <c r="A70" s="1078" t="s">
        <v>562</v>
      </c>
      <c r="B70" s="1077"/>
      <c r="C70" s="1040"/>
      <c r="D70" s="1040"/>
      <c r="E70" s="1040"/>
      <c r="F70" s="1040"/>
      <c r="G70" s="1050"/>
      <c r="H70" s="1232"/>
      <c r="I70" s="1233"/>
      <c r="J70" s="1467"/>
      <c r="K70" s="1093"/>
      <c r="L70" s="1093"/>
      <c r="M70" s="2369">
        <f>((Motpart!D20+Motpart!E20+Motpart!F20+Motpart!J20)-(Motpart!D20+Motpart!E20+Motpart!F20+Motpart!J20)*0.06)*1000000/J58</f>
        <v>35587.095398624326</v>
      </c>
      <c r="N70" s="2193"/>
      <c r="O70" s="2193"/>
      <c r="P70" s="2193"/>
      <c r="Q70" s="2375" t="s">
        <v>836</v>
      </c>
      <c r="R70" s="2193"/>
      <c r="S70" s="2193"/>
      <c r="T70" s="2193"/>
      <c r="U70" s="2193"/>
      <c r="V70" s="2193"/>
      <c r="W70" s="2193"/>
      <c r="X70" s="2193"/>
      <c r="Y70" s="2193"/>
      <c r="Z70" s="2193"/>
    </row>
    <row r="71" spans="1:26" ht="13.5" thickBot="1">
      <c r="A71" s="1086"/>
      <c r="B71" s="1087"/>
      <c r="C71" s="1786" t="str">
        <f>IF(ABS(C67)&lt;100,"",IF(C58=0,"C58",IF(ABS(C67/C58)&gt;0.01,"C67")))</f>
        <v/>
      </c>
      <c r="D71" s="1787"/>
      <c r="E71" s="1787" t="str">
        <f>IF(ABS(E67)&lt;100,"",IF(E58=0,"E58",IF(ABS(E67/E58)&gt;0.01,"E67")))</f>
        <v/>
      </c>
      <c r="F71" s="1789"/>
      <c r="G71" s="1788" t="str">
        <f>IF(ABS(G67)&lt;100,"",IF(G58=0,"G58",IF(ABS(G67/G58)&gt;0.01,"G67")))</f>
        <v/>
      </c>
      <c r="H71" s="151"/>
      <c r="I71" s="1092"/>
      <c r="J71" s="1468"/>
      <c r="K71" s="1090"/>
      <c r="L71" s="1090"/>
      <c r="M71" s="2370"/>
      <c r="N71" s="2193"/>
      <c r="O71" s="2193"/>
      <c r="P71" s="2193"/>
      <c r="Q71" s="2377" t="s">
        <v>499</v>
      </c>
      <c r="R71" s="2193"/>
      <c r="S71" s="2193"/>
      <c r="T71" s="2193"/>
      <c r="U71" s="2193"/>
      <c r="V71" s="2193"/>
      <c r="W71" s="2193"/>
      <c r="X71" s="2193"/>
      <c r="Y71" s="2193"/>
      <c r="Z71" s="2193"/>
    </row>
    <row r="72" spans="1:26" ht="12.75">
      <c r="A72" s="1064" t="s">
        <v>404</v>
      </c>
      <c r="B72" s="2380" t="s">
        <v>1203</v>
      </c>
      <c r="C72" s="80">
        <f>Drift!P57</f>
        <v>4913.3209999999999</v>
      </c>
      <c r="D72" s="81">
        <f>SUM(Motpart!D21:L21)</f>
        <v>1289.3130000000001</v>
      </c>
      <c r="E72" s="81">
        <f>Drift!W57</f>
        <v>1263.223</v>
      </c>
      <c r="F72" s="81">
        <f>Motpart!Y21</f>
        <v>777.69399999999996</v>
      </c>
      <c r="G72" s="129">
        <f>Drift!V57</f>
        <v>361.39299999999997</v>
      </c>
      <c r="H72" s="148"/>
      <c r="I72" s="1375" t="s">
        <v>820</v>
      </c>
      <c r="J72" s="1466">
        <v>367238</v>
      </c>
      <c r="K72" s="1366"/>
      <c r="L72" s="1364"/>
      <c r="M72" s="2371">
        <f>SUM(M73:M75,M77:M79)</f>
        <v>7861.6074589230957</v>
      </c>
      <c r="N72" s="2193"/>
      <c r="O72" s="2193"/>
      <c r="P72" s="2193"/>
      <c r="Q72" s="2375" t="s">
        <v>827</v>
      </c>
      <c r="R72" s="2193"/>
      <c r="S72" s="2193"/>
      <c r="T72" s="2193"/>
      <c r="U72" s="2193"/>
      <c r="V72" s="2193"/>
      <c r="W72" s="2193"/>
      <c r="X72" s="2193"/>
      <c r="Y72" s="2193"/>
      <c r="Z72" s="2193"/>
    </row>
    <row r="73" spans="1:26" ht="12.75">
      <c r="A73" s="1059" t="s">
        <v>405</v>
      </c>
      <c r="B73" s="1074" t="s">
        <v>497</v>
      </c>
      <c r="C73" s="264">
        <v>1632.953</v>
      </c>
      <c r="D73" s="1051"/>
      <c r="E73" s="242">
        <v>183.041</v>
      </c>
      <c r="F73" s="1043"/>
      <c r="G73" s="263">
        <v>176.23400000000001</v>
      </c>
      <c r="H73" s="165" t="s">
        <v>593</v>
      </c>
      <c r="I73" s="819"/>
      <c r="J73" s="1362"/>
      <c r="K73" s="1363"/>
      <c r="L73" s="1363"/>
      <c r="M73" s="2369">
        <f>(C73-E73)*1000000/J72</f>
        <v>3948.1535135252889</v>
      </c>
      <c r="N73" s="2193"/>
      <c r="O73" s="2193"/>
      <c r="P73" s="2193"/>
      <c r="Q73" s="2375" t="s">
        <v>828</v>
      </c>
      <c r="R73" s="2193"/>
      <c r="S73" s="2193"/>
      <c r="T73" s="2193"/>
      <c r="U73" s="2193"/>
      <c r="V73" s="2193"/>
      <c r="W73" s="2193"/>
      <c r="X73" s="2193"/>
      <c r="Y73" s="2193"/>
      <c r="Z73" s="2193"/>
    </row>
    <row r="74" spans="1:26" ht="12.75">
      <c r="A74" s="1059" t="s">
        <v>406</v>
      </c>
      <c r="B74" s="1074" t="s">
        <v>809</v>
      </c>
      <c r="C74" s="264">
        <v>88.391999999999996</v>
      </c>
      <c r="D74" s="1051"/>
      <c r="E74" s="242">
        <v>5.4160000000000004</v>
      </c>
      <c r="F74" s="1043"/>
      <c r="G74" s="263">
        <v>2.2559999999999998</v>
      </c>
      <c r="H74" s="164" t="s">
        <v>594</v>
      </c>
      <c r="I74" s="819"/>
      <c r="J74" s="1362"/>
      <c r="K74" s="1093"/>
      <c r="L74" s="1093"/>
      <c r="M74" s="2369">
        <f>(C74-E74)*1000000/J72</f>
        <v>225.94611668727092</v>
      </c>
      <c r="N74" s="2193"/>
      <c r="O74" s="2193"/>
      <c r="P74" s="2193"/>
      <c r="Q74" s="2375" t="s">
        <v>829</v>
      </c>
      <c r="R74" s="2193"/>
      <c r="S74" s="2193"/>
      <c r="T74" s="2193"/>
      <c r="U74" s="2193"/>
      <c r="V74" s="2193"/>
      <c r="W74" s="2193"/>
      <c r="X74" s="2193"/>
      <c r="Y74" s="2193"/>
      <c r="Z74" s="2193"/>
    </row>
    <row r="75" spans="1:26" ht="12.75">
      <c r="A75" s="1059" t="s">
        <v>407</v>
      </c>
      <c r="B75" s="1074" t="s">
        <v>513</v>
      </c>
      <c r="C75" s="264">
        <v>54.845999999999997</v>
      </c>
      <c r="D75" s="1051"/>
      <c r="E75" s="242">
        <v>6.5869999999999997</v>
      </c>
      <c r="F75" s="1043"/>
      <c r="G75" s="263">
        <v>4.1740000000000004</v>
      </c>
      <c r="H75" s="1374"/>
      <c r="I75" s="819"/>
      <c r="J75" s="1183"/>
      <c r="K75" s="1089"/>
      <c r="L75" s="1089"/>
      <c r="M75" s="2369">
        <f>(C75-E75)*1000000/J72</f>
        <v>131.41069279322946</v>
      </c>
      <c r="N75" s="2193"/>
      <c r="O75" s="2193"/>
      <c r="P75" s="2193"/>
      <c r="Q75" s="2375" t="s">
        <v>830</v>
      </c>
      <c r="R75" s="2193"/>
      <c r="S75" s="2193"/>
      <c r="T75" s="2193"/>
      <c r="U75" s="2193"/>
      <c r="V75" s="2193"/>
      <c r="W75" s="2193"/>
      <c r="X75" s="2193"/>
      <c r="Y75" s="2193"/>
      <c r="Z75" s="2193"/>
    </row>
    <row r="76" spans="1:26" ht="12.75">
      <c r="A76" s="1059" t="s">
        <v>408</v>
      </c>
      <c r="B76" s="1074" t="s">
        <v>495</v>
      </c>
      <c r="C76" s="264">
        <v>367.363</v>
      </c>
      <c r="D76" s="1051" t="str">
        <f>IF(C72=0,"",IF(OR(C76=0,C76=""),"Kommentera",""))</f>
        <v/>
      </c>
      <c r="E76" s="242">
        <v>7.3579999999999997</v>
      </c>
      <c r="F76" s="1043"/>
      <c r="G76" s="263">
        <v>5.1289999999999996</v>
      </c>
      <c r="H76" s="1374" t="s">
        <v>595</v>
      </c>
      <c r="I76" s="819"/>
      <c r="J76" s="1362"/>
      <c r="K76" s="1363"/>
      <c r="L76" s="1363"/>
      <c r="M76" s="2369">
        <f>(C76-E76)*1000000/J72</f>
        <v>980.30432580506374</v>
      </c>
      <c r="N76" s="2193"/>
      <c r="O76" s="2193"/>
      <c r="P76" s="2193"/>
      <c r="Q76" s="2375" t="s">
        <v>831</v>
      </c>
      <c r="R76" s="2193"/>
      <c r="S76" s="2193"/>
      <c r="T76" s="2193"/>
      <c r="U76" s="2193"/>
      <c r="V76" s="2193"/>
      <c r="W76" s="2193"/>
      <c r="X76" s="2193"/>
      <c r="Y76" s="2193"/>
      <c r="Z76" s="2193"/>
    </row>
    <row r="77" spans="1:26" ht="12.75">
      <c r="A77" s="1059" t="s">
        <v>409</v>
      </c>
      <c r="B77" s="1075" t="s">
        <v>729</v>
      </c>
      <c r="C77" s="264">
        <v>67.641000000000005</v>
      </c>
      <c r="D77" s="1051"/>
      <c r="E77" s="242">
        <v>3.3679999999999999</v>
      </c>
      <c r="F77" s="1043"/>
      <c r="G77" s="263">
        <v>3.206</v>
      </c>
      <c r="H77" s="1374" t="s">
        <v>596</v>
      </c>
      <c r="I77" s="819"/>
      <c r="J77" s="1362"/>
      <c r="K77" s="1363"/>
      <c r="L77" s="1363"/>
      <c r="M77" s="2369">
        <f>(C77-E77)*1000000/J72</f>
        <v>175.01729123892409</v>
      </c>
      <c r="N77" s="2193"/>
      <c r="O77" s="2193"/>
      <c r="P77" s="2193"/>
      <c r="Q77" s="2375" t="s">
        <v>832</v>
      </c>
      <c r="R77" s="2193"/>
      <c r="S77" s="2193"/>
      <c r="T77" s="2193"/>
      <c r="U77" s="2193"/>
      <c r="V77" s="2193"/>
      <c r="W77" s="2193"/>
      <c r="X77" s="2193"/>
      <c r="Y77" s="2193"/>
      <c r="Z77" s="2193"/>
    </row>
    <row r="78" spans="1:26" ht="12.75">
      <c r="A78" s="1059" t="s">
        <v>410</v>
      </c>
      <c r="B78" s="1076" t="s">
        <v>527</v>
      </c>
      <c r="C78" s="264">
        <v>348.06799999999998</v>
      </c>
      <c r="D78" s="1051" t="str">
        <f>IF(C72=0,"",IF(C78&lt;Drift!I57+Drift!J57+Drift!L57,"Kommentera",""))</f>
        <v/>
      </c>
      <c r="E78" s="242">
        <v>4.7699999999999996</v>
      </c>
      <c r="F78" s="1043"/>
      <c r="G78" s="263">
        <v>4.0140000000000002</v>
      </c>
      <c r="H78" s="1374" t="s">
        <v>597</v>
      </c>
      <c r="I78" s="819"/>
      <c r="J78" s="1362"/>
      <c r="K78" s="1363"/>
      <c r="L78" s="1363"/>
      <c r="M78" s="2369">
        <f>(C78-E78)*1000000/J72</f>
        <v>934.8106677413557</v>
      </c>
      <c r="N78" s="2193"/>
      <c r="O78" s="2193"/>
      <c r="P78" s="2193"/>
      <c r="Q78" s="2375" t="s">
        <v>833</v>
      </c>
      <c r="R78" s="2193"/>
      <c r="S78" s="2193"/>
      <c r="T78" s="2193"/>
      <c r="U78" s="2193"/>
      <c r="V78" s="2193"/>
      <c r="W78" s="2193"/>
      <c r="X78" s="2193"/>
      <c r="Y78" s="2193"/>
      <c r="Z78" s="2193"/>
    </row>
    <row r="79" spans="1:26" ht="12.75">
      <c r="A79" s="1059" t="s">
        <v>411</v>
      </c>
      <c r="B79" s="1074" t="s">
        <v>448</v>
      </c>
      <c r="C79" s="264">
        <v>945.68200000000002</v>
      </c>
      <c r="D79" s="1051"/>
      <c r="E79" s="242">
        <v>257.25799999999998</v>
      </c>
      <c r="F79" s="1043"/>
      <c r="G79" s="263">
        <v>166.381</v>
      </c>
      <c r="H79" s="165" t="s">
        <v>598</v>
      </c>
      <c r="I79" s="2583"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1924"/>
      <c r="K79" s="1924"/>
      <c r="L79" s="2358"/>
      <c r="M79" s="2364">
        <f>(C79+C80-G79)*1000000/J72</f>
        <v>2446.2691769370272</v>
      </c>
      <c r="N79" s="2193"/>
      <c r="O79" s="2193"/>
      <c r="P79" s="2193"/>
      <c r="Q79" s="2375" t="s">
        <v>834</v>
      </c>
      <c r="R79" s="2193"/>
      <c r="S79" s="2193"/>
      <c r="T79" s="2193"/>
      <c r="U79" s="2193"/>
      <c r="V79" s="2193"/>
      <c r="W79" s="2193"/>
      <c r="X79" s="2193"/>
      <c r="Y79" s="2193"/>
      <c r="Z79" s="2193"/>
    </row>
    <row r="80" spans="1:26" ht="12.75">
      <c r="A80" s="1059" t="s">
        <v>412</v>
      </c>
      <c r="B80" s="1088" t="s">
        <v>458</v>
      </c>
      <c r="C80" s="264">
        <v>119.062</v>
      </c>
      <c r="D80" s="2112" t="str">
        <f>IF(OR(C80 &gt; SUM(Drift!N57+Drift!O57+100), C80 &lt; SUM(Drift!N57+Drift!O57-100)),"Fördelad gemensam verksamhet skiljer sig mot Driftfliken.","")</f>
        <v/>
      </c>
      <c r="E80" s="1051"/>
      <c r="F80" s="1051"/>
      <c r="G80" s="1053"/>
      <c r="H80" s="164"/>
      <c r="I80" s="2588"/>
      <c r="J80" s="1924"/>
      <c r="K80" s="1924"/>
      <c r="L80" s="2358"/>
      <c r="M80" s="2364">
        <f>((M72*J72/1000000+D72-F72-(Motpart!D21+Motpart!E21+Motpart!F21+Motpart!J21)*0.06))/J72*1000000+M76</f>
        <v>10186.785899062734</v>
      </c>
      <c r="N80" s="2193"/>
      <c r="O80" s="2193"/>
      <c r="P80" s="2193"/>
      <c r="Q80" s="2375" t="s">
        <v>835</v>
      </c>
      <c r="R80" s="2193"/>
      <c r="S80" s="2193"/>
      <c r="T80" s="2193"/>
      <c r="U80" s="2193"/>
      <c r="V80" s="2193"/>
      <c r="W80" s="2193"/>
      <c r="X80" s="2193"/>
      <c r="Y80" s="2193"/>
      <c r="Z80" s="2193"/>
    </row>
    <row r="81" spans="1:26" ht="12.75">
      <c r="A81" s="1078" t="s">
        <v>563</v>
      </c>
      <c r="B81" s="1077" t="s">
        <v>126</v>
      </c>
      <c r="C81" s="1227">
        <f>(C72-SUM(C73:C80)-D72)*-1</f>
        <v>-1.0000000002037268E-3</v>
      </c>
      <c r="D81" s="1039"/>
      <c r="E81" s="1228">
        <f>(E72-SUM(E73:E79)-F72-SUM(Motpart!D21+Motpart!E21+Motpart!F21+Motpart!J21)*0.06)*-1</f>
        <v>-8.7999999999510692E-4</v>
      </c>
      <c r="F81" s="1039"/>
      <c r="G81" s="1229">
        <f>(G72-SUM(G73:G79))*-1</f>
        <v>1.0000000000331966E-3</v>
      </c>
      <c r="H81" s="150"/>
      <c r="I81" s="2588"/>
      <c r="J81" s="1924"/>
      <c r="K81" s="1924"/>
      <c r="L81" s="2358"/>
      <c r="M81" s="2369">
        <f>(Motpart!G21+Motpart!K21)*1000000/J72</f>
        <v>2551.6449822730765</v>
      </c>
      <c r="N81" s="2193"/>
      <c r="O81" s="2193"/>
      <c r="P81" s="2193"/>
      <c r="Q81" s="2375" t="s">
        <v>1076</v>
      </c>
      <c r="R81" s="2193"/>
      <c r="S81" s="2193"/>
      <c r="T81" s="2193"/>
      <c r="U81" s="2193"/>
      <c r="V81" s="2193"/>
      <c r="W81" s="2193"/>
      <c r="X81" s="2193"/>
      <c r="Y81" s="2193"/>
      <c r="Z81" s="2193"/>
    </row>
    <row r="82" spans="1:26" ht="12.75">
      <c r="A82" s="1078" t="s">
        <v>564</v>
      </c>
      <c r="B82" s="1077"/>
      <c r="C82" s="1051"/>
      <c r="D82" s="1040"/>
      <c r="E82" s="1051"/>
      <c r="F82" s="1051"/>
      <c r="G82" s="1053"/>
      <c r="H82" s="148"/>
      <c r="I82" s="2588"/>
      <c r="J82" s="1924"/>
      <c r="K82" s="1924"/>
      <c r="L82" s="2358"/>
      <c r="M82" s="2369">
        <f>F72*1000000/J72</f>
        <v>2117.6838998142894</v>
      </c>
      <c r="N82" s="2193"/>
      <c r="O82" s="2193"/>
      <c r="P82" s="2193"/>
      <c r="Q82" s="2375" t="s">
        <v>1075</v>
      </c>
      <c r="R82" s="2193"/>
      <c r="S82" s="2193"/>
      <c r="T82" s="2193"/>
      <c r="U82" s="2193"/>
      <c r="V82" s="2193"/>
      <c r="W82" s="2193"/>
      <c r="X82" s="2193"/>
      <c r="Y82" s="2193"/>
      <c r="Z82" s="2193"/>
    </row>
    <row r="83" spans="1:26" ht="12.75">
      <c r="A83" s="1078" t="s">
        <v>565</v>
      </c>
      <c r="B83" s="1082"/>
      <c r="C83" s="1051"/>
      <c r="D83" s="1040"/>
      <c r="E83" s="1051"/>
      <c r="F83" s="1051"/>
      <c r="G83" s="1053"/>
      <c r="H83" s="152"/>
      <c r="I83" s="2588"/>
      <c r="J83" s="1924"/>
      <c r="K83" s="1924"/>
      <c r="L83" s="2358"/>
      <c r="M83" s="2364">
        <f>Motpart!H21*1000000/J72</f>
        <v>144.81072220195077</v>
      </c>
      <c r="N83" s="2193"/>
      <c r="O83" s="2193"/>
      <c r="P83" s="2193"/>
      <c r="Q83" s="2375" t="s">
        <v>1078</v>
      </c>
      <c r="R83" s="2193"/>
      <c r="S83" s="2193"/>
      <c r="T83" s="2193"/>
      <c r="U83" s="2193"/>
      <c r="V83" s="2193"/>
      <c r="W83" s="2193"/>
      <c r="X83" s="2193"/>
      <c r="Y83" s="2193"/>
      <c r="Z83" s="2193"/>
    </row>
    <row r="84" spans="1:26" ht="12.75">
      <c r="A84" s="1059" t="s">
        <v>566</v>
      </c>
      <c r="B84" s="1077"/>
      <c r="C84" s="1040"/>
      <c r="D84" s="1040"/>
      <c r="E84" s="1040"/>
      <c r="F84" s="1040"/>
      <c r="G84" s="1050"/>
      <c r="H84" s="1232"/>
      <c r="I84" s="1233"/>
      <c r="J84" s="1467"/>
      <c r="K84" s="1093"/>
      <c r="L84" s="1093"/>
      <c r="M84" s="2364">
        <f>((Motpart!D21+Motpart!E21+Motpart!F21+Motpart!J21)-(Motpart!D21+Motpart!E21+Motpart!F21+Motpart!J21)*0.06)*1000000/J72</f>
        <v>756.38109345982718</v>
      </c>
      <c r="N84" s="2193"/>
      <c r="O84" s="2193"/>
      <c r="P84" s="2193"/>
      <c r="Q84" s="2375" t="s">
        <v>837</v>
      </c>
      <c r="R84" s="2193"/>
      <c r="S84" s="2193"/>
      <c r="T84" s="2193"/>
      <c r="U84" s="2193"/>
      <c r="V84" s="2193"/>
      <c r="W84" s="2193"/>
      <c r="X84" s="2193"/>
      <c r="Y84" s="2193"/>
      <c r="Z84" s="2193"/>
    </row>
    <row r="85" spans="1:26" ht="13.5" thickBot="1">
      <c r="A85" s="1080"/>
      <c r="B85" s="1087"/>
      <c r="C85" s="1786" t="str">
        <f>IF(ABS(C81)&lt;100,"",IF(C72=0,"C72",IF(ABS(C81/C72)&gt;0.01,"C81")))</f>
        <v/>
      </c>
      <c r="D85" s="1787"/>
      <c r="E85" s="1787" t="str">
        <f>IF(ABS(E81)&lt;100,"",IF(E72=0,"E72",IF(ABS(E81/E72)&gt;0.01,"E81")))</f>
        <v/>
      </c>
      <c r="F85" s="1787"/>
      <c r="G85" s="1788" t="str">
        <f>IF(ABS(G81)&lt;100,"",IF(G72=0,"G72",IF(ABS(G81/G72)&gt;0.01,"G81")))</f>
        <v/>
      </c>
      <c r="H85" s="151"/>
      <c r="I85" s="1092"/>
      <c r="J85" s="1468"/>
      <c r="K85" s="1090"/>
      <c r="L85" s="1093"/>
      <c r="M85" s="2365"/>
      <c r="N85" s="2193"/>
      <c r="O85" s="2193"/>
      <c r="P85" s="2193"/>
      <c r="Q85" s="2377" t="s">
        <v>1207</v>
      </c>
      <c r="R85" s="2193"/>
      <c r="S85" s="2193"/>
      <c r="T85" s="2193"/>
      <c r="U85" s="2193"/>
      <c r="V85" s="2193"/>
      <c r="W85" s="2193"/>
      <c r="X85" s="2193"/>
      <c r="Y85" s="2193"/>
      <c r="Z85" s="2193"/>
    </row>
    <row r="86" spans="1:26" ht="12.75" customHeight="1">
      <c r="A86" s="1064" t="s">
        <v>413</v>
      </c>
      <c r="B86" s="1073" t="s">
        <v>535</v>
      </c>
      <c r="C86" s="163">
        <f>Drift!P60</f>
        <v>1723.047</v>
      </c>
      <c r="D86" s="81">
        <f>SUM(Motpart!D22:L22)</f>
        <v>438.47299999999996</v>
      </c>
      <c r="E86" s="162">
        <f>Drift!W60</f>
        <v>269.79599999999999</v>
      </c>
      <c r="F86" s="81">
        <f>Motpart!Y22</f>
        <v>58.393999999999998</v>
      </c>
      <c r="G86" s="130">
        <f>Drift!V60</f>
        <v>79.573999999999998</v>
      </c>
      <c r="H86" s="153"/>
      <c r="I86" s="1095" t="s">
        <v>528</v>
      </c>
      <c r="J86" s="1466">
        <v>6080723</v>
      </c>
      <c r="K86" s="1096"/>
      <c r="L86" s="1096"/>
      <c r="M86" s="2371">
        <f>SUM(M87:M91)</f>
        <v>195.04325390253757</v>
      </c>
      <c r="N86" s="2193"/>
      <c r="O86" s="2193"/>
      <c r="P86" s="2193"/>
      <c r="Q86" s="2375" t="s">
        <v>838</v>
      </c>
      <c r="R86" s="2193"/>
      <c r="S86" s="2193"/>
      <c r="T86" s="2193"/>
      <c r="U86" s="2193"/>
      <c r="V86" s="2193"/>
      <c r="W86" s="2193"/>
      <c r="X86" s="2193"/>
      <c r="Y86" s="2193"/>
      <c r="Z86" s="2193"/>
    </row>
    <row r="87" spans="1:26" ht="12.75" customHeight="1">
      <c r="A87" s="1059" t="s">
        <v>414</v>
      </c>
      <c r="B87" s="1074" t="s">
        <v>497</v>
      </c>
      <c r="C87" s="264">
        <v>654.35500000000002</v>
      </c>
      <c r="D87" s="1051"/>
      <c r="E87" s="242">
        <v>23.716000000000001</v>
      </c>
      <c r="F87" s="1043"/>
      <c r="G87" s="263">
        <v>5.6340000000000003</v>
      </c>
      <c r="H87" s="152"/>
      <c r="I87" s="1097"/>
      <c r="J87" s="1469"/>
      <c r="K87" s="1093"/>
      <c r="L87" s="1093"/>
      <c r="M87" s="2369">
        <f>(C87-E87)*1000000/J86</f>
        <v>103.71118697562774</v>
      </c>
      <c r="N87" s="2193"/>
      <c r="O87" s="2193"/>
      <c r="P87" s="2193"/>
      <c r="Q87" s="2375" t="s">
        <v>839</v>
      </c>
      <c r="R87" s="2193"/>
      <c r="S87" s="2193"/>
      <c r="T87" s="2193"/>
      <c r="U87" s="2193"/>
      <c r="V87" s="2193"/>
      <c r="W87" s="2193"/>
      <c r="X87" s="2193"/>
      <c r="Y87" s="2193"/>
      <c r="Z87" s="2193"/>
    </row>
    <row r="88" spans="1:26" ht="12.75" customHeight="1">
      <c r="A88" s="1059" t="s">
        <v>415</v>
      </c>
      <c r="B88" s="1074" t="s">
        <v>809</v>
      </c>
      <c r="C88" s="264">
        <v>34.759</v>
      </c>
      <c r="D88" s="1051"/>
      <c r="E88" s="242">
        <v>0.876</v>
      </c>
      <c r="F88" s="1043"/>
      <c r="G88" s="263">
        <v>0.31</v>
      </c>
      <c r="H88" s="152"/>
      <c r="I88" s="1097"/>
      <c r="J88" s="1469"/>
      <c r="K88" s="1093"/>
      <c r="L88" s="1093"/>
      <c r="M88" s="2369">
        <f>(C88-E88)*1000000/J86</f>
        <v>5.5721992269669247</v>
      </c>
      <c r="N88" s="2193"/>
      <c r="O88" s="2193"/>
      <c r="P88" s="2193"/>
      <c r="Q88" s="2375" t="s">
        <v>840</v>
      </c>
      <c r="R88" s="2193"/>
      <c r="S88" s="2193"/>
      <c r="T88" s="2193"/>
      <c r="U88" s="2193"/>
      <c r="V88" s="2193"/>
      <c r="W88" s="2193"/>
      <c r="X88" s="2193"/>
      <c r="Y88" s="2193"/>
      <c r="Z88" s="2193"/>
    </row>
    <row r="89" spans="1:26" ht="15.75" customHeight="1">
      <c r="A89" s="1059" t="s">
        <v>416</v>
      </c>
      <c r="B89" s="1084" t="s">
        <v>729</v>
      </c>
      <c r="C89" s="264">
        <v>3.0459999999999998</v>
      </c>
      <c r="D89" s="1051"/>
      <c r="E89" s="242">
        <v>7.9000000000000001E-2</v>
      </c>
      <c r="F89" s="1043"/>
      <c r="G89" s="263">
        <v>2.7E-2</v>
      </c>
      <c r="H89" s="152"/>
      <c r="I89" s="1098"/>
      <c r="J89" s="1470"/>
      <c r="K89" s="1099"/>
      <c r="L89" s="1099"/>
      <c r="M89" s="2369">
        <f>(C89-E89)*1000000/J86</f>
        <v>0.48793539847153039</v>
      </c>
      <c r="N89" s="2193"/>
      <c r="O89" s="2193"/>
      <c r="P89" s="2193"/>
      <c r="Q89" s="2375" t="s">
        <v>841</v>
      </c>
      <c r="R89" s="2193"/>
      <c r="S89" s="2193"/>
      <c r="T89" s="2193"/>
      <c r="U89" s="2193"/>
      <c r="V89" s="2193"/>
      <c r="W89" s="2193"/>
      <c r="X89" s="2193"/>
      <c r="Y89" s="2193"/>
      <c r="Z89" s="2193"/>
    </row>
    <row r="90" spans="1:26" ht="12.75" customHeight="1">
      <c r="A90" s="1059" t="s">
        <v>417</v>
      </c>
      <c r="B90" s="1076" t="s">
        <v>527</v>
      </c>
      <c r="C90" s="264">
        <v>183.273</v>
      </c>
      <c r="D90" s="1051" t="str">
        <f>IF(C86=0,"",IF(C90&lt;Drift!I60+Drift!J60+Drift!L60,"Kommentera",""))</f>
        <v/>
      </c>
      <c r="E90" s="242">
        <v>0.61499999999999999</v>
      </c>
      <c r="F90" s="1043"/>
      <c r="G90" s="263">
        <v>0.316</v>
      </c>
      <c r="H90" s="152"/>
      <c r="I90" s="2589"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1918"/>
      <c r="K90" s="1918"/>
      <c r="L90" s="2360"/>
      <c r="M90" s="2369">
        <f>(C90-E90)*1000000/J86</f>
        <v>30.038862155043077</v>
      </c>
      <c r="N90" s="2193"/>
      <c r="O90" s="2193"/>
      <c r="P90" s="2193"/>
      <c r="Q90" s="2375" t="s">
        <v>842</v>
      </c>
      <c r="R90" s="2193"/>
      <c r="S90" s="2193"/>
      <c r="T90" s="2193"/>
      <c r="U90" s="2193"/>
      <c r="V90" s="2193"/>
      <c r="W90" s="2193"/>
      <c r="X90" s="2193"/>
      <c r="Y90" s="2193"/>
      <c r="Z90" s="2193"/>
    </row>
    <row r="91" spans="1:26" ht="12.75" customHeight="1">
      <c r="A91" s="1059" t="s">
        <v>418</v>
      </c>
      <c r="B91" s="1074" t="s">
        <v>448</v>
      </c>
      <c r="C91" s="264">
        <v>361.81900000000002</v>
      </c>
      <c r="D91" s="1051"/>
      <c r="E91" s="242">
        <v>169.42400000000001</v>
      </c>
      <c r="F91" s="1043"/>
      <c r="G91" s="263">
        <v>73.287000000000006</v>
      </c>
      <c r="H91" s="152"/>
      <c r="I91" s="2588"/>
      <c r="J91" s="1918"/>
      <c r="K91" s="1918"/>
      <c r="L91" s="2360"/>
      <c r="M91" s="2369">
        <f>(C91+C92-G91)*1000000/J86</f>
        <v>55.233070146428311</v>
      </c>
      <c r="N91" s="2193"/>
      <c r="O91" s="2193"/>
      <c r="P91" s="2193"/>
      <c r="Q91" s="2375" t="s">
        <v>843</v>
      </c>
      <c r="R91" s="2193"/>
      <c r="S91" s="2193"/>
      <c r="T91" s="2193"/>
      <c r="U91" s="2193"/>
      <c r="V91" s="2193"/>
      <c r="W91" s="2193"/>
      <c r="X91" s="2193"/>
      <c r="Y91" s="2193"/>
      <c r="Z91" s="2193"/>
    </row>
    <row r="92" spans="1:26" ht="12.75" customHeight="1">
      <c r="A92" s="1059" t="s">
        <v>419</v>
      </c>
      <c r="B92" s="1088" t="s">
        <v>496</v>
      </c>
      <c r="C92" s="264">
        <v>47.325000000000003</v>
      </c>
      <c r="D92" s="2112" t="str">
        <f>IF(OR(C92 &gt; SUM(Drift!N60+Drift!O60+100), C92 &lt; SUM(Drift!N60+Drift!O60-100)),"Fördelad gemensam verksamhet skiljer sig mot Driftfliken.","")</f>
        <v/>
      </c>
      <c r="E92" s="1051"/>
      <c r="F92" s="1051"/>
      <c r="G92" s="1053"/>
      <c r="H92" s="152"/>
      <c r="I92" s="2588"/>
      <c r="J92" s="1918"/>
      <c r="K92" s="1918"/>
      <c r="L92" s="2360"/>
      <c r="M92" s="2372"/>
      <c r="N92" s="2193"/>
      <c r="O92" s="2193"/>
      <c r="P92" s="2193"/>
      <c r="Q92" s="2378"/>
      <c r="R92" s="2193"/>
      <c r="S92" s="2193"/>
      <c r="T92" s="2193"/>
      <c r="U92" s="2193"/>
      <c r="V92" s="2193"/>
      <c r="W92" s="2193"/>
      <c r="X92" s="2193"/>
      <c r="Y92" s="2193"/>
      <c r="Z92" s="2193"/>
    </row>
    <row r="93" spans="1:26" ht="12.75" customHeight="1">
      <c r="A93" s="1059"/>
      <c r="B93" s="1088" t="s">
        <v>126</v>
      </c>
      <c r="C93" s="1227">
        <f>(C86-SUM(C87:C92)-D86)*-1</f>
        <v>3.0000000001564331E-3</v>
      </c>
      <c r="D93" s="1055"/>
      <c r="E93" s="1228">
        <f>(E86-SUM(E87:E91)-F86-SUM(Motpart!D22+Motpart!E22+Motpart!F22+Motpart!J22)*0.06)*-1</f>
        <v>-5.3999999998666226E-4</v>
      </c>
      <c r="F93" s="1055"/>
      <c r="G93" s="1229">
        <f>(G86-SUM(G87:G91))*-1</f>
        <v>1.4210854715202004E-14</v>
      </c>
      <c r="H93" s="150"/>
      <c r="I93" s="2588"/>
      <c r="J93" s="1918"/>
      <c r="K93" s="1918"/>
      <c r="L93" s="2360"/>
      <c r="M93" s="2372"/>
      <c r="N93" s="2193"/>
      <c r="O93" s="2193"/>
      <c r="P93" s="2193"/>
      <c r="Q93" s="2375" t="s">
        <v>500</v>
      </c>
      <c r="R93" s="2193"/>
      <c r="S93" s="2193"/>
      <c r="T93" s="2193"/>
      <c r="U93" s="2193"/>
      <c r="V93" s="2193"/>
      <c r="W93" s="2193"/>
      <c r="X93" s="2193"/>
      <c r="Y93" s="2193"/>
      <c r="Z93" s="2193"/>
    </row>
    <row r="94" spans="1:26" ht="16.5" customHeight="1" thickBot="1">
      <c r="A94" s="1080"/>
      <c r="B94" s="1081"/>
      <c r="C94" s="1786" t="str">
        <f>IF(ABS(C93)&lt;100,"",IF(C86=0,"C86",IF(ABS(C93/C86)&gt;0.01,"C93")))</f>
        <v/>
      </c>
      <c r="D94" s="1787"/>
      <c r="E94" s="1787" t="str">
        <f>IF(ABS(E93)&lt;100,"",IF(E86=0,"E86",IF(ABS(E93/E86)&gt;0.01,"E93")))</f>
        <v/>
      </c>
      <c r="F94" s="1787"/>
      <c r="G94" s="1788" t="str">
        <f>IF(ABS(G93)&lt;100,"",IF(G86=0,"G86",IF(ABS(G93/G86)&gt;0.01,"G93")))</f>
        <v/>
      </c>
      <c r="H94" s="166"/>
      <c r="I94" s="2590"/>
      <c r="J94" s="1926"/>
      <c r="K94" s="1926"/>
      <c r="L94" s="1926"/>
      <c r="M94" s="2373"/>
      <c r="N94" s="2193"/>
      <c r="O94" s="2193"/>
      <c r="P94" s="2193"/>
      <c r="Q94" s="2377"/>
      <c r="R94" s="2193"/>
      <c r="S94" s="2193"/>
      <c r="T94" s="2193"/>
      <c r="U94" s="2193"/>
      <c r="V94" s="2193"/>
      <c r="W94" s="2193"/>
      <c r="X94" s="2193"/>
      <c r="Y94" s="2193"/>
      <c r="Z94" s="2193"/>
    </row>
    <row r="95" spans="1:26" ht="12.75" customHeight="1">
      <c r="A95" s="1064" t="s">
        <v>420</v>
      </c>
      <c r="B95" s="1073" t="s">
        <v>536</v>
      </c>
      <c r="C95" s="80">
        <f>Drift!P61</f>
        <v>6555.0449999999992</v>
      </c>
      <c r="D95" s="1056">
        <f>SUM(Motpart!D23:L23)</f>
        <v>2217.415</v>
      </c>
      <c r="E95" s="162">
        <f>Drift!W61</f>
        <v>3647.491</v>
      </c>
      <c r="F95" s="81">
        <f>Motpart!Y23</f>
        <v>386.48500000000001</v>
      </c>
      <c r="G95" s="130">
        <f>Drift!V61</f>
        <v>449.27800000000002</v>
      </c>
      <c r="H95" s="153"/>
      <c r="I95" s="1095" t="s">
        <v>528</v>
      </c>
      <c r="J95" s="1466">
        <v>6080723</v>
      </c>
      <c r="K95" s="1096"/>
      <c r="L95" s="1096"/>
      <c r="M95" s="2371">
        <f>SUM(M96:M100)</f>
        <v>624.49021275923928</v>
      </c>
      <c r="N95" s="2193"/>
      <c r="O95" s="2193"/>
      <c r="P95" s="2193"/>
      <c r="Q95" s="2375" t="s">
        <v>838</v>
      </c>
      <c r="R95" s="2193"/>
      <c r="S95" s="2193"/>
      <c r="T95" s="2193"/>
      <c r="U95" s="2193"/>
      <c r="V95" s="2193"/>
      <c r="W95" s="2193"/>
      <c r="X95" s="2193"/>
      <c r="Y95" s="2193"/>
      <c r="Z95" s="2193"/>
    </row>
    <row r="96" spans="1:26" ht="12.75" customHeight="1">
      <c r="A96" s="1059" t="s">
        <v>421</v>
      </c>
      <c r="B96" s="1074" t="s">
        <v>497</v>
      </c>
      <c r="C96" s="264">
        <v>2122.0509999999999</v>
      </c>
      <c r="D96" s="1051"/>
      <c r="E96" s="242">
        <v>167.21600000000001</v>
      </c>
      <c r="F96" s="1043"/>
      <c r="G96" s="263">
        <v>88.757999999999996</v>
      </c>
      <c r="H96" s="152"/>
      <c r="I96" s="1097"/>
      <c r="J96" s="1469"/>
      <c r="K96" s="1093"/>
      <c r="L96" s="1093"/>
      <c r="M96" s="2369">
        <f>(C96-E96)*1000000/J95</f>
        <v>321.48068576713655</v>
      </c>
      <c r="N96" s="2193"/>
      <c r="O96" s="2193"/>
      <c r="P96" s="2193"/>
      <c r="Q96" s="2375" t="s">
        <v>839</v>
      </c>
      <c r="R96" s="2193"/>
      <c r="S96" s="2193"/>
      <c r="T96" s="2193"/>
      <c r="U96" s="2193"/>
      <c r="V96" s="2193"/>
      <c r="W96" s="2193"/>
      <c r="X96" s="2193"/>
      <c r="Y96" s="2193"/>
      <c r="Z96" s="2193"/>
    </row>
    <row r="97" spans="1:26" ht="12.75" customHeight="1">
      <c r="A97" s="1059" t="s">
        <v>422</v>
      </c>
      <c r="B97" s="1074" t="s">
        <v>809</v>
      </c>
      <c r="C97" s="264">
        <v>154.43600000000001</v>
      </c>
      <c r="D97" s="1051"/>
      <c r="E97" s="242">
        <v>13.476000000000001</v>
      </c>
      <c r="F97" s="1043"/>
      <c r="G97" s="263">
        <v>5.2080000000000002</v>
      </c>
      <c r="H97" s="150"/>
      <c r="I97" s="1097"/>
      <c r="J97" s="1469"/>
      <c r="K97" s="1093"/>
      <c r="L97" s="1093"/>
      <c r="M97" s="2369">
        <f>(C97-E97)*1000000/J95</f>
        <v>23.181453915924141</v>
      </c>
      <c r="N97" s="2193"/>
      <c r="O97" s="2193"/>
      <c r="P97" s="2193"/>
      <c r="Q97" s="2375" t="s">
        <v>840</v>
      </c>
      <c r="R97" s="2193"/>
      <c r="S97" s="2193"/>
      <c r="T97" s="2193"/>
      <c r="U97" s="2193"/>
      <c r="V97" s="2193"/>
      <c r="W97" s="2193"/>
      <c r="X97" s="2193"/>
      <c r="Y97" s="2193"/>
      <c r="Z97" s="2193"/>
    </row>
    <row r="98" spans="1:26" ht="14.25" customHeight="1">
      <c r="A98" s="1059" t="s">
        <v>423</v>
      </c>
      <c r="B98" s="1075" t="s">
        <v>729</v>
      </c>
      <c r="C98" s="264">
        <v>10.007999999999999</v>
      </c>
      <c r="D98" s="1051"/>
      <c r="E98" s="242">
        <v>2.8000000000000001E-2</v>
      </c>
      <c r="F98" s="1043"/>
      <c r="G98" s="263">
        <v>0</v>
      </c>
      <c r="H98" s="148"/>
      <c r="I98" s="1098"/>
      <c r="J98" s="1470"/>
      <c r="K98" s="1099"/>
      <c r="L98" s="1099"/>
      <c r="M98" s="2369">
        <f>(C98-E98)*1000000/J95</f>
        <v>1.6412521997795324</v>
      </c>
      <c r="N98" s="2193"/>
      <c r="O98" s="2193"/>
      <c r="P98" s="2193"/>
      <c r="Q98" s="2375" t="s">
        <v>841</v>
      </c>
      <c r="R98" s="2193"/>
      <c r="S98" s="2193"/>
      <c r="T98" s="2193"/>
      <c r="U98" s="2193"/>
      <c r="V98" s="2193"/>
      <c r="W98" s="2193"/>
      <c r="X98" s="2193"/>
      <c r="Y98" s="2193"/>
      <c r="Z98" s="2193"/>
    </row>
    <row r="99" spans="1:26" ht="15" customHeight="1">
      <c r="A99" s="1059" t="s">
        <v>424</v>
      </c>
      <c r="B99" s="1076" t="s">
        <v>527</v>
      </c>
      <c r="C99" s="264">
        <v>509.13600000000002</v>
      </c>
      <c r="D99" s="2141" t="str">
        <f>IF(C95=0,"",IF(C99&lt;Drift!I61+Drift!J61+Drift!L61,"Kommentera",""))</f>
        <v/>
      </c>
      <c r="E99" s="242">
        <v>19.446999999999999</v>
      </c>
      <c r="F99" s="1043"/>
      <c r="G99" s="263">
        <v>15.196</v>
      </c>
      <c r="H99" s="152"/>
      <c r="I99" s="2581"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1927"/>
      <c r="K99" s="1927"/>
      <c r="L99" s="2361"/>
      <c r="M99" s="2369">
        <f>(C99-E99)*1000000/J95</f>
        <v>80.531377600985934</v>
      </c>
      <c r="N99" s="2193"/>
      <c r="O99" s="2193"/>
      <c r="P99" s="2193"/>
      <c r="Q99" s="2375" t="s">
        <v>842</v>
      </c>
      <c r="R99" s="2193"/>
      <c r="S99" s="2193"/>
      <c r="T99" s="2193"/>
      <c r="U99" s="2193"/>
      <c r="V99" s="2193"/>
      <c r="W99" s="2193"/>
      <c r="X99" s="2193"/>
      <c r="Y99" s="2193"/>
      <c r="Z99" s="2193"/>
    </row>
    <row r="100" spans="1:26" ht="12.75" customHeight="1">
      <c r="A100" s="1059" t="s">
        <v>425</v>
      </c>
      <c r="B100" s="1074" t="s">
        <v>448</v>
      </c>
      <c r="C100" s="264">
        <v>1390.7190000000001</v>
      </c>
      <c r="D100" s="1051"/>
      <c r="E100" s="242">
        <v>2973.6610000000001</v>
      </c>
      <c r="F100" s="1043"/>
      <c r="G100" s="263">
        <v>340.11599999999999</v>
      </c>
      <c r="H100" s="150"/>
      <c r="I100" s="2582"/>
      <c r="J100" s="1927"/>
      <c r="K100" s="1927"/>
      <c r="L100" s="2361"/>
      <c r="M100" s="2369">
        <f>(C100+C101-G100)*1000000/J95</f>
        <v>197.65544327541318</v>
      </c>
      <c r="N100" s="2193"/>
      <c r="O100" s="2193"/>
      <c r="P100" s="2193"/>
      <c r="Q100" s="2375" t="s">
        <v>843</v>
      </c>
      <c r="R100" s="2193"/>
      <c r="S100" s="2193"/>
      <c r="T100" s="2193"/>
      <c r="U100" s="2193"/>
      <c r="V100" s="2193"/>
      <c r="W100" s="2193"/>
      <c r="X100" s="2193"/>
      <c r="Y100" s="2193"/>
      <c r="Z100" s="2193"/>
    </row>
    <row r="101" spans="1:26" ht="19.5" customHeight="1">
      <c r="A101" s="1059" t="s">
        <v>426</v>
      </c>
      <c r="B101" s="1074" t="s">
        <v>496</v>
      </c>
      <c r="C101" s="264">
        <v>151.285</v>
      </c>
      <c r="D101" s="2112" t="str">
        <f>IF(OR(C101 &gt; SUM(Drift!N61+Drift!O61+100), C101 &lt; SUM(Drift!N61+Drift!O61-100)),"Fördelad gemensam verksamhet skiljer sig mot Driftfliken.","")</f>
        <v/>
      </c>
      <c r="E101" s="1051"/>
      <c r="F101" s="1051"/>
      <c r="G101" s="1053"/>
      <c r="H101" s="150"/>
      <c r="I101" s="2582"/>
      <c r="J101" s="1927"/>
      <c r="K101" s="1927"/>
      <c r="L101" s="2361"/>
      <c r="M101" s="2372">
        <f>(((M95*J95/1000000)+D95-F95+((M86*J86/1000000)+D86-F86)))/(J86)*1000000</f>
        <v>1183.1430242752383</v>
      </c>
      <c r="N101" s="2193"/>
      <c r="O101" s="2193"/>
      <c r="P101" s="2193"/>
      <c r="Q101" s="2375" t="s">
        <v>844</v>
      </c>
      <c r="R101" s="2193"/>
      <c r="S101" s="2193"/>
      <c r="T101" s="2193"/>
      <c r="U101" s="2193"/>
      <c r="V101" s="2193"/>
      <c r="W101" s="2193"/>
      <c r="X101" s="2193"/>
      <c r="Y101" s="2193"/>
      <c r="Z101" s="2193"/>
    </row>
    <row r="102" spans="1:26" ht="15" customHeight="1">
      <c r="A102" s="1774"/>
      <c r="B102" s="1775" t="s">
        <v>126</v>
      </c>
      <c r="C102" s="1776">
        <f>(C95-SUM(C96:C101)-D95)*-1</f>
        <v>5.0000000010186341E-3</v>
      </c>
      <c r="D102" s="1039"/>
      <c r="E102" s="1777">
        <f>(E95-SUM(E96:E100)-F95-SUM(Motpart!D23+Motpart!E23+Motpart!F23+Motpart!J23)*0.06)*-1</f>
        <v>8.600000000029695E-4</v>
      </c>
      <c r="F102" s="1039"/>
      <c r="G102" s="1778">
        <f>(G95-SUM(G96:G100))*-1</f>
        <v>-5.6843418860808015E-14</v>
      </c>
      <c r="H102" s="1291"/>
      <c r="I102" s="2582"/>
      <c r="J102" s="1918"/>
      <c r="K102" s="1918"/>
      <c r="L102" s="2360"/>
      <c r="M102" s="2372"/>
      <c r="N102" s="2193"/>
      <c r="O102" s="2193"/>
      <c r="P102" s="2193"/>
      <c r="Q102" s="2375" t="s">
        <v>501</v>
      </c>
      <c r="R102" s="2193"/>
      <c r="S102" s="2193"/>
      <c r="T102" s="2193"/>
      <c r="U102" s="2193"/>
      <c r="V102" s="2193"/>
      <c r="W102" s="2193"/>
      <c r="X102" s="2193"/>
      <c r="Y102" s="2193"/>
      <c r="Z102" s="2193"/>
    </row>
    <row r="103" spans="1:26" ht="12.75" customHeight="1" thickBot="1">
      <c r="A103" s="1779"/>
      <c r="B103" s="1780"/>
      <c r="C103" s="1782" t="str">
        <f>IF(ABS(C102)&lt;100,"",IF(C95=0,"C95",IF(ABS(C102/C95)&gt;0.01,"C102")))</f>
        <v/>
      </c>
      <c r="D103" s="1783"/>
      <c r="E103" s="1784" t="str">
        <f>IF(ABS(E102)&lt;100,"",IF(E95=0,"E95",IF(ABS(E102/E95)&gt;0.01,"E102")))</f>
        <v/>
      </c>
      <c r="F103" s="1783"/>
      <c r="G103" s="1785" t="str">
        <f>IF(ABS(G102)&lt;100,"",IF(G95=0,"G95",IF(ABS(G102/G95)&gt;0.01,"G102")))</f>
        <v/>
      </c>
      <c r="H103" s="1781"/>
      <c r="I103" s="1919"/>
      <c r="J103" s="1919"/>
      <c r="K103" s="1919"/>
      <c r="L103" s="1919"/>
      <c r="M103" s="2374"/>
      <c r="N103" s="2193"/>
      <c r="O103" s="2193"/>
      <c r="P103" s="2193"/>
      <c r="Q103" s="2379"/>
      <c r="R103" s="2193"/>
      <c r="S103" s="2193"/>
      <c r="T103" s="2193"/>
      <c r="U103" s="2193"/>
      <c r="V103" s="2193"/>
      <c r="W103" s="2193"/>
      <c r="X103" s="2193"/>
      <c r="Y103" s="2193"/>
      <c r="Z103" s="2193"/>
    </row>
    <row r="104" spans="1:26" ht="13.5" thickTop="1">
      <c r="A104" s="141"/>
      <c r="B104" s="254"/>
      <c r="C104" s="255"/>
      <c r="D104" s="255"/>
      <c r="E104" s="255"/>
      <c r="F104" s="255"/>
      <c r="G104" s="255"/>
      <c r="H104" s="256"/>
      <c r="I104" s="255"/>
      <c r="J104" s="255"/>
      <c r="K104" s="255"/>
      <c r="L104" s="215"/>
      <c r="M104" s="257"/>
      <c r="N104" s="257"/>
      <c r="O104" s="257"/>
      <c r="P104" s="258"/>
      <c r="Q104" s="259"/>
      <c r="R104" s="2193"/>
      <c r="S104" s="2193"/>
      <c r="T104" s="2193"/>
      <c r="U104" s="2193"/>
      <c r="V104" s="2193"/>
      <c r="W104" s="2193"/>
      <c r="X104" s="2193"/>
      <c r="Y104" s="2193"/>
      <c r="Z104" s="2193"/>
    </row>
  </sheetData>
  <sheetProtection algorithmName="SHA-512" hashValue="a2by8cSr0A5CB6rm5iRNhlhvS4eHeL+1gfyijENV11QOmqyJAG7pDLHIrM7nMm4oglwx7zVvS0bVwAgNTieGaA==" saltValue="6BPgSo4kTekGQ/hyE0Zdbg==" spinCount="100000" sheet="1" objects="1" scenarios="1"/>
  <customSheetViews>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1"/>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3"/>
      <headerFooter alignWithMargins="0"/>
    </customSheetView>
  </customSheetViews>
  <mergeCells count="13">
    <mergeCell ref="IV6:IV7"/>
    <mergeCell ref="Q4:Q7"/>
    <mergeCell ref="M4:M6"/>
    <mergeCell ref="D5:D7"/>
    <mergeCell ref="F5:F7"/>
    <mergeCell ref="G5:G7"/>
    <mergeCell ref="I4:L5"/>
    <mergeCell ref="I99:I102"/>
    <mergeCell ref="I38:I42"/>
    <mergeCell ref="I51:I55"/>
    <mergeCell ref="I65:I69"/>
    <mergeCell ref="I79:I83"/>
    <mergeCell ref="I90:I94"/>
  </mergeCells>
  <phoneticPr fontId="88" type="noConversion"/>
  <conditionalFormatting sqref="G32:G38 G45:G51 G59:G65 G73:G79 G87:G91 G96:G100">
    <cfRule type="expression" dxfId="64" priority="82" stopIfTrue="1">
      <formula>G32&gt;E32</formula>
    </cfRule>
  </conditionalFormatting>
  <conditionalFormatting sqref="G11 G19 G27 G32:G38 G45:G51 G59:G65">
    <cfRule type="expression" dxfId="63" priority="81" stopIfTrue="1">
      <formula>G11&gt;E11</formula>
    </cfRule>
  </conditionalFormatting>
  <conditionalFormatting sqref="G46:G51">
    <cfRule type="expression" dxfId="62" priority="70" stopIfTrue="1">
      <formula>G46&gt;E46</formula>
    </cfRule>
  </conditionalFormatting>
  <conditionalFormatting sqref="E53">
    <cfRule type="expression" dxfId="61" priority="39" stopIfTrue="1">
      <formula>ABS(E53/E43)&gt;0.03</formula>
    </cfRule>
  </conditionalFormatting>
  <conditionalFormatting sqref="G27">
    <cfRule type="expression" dxfId="60" priority="11" stopIfTrue="1">
      <formula>G27&gt;G24</formula>
    </cfRule>
    <cfRule type="expression" dxfId="59" priority="45" stopIfTrue="1">
      <formula>G27&gt;E27</formula>
    </cfRule>
  </conditionalFormatting>
  <conditionalFormatting sqref="G19">
    <cfRule type="expression" dxfId="58" priority="19" stopIfTrue="1">
      <formula>G19&gt;G16</formula>
    </cfRule>
    <cfRule type="expression" dxfId="57" priority="44" stopIfTrue="1">
      <formula>G19&gt;E19</formula>
    </cfRule>
  </conditionalFormatting>
  <conditionalFormatting sqref="C40">
    <cfRule type="expression" dxfId="56" priority="42" stopIfTrue="1">
      <formula>ABS(C40/C31)&gt;0.03</formula>
    </cfRule>
  </conditionalFormatting>
  <conditionalFormatting sqref="E40">
    <cfRule type="expression" dxfId="55" priority="41" stopIfTrue="1">
      <formula>ABS(E40/E31)&gt;0.03</formula>
    </cfRule>
  </conditionalFormatting>
  <conditionalFormatting sqref="G40">
    <cfRule type="expression" dxfId="54" priority="40" stopIfTrue="1">
      <formula>ABS(G40/G31)&gt;0.03</formula>
    </cfRule>
  </conditionalFormatting>
  <conditionalFormatting sqref="G53">
    <cfRule type="expression" dxfId="53" priority="38" stopIfTrue="1">
      <formula>ABS(G53/G43)&gt;0.03</formula>
    </cfRule>
  </conditionalFormatting>
  <conditionalFormatting sqref="C53">
    <cfRule type="expression" dxfId="52" priority="37" stopIfTrue="1">
      <formula>ABS(C53/C44)&gt;0.03</formula>
    </cfRule>
  </conditionalFormatting>
  <conditionalFormatting sqref="C67">
    <cfRule type="expression" dxfId="51" priority="36" stopIfTrue="1">
      <formula>ABS(C67/C57)&gt;0.03</formula>
    </cfRule>
  </conditionalFormatting>
  <conditionalFormatting sqref="E67">
    <cfRule type="expression" dxfId="50" priority="35" stopIfTrue="1">
      <formula>ABS(E67/E57)&gt;0.03</formula>
    </cfRule>
  </conditionalFormatting>
  <conditionalFormatting sqref="G67">
    <cfRule type="expression" dxfId="49" priority="34" stopIfTrue="1">
      <formula>ABS(G67/G57)&gt;0.03</formula>
    </cfRule>
  </conditionalFormatting>
  <conditionalFormatting sqref="C81">
    <cfRule type="expression" dxfId="48" priority="33" stopIfTrue="1">
      <formula>ABS(C81/C71)&gt;0.03</formula>
    </cfRule>
  </conditionalFormatting>
  <conditionalFormatting sqref="E81">
    <cfRule type="expression" dxfId="47" priority="32" stopIfTrue="1">
      <formula>ABS(E81/E71)&gt;0.03</formula>
    </cfRule>
  </conditionalFormatting>
  <conditionalFormatting sqref="G81">
    <cfRule type="expression" dxfId="46" priority="31" stopIfTrue="1">
      <formula>ABS(G81/G71)&gt;0.03</formula>
    </cfRule>
  </conditionalFormatting>
  <conditionalFormatting sqref="C93">
    <cfRule type="expression" dxfId="45" priority="30" stopIfTrue="1">
      <formula>ABS(C93/C85)&gt;0.03</formula>
    </cfRule>
  </conditionalFormatting>
  <conditionalFormatting sqref="E93">
    <cfRule type="expression" dxfId="44" priority="29" stopIfTrue="1">
      <formula>ABS(E93/E85)&gt;0.03</formula>
    </cfRule>
  </conditionalFormatting>
  <conditionalFormatting sqref="G93">
    <cfRule type="expression" dxfId="43" priority="28" stopIfTrue="1">
      <formula>ABS(G93/G85)&gt;0.03</formula>
    </cfRule>
  </conditionalFormatting>
  <conditionalFormatting sqref="C102:C103">
    <cfRule type="expression" dxfId="42" priority="27" stopIfTrue="1">
      <formula>ABS(C102/C94)&gt;0.03</formula>
    </cfRule>
  </conditionalFormatting>
  <conditionalFormatting sqref="E102:E103">
    <cfRule type="expression" dxfId="41" priority="26" stopIfTrue="1">
      <formula>ABS(E102/E94)&gt;0.03</formula>
    </cfRule>
  </conditionalFormatting>
  <conditionalFormatting sqref="G102:G103">
    <cfRule type="expression" dxfId="40" priority="25" stopIfTrue="1">
      <formula>ABS(G102/G94)&gt;0.03</formula>
    </cfRule>
  </conditionalFormatting>
  <conditionalFormatting sqref="C11 E11 E13 G11 G19 E21 E19 C19 C27 E27 G27 C32:C39 E32:E38 G32:G38 C45:C52 E45:E51 G45:G51 C59:C66 E59:E65 G59:G65 C73:C80 E73:E79 G73:G79 C87:C92 E87:E91 G87:G91 C96:C101 E96:E100 G96:G100">
    <cfRule type="cellIs" dxfId="39" priority="23" stopIfTrue="1" operator="lessThan">
      <formula>-500</formula>
    </cfRule>
  </conditionalFormatting>
  <conditionalFormatting sqref="C19">
    <cfRule type="expression" dxfId="38" priority="21" stopIfTrue="1">
      <formula>C19&gt;C16</formula>
    </cfRule>
  </conditionalFormatting>
  <conditionalFormatting sqref="E19">
    <cfRule type="expression" dxfId="37" priority="20" stopIfTrue="1">
      <formula>E19&gt;E16</formula>
    </cfRule>
  </conditionalFormatting>
  <conditionalFormatting sqref="C11">
    <cfRule type="expression" dxfId="36" priority="18" stopIfTrue="1">
      <formula>C11&gt;C8</formula>
    </cfRule>
  </conditionalFormatting>
  <conditionalFormatting sqref="E11">
    <cfRule type="expression" dxfId="35" priority="17" stopIfTrue="1">
      <formula>E11&gt;E8</formula>
    </cfRule>
  </conditionalFormatting>
  <conditionalFormatting sqref="G11">
    <cfRule type="expression" dxfId="34" priority="16" stopIfTrue="1">
      <formula>G11&gt;G8</formula>
    </cfRule>
  </conditionalFormatting>
  <conditionalFormatting sqref="E13">
    <cfRule type="expression" dxfId="33" priority="15" stopIfTrue="1">
      <formula>E13&gt;E12</formula>
    </cfRule>
  </conditionalFormatting>
  <conditionalFormatting sqref="E21">
    <cfRule type="expression" dxfId="32" priority="14" stopIfTrue="1">
      <formula>E21&gt;E20</formula>
    </cfRule>
  </conditionalFormatting>
  <conditionalFormatting sqref="C27">
    <cfRule type="expression" dxfId="31" priority="13" stopIfTrue="1">
      <formula>C27&gt;C24</formula>
    </cfRule>
  </conditionalFormatting>
  <conditionalFormatting sqref="E27">
    <cfRule type="expression" dxfId="30" priority="12" stopIfTrue="1">
      <formula>E27&gt;E24</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extLst>
    <ext xmlns:x14="http://schemas.microsoft.com/office/spreadsheetml/2009/9/main" uri="{78C0D931-6437-407d-A8EE-F0AAD7539E65}">
      <x14:conditionalFormattings>
        <x14:conditionalFormatting xmlns:xm="http://schemas.microsoft.com/office/excel/2006/main">
          <x14:cfRule type="expression" priority="7"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6" id="{468A7900-2D84-423B-9B3F-94D8EAA45899}">
            <xm:f>SUM(E65-G65+100)&lt;Motpart!AA20</xm:f>
            <x14:dxf>
              <font>
                <b val="0"/>
                <i val="0"/>
                <color auto="1"/>
              </font>
              <fill>
                <patternFill>
                  <bgColor theme="9" tint="0.59996337778862885"/>
                </patternFill>
              </fill>
            </x14:dxf>
          </x14:cfRule>
          <xm:sqref>I65:I69</xm:sqref>
        </x14:conditionalFormatting>
        <x14:conditionalFormatting xmlns:xm="http://schemas.microsoft.com/office/excel/2006/main">
          <x14:cfRule type="expression" priority="5" id="{4F84AA19-49AA-46E8-9ADE-79F22FCE6F07}">
            <xm:f>SUM(E79-G79+100)&lt;Motpart!AA21</xm:f>
            <x14:dxf>
              <font>
                <b val="0"/>
                <i val="0"/>
                <color auto="1"/>
              </font>
              <fill>
                <patternFill>
                  <bgColor theme="9" tint="0.59996337778862885"/>
                </patternFill>
              </fill>
            </x14:dxf>
          </x14:cfRule>
          <xm:sqref>I79:I83</xm:sqref>
        </x14:conditionalFormatting>
        <x14:conditionalFormatting xmlns:xm="http://schemas.microsoft.com/office/excel/2006/main">
          <x14:cfRule type="expression" priority="4" id="{FE6AF082-1113-4046-BE7C-F09FCD0440EC}">
            <xm:f>SUM(E91-G91+100)&lt;Motpart!AA22</xm:f>
            <x14:dxf>
              <font>
                <b val="0"/>
                <i val="0"/>
                <color auto="1"/>
              </font>
              <fill>
                <patternFill>
                  <bgColor theme="9" tint="0.59996337778862885"/>
                </patternFill>
              </fill>
            </x14:dxf>
          </x14:cfRule>
          <xm:sqref>I90:I94</xm:sqref>
        </x14:conditionalFormatting>
        <x14:conditionalFormatting xmlns:xm="http://schemas.microsoft.com/office/excel/2006/main">
          <x14:cfRule type="expression" priority="2" id="{AA617564-E5DF-4D7E-8EA7-BE3A8CD251A2}">
            <xm:f>SUM(E100-G100+100)&lt;Motpart!AA23</xm:f>
            <x14:dxf>
              <font>
                <color auto="1"/>
              </font>
              <fill>
                <patternFill>
                  <bgColor theme="9" tint="0.59996337778862885"/>
                </patternFill>
              </fill>
            </x14:dxf>
          </x14:cfRule>
          <xm:sqref>I99:I101</xm:sqref>
        </x14:conditionalFormatting>
        <x14:conditionalFormatting xmlns:xm="http://schemas.microsoft.com/office/excel/2006/main">
          <x14:cfRule type="expression" priority="1" id="{917F4404-C110-4D85-A7BD-AEA4F7FA6FA8}">
            <xm:f>SUM(E38-G38+100)&lt;Motpart!AA18</xm:f>
            <x14:dxf>
              <fill>
                <patternFill>
                  <bgColor theme="9" tint="0.59996337778862885"/>
                </patternFill>
              </fill>
            </x14:dxf>
          </x14:cfRule>
          <xm:sqref>I38:I42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94</vt:i4>
      </vt:variant>
    </vt:vector>
  </HeadingPairs>
  <TitlesOfParts>
    <vt:vector size="105"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Köp_huvudvht</vt:lpstr>
      <vt:lpstr>LSS</vt:lpstr>
      <vt:lpstr>Pvchef</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Manager/>
  <Company>SCB - Statistikmyndigheten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 Kommun 2023</dc:title>
  <dc:subject>Räkenskapssammandrag för kommuner</dc:subject>
  <dc:creator>SCB</dc:creator>
  <dc:description>RIKSTOTAL</dc:description>
  <cp:lastModifiedBy>Glanzelius Marie ESA/BFN/OE-Ö</cp:lastModifiedBy>
  <cp:lastPrinted>2024-06-11T07:28:24Z</cp:lastPrinted>
  <dcterms:created xsi:type="dcterms:W3CDTF">2024-06-11T07:28:24Z</dcterms:created>
  <dcterms:modified xsi:type="dcterms:W3CDTF">2024-06-11T08:51:40Z</dcterms:modified>
</cp:coreProperties>
</file>