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P:\Prod\Webpub\oe0107\2018-08-31\"/>
    </mc:Choice>
  </mc:AlternateContent>
  <workbookProtection workbookPassword="CBFD" lockStructure="1"/>
  <bookViews>
    <workbookView xWindow="0" yWindow="2805" windowWidth="12285" windowHeight="2190" tabRatio="806" activeTab="9"/>
  </bookViews>
  <sheets>
    <sheet name="Kn Information" sheetId="2" r:id="rId1"/>
    <sheet name="RR" sheetId="3" r:id="rId2"/>
    <sheet name="BR" sheetId="4" r:id="rId3"/>
    <sheet name="Verks int o kostn" sheetId="5" r:id="rId4"/>
    <sheet name="Skatter, bidrag o fin poster" sheetId="6" r:id="rId5"/>
    <sheet name="Investeringar" sheetId="7" r:id="rId6"/>
    <sheet name="Drift" sheetId="8" r:id="rId7"/>
    <sheet name="Motpart" sheetId="9" r:id="rId8"/>
    <sheet name="Pedagogisk verksamhet" sheetId="10" r:id="rId9"/>
    <sheet name="Äldre o personer funktionsn" sheetId="11" r:id="rId10"/>
    <sheet name="IFO" sheetId="12" r:id="rId11"/>
    <sheet name="Felkontroll" sheetId="16" state="hidden" r:id="rId12"/>
  </sheets>
  <definedNames>
    <definedName name="_GoBack" localSheetId="4">'Skatter, bidrag o fin poster'!$C$9</definedName>
    <definedName name="_HSL1">#REF!</definedName>
    <definedName name="_HSL2">#REF!</definedName>
    <definedName name="Affärsverksamhet">Drift!$Z$91</definedName>
    <definedName name="Balanskravsutredningen">RR!$G$30</definedName>
    <definedName name="Barn_o_ungdomsvård">IFO!$P$22</definedName>
    <definedName name="Barnomsorg">Drift!$Z$44</definedName>
    <definedName name="Bidrag_o_transfer.">Motpart!$N$47</definedName>
    <definedName name="Block_1">Drift!$Z$11</definedName>
    <definedName name="Block_2">Drift!$Z$18</definedName>
    <definedName name="Block_3">Drift!$Z$31</definedName>
    <definedName name="Block_6">Drift!$Z$86</definedName>
    <definedName name="BR">BR!$A$88</definedName>
    <definedName name="Datum">"2015-10-16"</definedName>
    <definedName name="Datumföre">"2016-10-17"</definedName>
    <definedName name="Drift">Drift!$A$117</definedName>
    <definedName name="EKchef">'Kn Information'!$B$16</definedName>
    <definedName name="Ekcheftel">'Kn Information'!$C$16</definedName>
    <definedName name="Epost1RS">'Kn Information'!$D$14</definedName>
    <definedName name="Epost2RS">'Kn Information'!$D$15</definedName>
    <definedName name="Epostaldre">'Kn Information'!$D$31</definedName>
    <definedName name="EpostAO">'Kn Information'!$D$32</definedName>
    <definedName name="EpostEkchef">'Kn Information'!$D$16</definedName>
    <definedName name="Epostforskola">'Kn Information'!$D$22</definedName>
    <definedName name="Epostgrund">'Kn Information'!$D$23</definedName>
    <definedName name="Epostgymn">'Kn Information'!$D$24</definedName>
    <definedName name="Eposthandik">'Kn Information'!$D$33</definedName>
    <definedName name="Epostifo">'Kn Information'!$D$34</definedName>
    <definedName name="EpostPV">'Kn Information'!$D$21</definedName>
    <definedName name="epostpvchef">'Kn Information'!$D$26</definedName>
    <definedName name="epostvochef">'Kn Information'!$D$35</definedName>
    <definedName name="Epostvux">'Kn Information'!$D$25</definedName>
    <definedName name="Extraordinära_RR">RR!$G$16</definedName>
    <definedName name="Familjerätt">IFO!$P$33</definedName>
    <definedName name="Fritidshem">'Pedagogisk verksamhet'!$R$17</definedName>
    <definedName name="Funktionsnedsättning">'Äldre o personer funktionsn'!$T$22</definedName>
    <definedName name="Förskola">'Pedagogisk verksamhet'!$R$9</definedName>
    <definedName name="Förskoleklass">'Pedagogisk verksamhet'!$R$25</definedName>
    <definedName name="Förändring_anläggningstillgångar">Investeringar!$I$16</definedName>
    <definedName name="Grundskola">'Pedagogisk verksamhet'!$R$32</definedName>
    <definedName name="Grundsärskola">'Pedagogisk verksamhet'!$R$45</definedName>
    <definedName name="Grundvux">'Pedagogisk verksamhet'!$R$87</definedName>
    <definedName name="Gymnasieskola">'Pedagogisk verksamhet'!$R$59</definedName>
    <definedName name="Gymnasiesärskola">'Pedagogisk verksamhet'!$R$73</definedName>
    <definedName name="Gymnvux">'Pedagogisk verksamhet'!$R$96</definedName>
    <definedName name="inv19_64">1</definedName>
    <definedName name="inv7_15">'Kn Information'!$B$5</definedName>
    <definedName name="invanare">'Kn Information'!$B$4</definedName>
    <definedName name="Investeringar">Investeringar!$G$68</definedName>
    <definedName name="Invånare">'Kn Information'!$B$4</definedName>
    <definedName name="Jämförelsestörande_poster">RR!$G$23</definedName>
    <definedName name="Kontaktpers1RS">'Kn Information'!$B$14</definedName>
    <definedName name="Kontaktpers2RS">'Kn Information'!$B$15</definedName>
    <definedName name="Kontaktpersaldre">'Kn Information'!$B$32</definedName>
    <definedName name="KontaktpersAO">'Kn Information'!$B$31</definedName>
    <definedName name="Kontaktpersforskola">'Kn Information'!$B$22</definedName>
    <definedName name="Kontaktpersgrund">'Kn Information'!$B$23</definedName>
    <definedName name="Kontaktpersgymn">'Kn Information'!$B$24</definedName>
    <definedName name="Kontaktpershandik">'Kn Information'!$B$33</definedName>
    <definedName name="Kontaktpersifo">'Kn Information'!$B$34</definedName>
    <definedName name="KontaktpersPV">'Kn Information'!$B$21</definedName>
    <definedName name="Kontaktpersvux">'Kn Information'!$B$25</definedName>
    <definedName name="Kontakttel1RS">'Kn Information'!$C$14</definedName>
    <definedName name="Kontakttel2RS">'Kn Information'!$C$15</definedName>
    <definedName name="Kontakttelaldre">'Kn Information'!$C$32</definedName>
    <definedName name="KontakttelAO">'Kn Information'!$C$31</definedName>
    <definedName name="Kontakttelforskola">'Kn Information'!$C$22</definedName>
    <definedName name="Kontakttelgrund">'Kn Information'!$C$23</definedName>
    <definedName name="Kontakttelgymn">'Kn Information'!$C$24</definedName>
    <definedName name="Kontakttelhandik">'Kn Information'!$C$33</definedName>
    <definedName name="Kontakttelifo">'Kn Information'!$C$34</definedName>
    <definedName name="Kontakttelpv">'Kn Information'!$C$21</definedName>
    <definedName name="Kontakttelpvchef">'Kn Information'!$C$26</definedName>
    <definedName name="Kontakttelvux">'Kn Information'!$C$25</definedName>
    <definedName name="Kontakttevochef">'Kn Information'!$C$35</definedName>
    <definedName name="Kontrollblad_1">#REF!</definedName>
    <definedName name="Kontrollblad_10">#REF!</definedName>
    <definedName name="Kontrollblad_11">#REF!</definedName>
    <definedName name="Kontrollblad_12">#REF!</definedName>
    <definedName name="Kontrollblad_13">#REF!</definedName>
    <definedName name="Kontrollblad_14">#REF!</definedName>
    <definedName name="Kontrollblad_2">#REF!</definedName>
    <definedName name="Kontrollblad_3">#REF!</definedName>
    <definedName name="Kontrollblad_4">#REF!</definedName>
    <definedName name="Kontrollblad_5">#REF!</definedName>
    <definedName name="Kontrollblad_6">#REF!</definedName>
    <definedName name="Kontrollblad_7">#REF!</definedName>
    <definedName name="Kontrollblad_8">#REF!</definedName>
    <definedName name="Kontrollblad_9">#REF!</definedName>
    <definedName name="Köp_huvudvht">Motpart!$C$47</definedName>
    <definedName name="LSS">'Äldre o personer funktionsn'!$T$32</definedName>
    <definedName name="Pvchef">'Kn Information'!$B$26</definedName>
    <definedName name="Skatter_bidrag_finpost">'Skatter, bidrag o fin poster'!$H$35</definedName>
    <definedName name="solver_cvg" localSheetId="5" hidden="1">0.0001</definedName>
    <definedName name="solver_drv" localSheetId="5" hidden="1">1</definedName>
    <definedName name="solver_est" localSheetId="5" hidden="1">1</definedName>
    <definedName name="solver_itr" localSheetId="5" hidden="1">100</definedName>
    <definedName name="solver_lin" localSheetId="5" hidden="1">2</definedName>
    <definedName name="solver_neg" localSheetId="5" hidden="1">2</definedName>
    <definedName name="solver_num" localSheetId="5" hidden="1">0</definedName>
    <definedName name="solver_nwt" localSheetId="5" hidden="1">1</definedName>
    <definedName name="solver_opt" localSheetId="5" hidden="1">Investeringar!$D$22</definedName>
    <definedName name="solver_pre" localSheetId="5" hidden="1">0.000001</definedName>
    <definedName name="solver_scl" localSheetId="5" hidden="1">2</definedName>
    <definedName name="solver_sho" localSheetId="5" hidden="1">2</definedName>
    <definedName name="solver_tim" localSheetId="5" hidden="1">100</definedName>
    <definedName name="solver_tol" localSheetId="5" hidden="1">0.05</definedName>
    <definedName name="solver_typ" localSheetId="5" hidden="1">1</definedName>
    <definedName name="solver_val" localSheetId="5" hidden="1">0</definedName>
    <definedName name="Spec_intäkter">Motpart!$Y$47</definedName>
    <definedName name="Spec_VoO">'Äldre o personer funktionsn'!$R$46</definedName>
    <definedName name="Tillägg_1_Invest">Investeringar!$G$81</definedName>
    <definedName name="Tillägg_2_Invest">Investeringar!$G$97</definedName>
    <definedName name="Utbildning">Drift!$Z$52</definedName>
    <definedName name="_xlnm.Print_Area" localSheetId="6">Drift!$A$1:$AH$126</definedName>
    <definedName name="_xlnm.Print_Area" localSheetId="5">Investeringar!$A$1:$M$104</definedName>
    <definedName name="_xlnm.Print_Area" localSheetId="0">'Kn Information'!$A$1:$E$50</definedName>
    <definedName name="_xlnm.Print_Area" localSheetId="7">Motpart!$A$1:$AD$51</definedName>
    <definedName name="_xlnm.Print_Area" localSheetId="1">RR!$A$1:$K$56</definedName>
    <definedName name="_xlnm.Print_Area" localSheetId="9">'Äldre o personer funktionsn'!$A$1:$U$59</definedName>
    <definedName name="_xlnm.Print_Titles" localSheetId="6">Drift!$A:$B,Drift!$1:$10</definedName>
    <definedName name="_xlnm.Print_Titles" localSheetId="7">Motpart!$A:$B,Motpart!$1:$8</definedName>
    <definedName name="Vht_int">'Verks int o kostn'!$F$34</definedName>
    <definedName name="Vht_kostn">'Verks int o kostn'!$F$76</definedName>
    <definedName name="VOchef">'Kn Information'!$B$35</definedName>
    <definedName name="Vuxna_missb.">IFO!$P$13</definedName>
    <definedName name="Z_27C9E95B_0E2B_454F_B637_1CECC9579A10_.wvu.Cols" localSheetId="6" hidden="1">Drift!$AG:$IV</definedName>
    <definedName name="Z_27C9E95B_0E2B_454F_B637_1CECC9579A10_.wvu.Cols" localSheetId="10" hidden="1">IFO!#REF!</definedName>
    <definedName name="Z_27C9E95B_0E2B_454F_B637_1CECC9579A10_.wvu.Cols" localSheetId="5" hidden="1">Investeringar!$M:$IV</definedName>
    <definedName name="Z_27C9E95B_0E2B_454F_B637_1CECC9579A10_.wvu.Cols" localSheetId="0" hidden="1">'Kn Information'!$F:$IV</definedName>
    <definedName name="Z_27C9E95B_0E2B_454F_B637_1CECC9579A10_.wvu.Cols" localSheetId="7" hidden="1">Motpart!$AE:$IV</definedName>
    <definedName name="Z_27C9E95B_0E2B_454F_B637_1CECC9579A10_.wvu.Cols" localSheetId="8" hidden="1">'Pedagogisk verksamhet'!$H:$H,'Pedagogisk verksamhet'!$Y:$IV</definedName>
    <definedName name="Z_27C9E95B_0E2B_454F_B637_1CECC9579A10_.wvu.Cols" localSheetId="1" hidden="1">RR!$L:$IV</definedName>
    <definedName name="Z_27C9E95B_0E2B_454F_B637_1CECC9579A10_.wvu.Cols" localSheetId="4" hidden="1">'Skatter, bidrag o fin poster'!$U:$IV</definedName>
    <definedName name="Z_27C9E95B_0E2B_454F_B637_1CECC9579A10_.wvu.Cols" localSheetId="9" hidden="1">'Äldre o personer funktionsn'!$V:$IV</definedName>
    <definedName name="Z_27C9E95B_0E2B_454F_B637_1CECC9579A10_.wvu.Rows" localSheetId="2" hidden="1">BR!$94:$65536,BR!#REF!,BR!$89:$89</definedName>
    <definedName name="Z_27C9E95B_0E2B_454F_B637_1CECC9579A10_.wvu.Rows" localSheetId="6" hidden="1">Drift!$303:$65536,Drift!$127:$302</definedName>
    <definedName name="Z_27C9E95B_0E2B_454F_B637_1CECC9579A10_.wvu.Rows" localSheetId="10" hidden="1">IFO!$39:$65536,IFO!$38:$38</definedName>
    <definedName name="Z_27C9E95B_0E2B_454F_B637_1CECC9579A10_.wvu.Rows" localSheetId="5" hidden="1">Investeringar!$118:$65536,Investeringar!$105:$114</definedName>
    <definedName name="Z_27C9E95B_0E2B_454F_B637_1CECC9579A10_.wvu.Rows" localSheetId="0" hidden="1">'Kn Information'!$51:$65536</definedName>
    <definedName name="Z_27C9E95B_0E2B_454F_B637_1CECC9579A10_.wvu.Rows" localSheetId="7" hidden="1">Motpart!$53:$65536</definedName>
    <definedName name="Z_27C9E95B_0E2B_454F_B637_1CECC9579A10_.wvu.Rows" localSheetId="8" hidden="1">'Pedagogisk verksamhet'!$105:$65536</definedName>
    <definedName name="Z_27C9E95B_0E2B_454F_B637_1CECC9579A10_.wvu.Rows" localSheetId="1" hidden="1">RR!$66:$65544,RR!$58:$58</definedName>
    <definedName name="Z_27C9E95B_0E2B_454F_B637_1CECC9579A10_.wvu.Rows" localSheetId="4" hidden="1">'Skatter, bidrag o fin poster'!$45:$65536,'Skatter, bidrag o fin poster'!$44:$44</definedName>
    <definedName name="Z_27C9E95B_0E2B_454F_B637_1CECC9579A10_.wvu.Rows" localSheetId="3" hidden="1">'Verks int o kostn'!#REF!,'Verks int o kostn'!#REF!</definedName>
    <definedName name="Z_27C9E95B_0E2B_454F_B637_1CECC9579A10_.wvu.Rows" localSheetId="9" hidden="1">'Äldre o personer funktionsn'!$61:$65536</definedName>
    <definedName name="Z_97D6DB71_3F4C_4C5F_8C5B_51E3EBF78932_.wvu.Cols" localSheetId="2" hidden="1">BR!#REF!</definedName>
    <definedName name="Z_97D6DB71_3F4C_4C5F_8C5B_51E3EBF78932_.wvu.Cols" localSheetId="6" hidden="1">Drift!#REF!</definedName>
    <definedName name="Z_97D6DB71_3F4C_4C5F_8C5B_51E3EBF78932_.wvu.Cols" localSheetId="10" hidden="1">IFO!#REF!</definedName>
    <definedName name="Z_97D6DB71_3F4C_4C5F_8C5B_51E3EBF78932_.wvu.Cols" localSheetId="5" hidden="1">Investeringar!#REF!</definedName>
    <definedName name="Z_97D6DB71_3F4C_4C5F_8C5B_51E3EBF78932_.wvu.Cols" localSheetId="0" hidden="1">'Kn Information'!#REF!</definedName>
    <definedName name="Z_97D6DB71_3F4C_4C5F_8C5B_51E3EBF78932_.wvu.Cols" localSheetId="7" hidden="1">Motpart!#REF!</definedName>
    <definedName name="Z_97D6DB71_3F4C_4C5F_8C5B_51E3EBF78932_.wvu.Cols" localSheetId="1" hidden="1">RR!#REF!</definedName>
    <definedName name="Z_97D6DB71_3F4C_4C5F_8C5B_51E3EBF78932_.wvu.Cols" localSheetId="4" hidden="1">'Skatter, bidrag o fin poster'!#REF!</definedName>
    <definedName name="Z_97D6DB71_3F4C_4C5F_8C5B_51E3EBF78932_.wvu.Cols" localSheetId="3" hidden="1">'Verks int o kostn'!#REF!</definedName>
    <definedName name="Z_97D6DB71_3F4C_4C5F_8C5B_51E3EBF78932_.wvu.Cols" localSheetId="9" hidden="1">'Äldre o personer funktionsn'!#REF!</definedName>
    <definedName name="Z_97D6DB71_3F4C_4C5F_8C5B_51E3EBF78932_.wvu.PrintTitles" localSheetId="6" hidden="1">Drift!$A:$B,Drift!$1:$10</definedName>
    <definedName name="Z_97D6DB71_3F4C_4C5F_8C5B_51E3EBF78932_.wvu.Rows" localSheetId="2" hidden="1">BR!#REF!,BR!#REF!,BR!$89:$89</definedName>
    <definedName name="Z_97D6DB71_3F4C_4C5F_8C5B_51E3EBF78932_.wvu.Rows" localSheetId="6" hidden="1">Drift!#REF!,Drift!$127:$302</definedName>
    <definedName name="Z_97D6DB71_3F4C_4C5F_8C5B_51E3EBF78932_.wvu.Rows" localSheetId="10" hidden="1">IFO!#REF!,IFO!$38:$38</definedName>
    <definedName name="Z_97D6DB71_3F4C_4C5F_8C5B_51E3EBF78932_.wvu.Rows" localSheetId="5" hidden="1">Investeringar!#REF!,Investeringar!$105:$114</definedName>
    <definedName name="Z_97D6DB71_3F4C_4C5F_8C5B_51E3EBF78932_.wvu.Rows" localSheetId="0" hidden="1">'Kn Information'!#REF!</definedName>
    <definedName name="Z_97D6DB71_3F4C_4C5F_8C5B_51E3EBF78932_.wvu.Rows" localSheetId="7" hidden="1">Motpart!#REF!</definedName>
    <definedName name="Z_97D6DB71_3F4C_4C5F_8C5B_51E3EBF78932_.wvu.Rows" localSheetId="8" hidden="1">'Pedagogisk verksamhet'!#REF!</definedName>
    <definedName name="Z_97D6DB71_3F4C_4C5F_8C5B_51E3EBF78932_.wvu.Rows" localSheetId="1" hidden="1">RR!#REF!,RR!$58:$58</definedName>
    <definedName name="Z_97D6DB71_3F4C_4C5F_8C5B_51E3EBF78932_.wvu.Rows" localSheetId="4" hidden="1">'Skatter, bidrag o fin poster'!#REF!,'Skatter, bidrag o fin poster'!$44:$44</definedName>
    <definedName name="Z_97D6DB71_3F4C_4C5F_8C5B_51E3EBF78932_.wvu.Rows" localSheetId="3" hidden="1">'Verks int o kostn'!#REF!</definedName>
    <definedName name="Z_97D6DB71_3F4C_4C5F_8C5B_51E3EBF78932_.wvu.Rows" localSheetId="9" hidden="1">'Äldre o personer funktionsn'!#REF!</definedName>
    <definedName name="Z_99FBDEB7_DD08_4F57_81F4_3C180403E153_.wvu.Cols" localSheetId="2" hidden="1">BR!#REF!</definedName>
    <definedName name="Z_99FBDEB7_DD08_4F57_81F4_3C180403E153_.wvu.Cols" localSheetId="6" hidden="1">Drift!#REF!</definedName>
    <definedName name="Z_99FBDEB7_DD08_4F57_81F4_3C180403E153_.wvu.Cols" localSheetId="10" hidden="1">IFO!#REF!</definedName>
    <definedName name="Z_99FBDEB7_DD08_4F57_81F4_3C180403E153_.wvu.Cols" localSheetId="5" hidden="1">Investeringar!#REF!</definedName>
    <definedName name="Z_99FBDEB7_DD08_4F57_81F4_3C180403E153_.wvu.Cols" localSheetId="0" hidden="1">'Kn Information'!#REF!</definedName>
    <definedName name="Z_99FBDEB7_DD08_4F57_81F4_3C180403E153_.wvu.Cols" localSheetId="7" hidden="1">Motpart!#REF!</definedName>
    <definedName name="Z_99FBDEB7_DD08_4F57_81F4_3C180403E153_.wvu.Cols" localSheetId="1" hidden="1">RR!#REF!</definedName>
    <definedName name="Z_99FBDEB7_DD08_4F57_81F4_3C180403E153_.wvu.Cols" localSheetId="4" hidden="1">'Skatter, bidrag o fin poster'!#REF!</definedName>
    <definedName name="Z_99FBDEB7_DD08_4F57_81F4_3C180403E153_.wvu.Cols" localSheetId="3" hidden="1">'Verks int o kostn'!#REF!</definedName>
    <definedName name="Z_99FBDEB7_DD08_4F57_81F4_3C180403E153_.wvu.Cols" localSheetId="9" hidden="1">'Äldre o personer funktionsn'!#REF!</definedName>
    <definedName name="Z_99FBDEB7_DD08_4F57_81F4_3C180403E153_.wvu.Rows" localSheetId="2" hidden="1">BR!#REF!,BR!#REF!,BR!$89:$89</definedName>
    <definedName name="Z_99FBDEB7_DD08_4F57_81F4_3C180403E153_.wvu.Rows" localSheetId="6" hidden="1">Drift!#REF!,Drift!$127:$302</definedName>
    <definedName name="Z_99FBDEB7_DD08_4F57_81F4_3C180403E153_.wvu.Rows" localSheetId="10" hidden="1">IFO!#REF!,IFO!$38:$38</definedName>
    <definedName name="Z_99FBDEB7_DD08_4F57_81F4_3C180403E153_.wvu.Rows" localSheetId="5" hidden="1">Investeringar!#REF!,Investeringar!$105:$114</definedName>
    <definedName name="Z_99FBDEB7_DD08_4F57_81F4_3C180403E153_.wvu.Rows" localSheetId="0" hidden="1">'Kn Information'!#REF!</definedName>
    <definedName name="Z_99FBDEB7_DD08_4F57_81F4_3C180403E153_.wvu.Rows" localSheetId="7" hidden="1">Motpart!#REF!</definedName>
    <definedName name="Z_99FBDEB7_DD08_4F57_81F4_3C180403E153_.wvu.Rows" localSheetId="8" hidden="1">'Pedagogisk verksamhet'!#REF!</definedName>
    <definedName name="Z_99FBDEB7_DD08_4F57_81F4_3C180403E153_.wvu.Rows" localSheetId="1" hidden="1">RR!#REF!,RR!$58:$58</definedName>
    <definedName name="Z_99FBDEB7_DD08_4F57_81F4_3C180403E153_.wvu.Rows" localSheetId="4" hidden="1">'Skatter, bidrag o fin poster'!#REF!,'Skatter, bidrag o fin poster'!$44:$44</definedName>
    <definedName name="Z_99FBDEB7_DD08_4F57_81F4_3C180403E153_.wvu.Rows" localSheetId="3" hidden="1">'Verks int o kostn'!#REF!</definedName>
    <definedName name="Z_99FBDEB7_DD08_4F57_81F4_3C180403E153_.wvu.Rows" localSheetId="9" hidden="1">'Äldre o personer funktionsn'!#REF!</definedName>
    <definedName name="Z_FA98FB86_76DB_4A0E_BD94_632DC6B7BC81_.wvu.Cols" localSheetId="6" hidden="1">Drift!$AG:$IV</definedName>
    <definedName name="Z_FA98FB86_76DB_4A0E_BD94_632DC6B7BC81_.wvu.Cols" localSheetId="10" hidden="1">IFO!#REF!</definedName>
    <definedName name="Z_FA98FB86_76DB_4A0E_BD94_632DC6B7BC81_.wvu.Cols" localSheetId="5" hidden="1">Investeringar!$M:$IV</definedName>
    <definedName name="Z_FA98FB86_76DB_4A0E_BD94_632DC6B7BC81_.wvu.Cols" localSheetId="0" hidden="1">'Kn Information'!$F:$IV</definedName>
    <definedName name="Z_FA98FB86_76DB_4A0E_BD94_632DC6B7BC81_.wvu.Cols" localSheetId="7" hidden="1">Motpart!$AE:$IV</definedName>
    <definedName name="Z_FA98FB86_76DB_4A0E_BD94_632DC6B7BC81_.wvu.Cols" localSheetId="8" hidden="1">'Pedagogisk verksamhet'!$H:$H,'Pedagogisk verksamhet'!$Y:$IV</definedName>
    <definedName name="Z_FA98FB86_76DB_4A0E_BD94_632DC6B7BC81_.wvu.Cols" localSheetId="1" hidden="1">RR!$L:$IV</definedName>
    <definedName name="Z_FA98FB86_76DB_4A0E_BD94_632DC6B7BC81_.wvu.Cols" localSheetId="4" hidden="1">'Skatter, bidrag o fin poster'!$U:$IV</definedName>
    <definedName name="Z_FA98FB86_76DB_4A0E_BD94_632DC6B7BC81_.wvu.Cols" localSheetId="9" hidden="1">'Äldre o personer funktionsn'!$V:$IV</definedName>
    <definedName name="Z_FA98FB86_76DB_4A0E_BD94_632DC6B7BC81_.wvu.Rows" localSheetId="2" hidden="1">BR!$94:$65536,BR!#REF!,BR!$89:$89</definedName>
    <definedName name="Z_FA98FB86_76DB_4A0E_BD94_632DC6B7BC81_.wvu.Rows" localSheetId="6" hidden="1">Drift!$303:$65536,Drift!$127:$302</definedName>
    <definedName name="Z_FA98FB86_76DB_4A0E_BD94_632DC6B7BC81_.wvu.Rows" localSheetId="10" hidden="1">IFO!$39:$65536,IFO!$38:$38</definedName>
    <definedName name="Z_FA98FB86_76DB_4A0E_BD94_632DC6B7BC81_.wvu.Rows" localSheetId="5" hidden="1">Investeringar!$118:$65536,Investeringar!$105:$114</definedName>
    <definedName name="Z_FA98FB86_76DB_4A0E_BD94_632DC6B7BC81_.wvu.Rows" localSheetId="0" hidden="1">'Kn Information'!$51:$65536</definedName>
    <definedName name="Z_FA98FB86_76DB_4A0E_BD94_632DC6B7BC81_.wvu.Rows" localSheetId="7" hidden="1">Motpart!$53:$65536</definedName>
    <definedName name="Z_FA98FB86_76DB_4A0E_BD94_632DC6B7BC81_.wvu.Rows" localSheetId="8" hidden="1">'Pedagogisk verksamhet'!$105:$65536</definedName>
    <definedName name="Z_FA98FB86_76DB_4A0E_BD94_632DC6B7BC81_.wvu.Rows" localSheetId="1" hidden="1">RR!$66:$65544,RR!$58:$58</definedName>
    <definedName name="Z_FA98FB86_76DB_4A0E_BD94_632DC6B7BC81_.wvu.Rows" localSheetId="4" hidden="1">'Skatter, bidrag o fin poster'!$45:$65536,'Skatter, bidrag o fin poster'!$44:$44</definedName>
    <definedName name="Z_FA98FB86_76DB_4A0E_BD94_632DC6B7BC81_.wvu.Rows" localSheetId="3" hidden="1">'Verks int o kostn'!#REF!</definedName>
    <definedName name="Z_FA98FB86_76DB_4A0E_BD94_632DC6B7BC81_.wvu.Rows" localSheetId="9" hidden="1">'Äldre o personer funktionsn'!$61:$65536</definedName>
    <definedName name="År">2017</definedName>
    <definedName name="ÄF_inkl_IFO">Drift!$Z$72</definedName>
    <definedName name="Äldre">'Äldre o personer funktionsn'!$T$12</definedName>
    <definedName name="Övr._o_ek.bistånd">IFO!$P$30</definedName>
  </definedNames>
  <calcPr calcId="162913"/>
  <customWorkbookViews>
    <customWorkbookView name="SCB - Personlig vy" guid="{27C9E95B-0E2B-454F-B637-1CECC9579A10}" mergeInterval="0" personalView="1" maximized="1" windowWidth="1916" windowHeight="881" tabRatio="806" activeSheetId="4"/>
    <customWorkbookView name="scbingj - Personlig vy" guid="{99FBDEB7-DD08-4F57-81F4-3C180403E153}" mergeInterval="0" personalView="1" maximized="1" xWindow="1" yWindow="1" windowWidth="1916" windowHeight="839" tabRatio="806" activeSheetId="10"/>
    <customWorkbookView name="scbelie - Personlig vy" guid="{97D6DB71-3F4C-4C5F-8C5B-51E3EBF78932}" mergeInterval="0" personalView="1" maximized="1" xWindow="1" yWindow="1" windowWidth="1676" windowHeight="829" tabRatio="806" activeSheetId="11"/>
    <customWorkbookView name="Håkan Wilén - Personlig vy" guid="{FA98FB86-76DB-4A0E-BD94-632DC6B7BC81}" mergeInterval="0" personalView="1" maximized="1" xWindow="1" yWindow="1" windowWidth="1680" windowHeight="829" tabRatio="806" activeSheetId="3"/>
  </customWorkbookViews>
</workbook>
</file>

<file path=xl/calcChain.xml><?xml version="1.0" encoding="utf-8"?>
<calcChain xmlns="http://schemas.openxmlformats.org/spreadsheetml/2006/main">
  <c r="Z87" i="8" l="1"/>
  <c r="AA87" i="8"/>
  <c r="AC87" i="8"/>
  <c r="N80" i="4"/>
  <c r="N79" i="4"/>
  <c r="N78" i="4"/>
  <c r="N77" i="4"/>
  <c r="N76" i="4"/>
  <c r="N75" i="4"/>
  <c r="M70" i="4"/>
  <c r="M69" i="4"/>
  <c r="N66" i="4"/>
  <c r="M66" i="4"/>
  <c r="N56" i="4"/>
  <c r="M56" i="4"/>
  <c r="N49" i="4"/>
  <c r="M49" i="4"/>
  <c r="M48" i="4"/>
  <c r="M46" i="4"/>
  <c r="N42" i="4"/>
  <c r="M42" i="4"/>
  <c r="N33" i="4"/>
  <c r="M33" i="4"/>
  <c r="N19" i="4"/>
  <c r="M19" i="4"/>
  <c r="N17" i="4"/>
  <c r="M17" i="4"/>
  <c r="N12" i="4"/>
  <c r="M12" i="4"/>
  <c r="I43" i="3" l="1"/>
  <c r="I39" i="3"/>
  <c r="I30" i="3"/>
  <c r="J19" i="3"/>
  <c r="I19" i="3"/>
  <c r="J16" i="3"/>
  <c r="I16" i="3"/>
  <c r="J15" i="3"/>
  <c r="I15" i="3"/>
  <c r="J13" i="3"/>
  <c r="I13" i="3"/>
  <c r="J12" i="3"/>
  <c r="I12" i="3"/>
  <c r="J11" i="3"/>
  <c r="I11" i="3"/>
  <c r="J10" i="3"/>
  <c r="I10" i="3"/>
  <c r="J9" i="3"/>
  <c r="I9" i="3"/>
  <c r="J8" i="3"/>
  <c r="I8" i="3"/>
  <c r="J7" i="3"/>
  <c r="I7" i="3"/>
  <c r="AA109" i="8" l="1"/>
  <c r="Z109" i="8"/>
  <c r="Z90" i="8"/>
  <c r="AA89" i="8"/>
  <c r="Z89" i="8"/>
  <c r="AA88" i="8"/>
  <c r="Z88" i="8"/>
  <c r="AA84" i="8"/>
  <c r="Z84" i="8"/>
  <c r="AA83" i="8"/>
  <c r="Z83" i="8"/>
  <c r="AA82" i="8"/>
  <c r="Z82" i="8"/>
  <c r="AA81" i="8"/>
  <c r="Z81" i="8"/>
  <c r="AA80" i="8"/>
  <c r="Z80" i="8"/>
  <c r="AA79" i="8"/>
  <c r="Z79" i="8"/>
  <c r="AA77" i="8"/>
  <c r="Z77" i="8"/>
  <c r="AA76" i="8"/>
  <c r="Z76" i="8"/>
  <c r="AA75" i="8"/>
  <c r="Z75" i="8"/>
  <c r="AA74" i="8"/>
  <c r="Z74" i="8"/>
  <c r="AA73" i="8"/>
  <c r="Z73" i="8"/>
  <c r="AA67" i="8"/>
  <c r="Z67" i="8"/>
  <c r="AA51" i="8"/>
  <c r="Z51" i="8"/>
  <c r="AA42" i="8"/>
  <c r="Z42" i="8"/>
  <c r="AA37" i="8"/>
  <c r="Z37" i="8"/>
  <c r="AA36" i="8"/>
  <c r="Z36" i="8"/>
  <c r="AA30" i="8"/>
  <c r="Z30" i="8"/>
  <c r="AA17" i="8"/>
  <c r="Z17" i="8"/>
  <c r="I33" i="12"/>
  <c r="I32" i="12"/>
  <c r="I31" i="12"/>
  <c r="I30" i="12"/>
  <c r="I29" i="12"/>
  <c r="I24" i="12"/>
  <c r="I23" i="12"/>
  <c r="I22" i="12"/>
  <c r="I21" i="12"/>
  <c r="I16" i="12"/>
  <c r="I15" i="12"/>
  <c r="I14" i="12"/>
  <c r="I13" i="12"/>
  <c r="I12" i="12"/>
  <c r="O25" i="11"/>
  <c r="M35" i="11" l="1"/>
  <c r="M34" i="11"/>
  <c r="M33" i="11"/>
  <c r="M32" i="11"/>
  <c r="M31" i="11"/>
  <c r="M27" i="11"/>
  <c r="M25" i="11"/>
  <c r="M24" i="11"/>
  <c r="M23" i="11"/>
  <c r="M22" i="11"/>
  <c r="M21" i="11"/>
  <c r="M13" i="11"/>
  <c r="M17" i="11"/>
  <c r="M15" i="11"/>
  <c r="M14" i="11"/>
  <c r="M12" i="11"/>
  <c r="E31" i="5" l="1"/>
  <c r="E30" i="5"/>
  <c r="A1" i="12" l="1"/>
  <c r="A1" i="11" l="1"/>
  <c r="A1" i="10"/>
  <c r="J40" i="9" l="1"/>
  <c r="C1" i="9"/>
  <c r="C1" i="8" l="1"/>
  <c r="A1" i="7"/>
  <c r="A1" i="5"/>
  <c r="A1" i="6" l="1"/>
  <c r="L4" i="5" l="1"/>
  <c r="A4" i="2"/>
  <c r="A1" i="4"/>
  <c r="A1" i="3" l="1"/>
  <c r="I14" i="7" l="1"/>
  <c r="I13" i="7"/>
  <c r="E30" i="6" l="1"/>
  <c r="J74" i="5" l="1"/>
  <c r="E23" i="3" l="1"/>
  <c r="E24" i="3"/>
  <c r="E25" i="3"/>
  <c r="E28" i="6" l="1"/>
  <c r="E26" i="6"/>
  <c r="E29" i="6"/>
  <c r="E27" i="6"/>
  <c r="R23" i="11" l="1"/>
  <c r="R14" i="11"/>
  <c r="R36" i="11"/>
  <c r="Q36" i="11" l="1"/>
  <c r="I38" i="10" l="1"/>
  <c r="D78" i="7" l="1"/>
  <c r="A5" i="2" l="1"/>
  <c r="E27" i="3" l="1"/>
  <c r="E26" i="3"/>
  <c r="I99" i="10" l="1"/>
  <c r="I90" i="10"/>
  <c r="I79" i="10"/>
  <c r="I65" i="10"/>
  <c r="I51" i="10"/>
  <c r="Z44" i="9" l="1"/>
  <c r="D82" i="7" l="1"/>
  <c r="I75" i="5"/>
  <c r="J46" i="5"/>
  <c r="E73" i="5"/>
  <c r="E71" i="5"/>
  <c r="E46" i="5"/>
  <c r="E51" i="5"/>
  <c r="E47" i="5"/>
  <c r="K81" i="4"/>
  <c r="AD112" i="8"/>
  <c r="I10" i="7"/>
  <c r="I9" i="7"/>
  <c r="J42" i="5" l="1"/>
  <c r="J40" i="5"/>
  <c r="J48" i="5" l="1"/>
  <c r="F41" i="4" l="1"/>
  <c r="D49" i="16" l="1"/>
  <c r="F31" i="4" l="1"/>
  <c r="A26" i="16" l="1"/>
  <c r="F66" i="4"/>
  <c r="E82" i="16"/>
  <c r="E83" i="16"/>
  <c r="E84" i="16"/>
  <c r="E85" i="16"/>
  <c r="E86" i="16"/>
  <c r="E87" i="16"/>
  <c r="E88" i="16"/>
  <c r="E89" i="16"/>
  <c r="E90" i="16"/>
  <c r="E91" i="16"/>
  <c r="E92" i="16"/>
  <c r="E93" i="16"/>
  <c r="E81" i="16"/>
  <c r="E80" i="16"/>
  <c r="D79" i="16"/>
  <c r="D77" i="16"/>
  <c r="D76" i="16"/>
  <c r="D78" i="16"/>
  <c r="D75" i="16"/>
  <c r="D74" i="16"/>
  <c r="D73" i="16"/>
  <c r="D72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2" i="16"/>
  <c r="D17" i="16"/>
  <c r="D18" i="16"/>
  <c r="D53" i="16"/>
  <c r="D54" i="16"/>
  <c r="D13" i="16"/>
  <c r="D14" i="16"/>
  <c r="D44" i="16"/>
  <c r="D51" i="16"/>
  <c r="D48" i="16"/>
  <c r="D11" i="16"/>
  <c r="D12" i="16"/>
  <c r="D50" i="16"/>
  <c r="D15" i="16"/>
  <c r="D16" i="16"/>
  <c r="D47" i="16"/>
  <c r="D36" i="16"/>
  <c r="D37" i="16"/>
  <c r="D43" i="16"/>
  <c r="D42" i="16"/>
  <c r="D41" i="16"/>
  <c r="D46" i="16"/>
  <c r="D45" i="16"/>
  <c r="D39" i="16"/>
  <c r="D40" i="16"/>
  <c r="D38" i="16"/>
  <c r="D33" i="16"/>
  <c r="D34" i="16"/>
  <c r="D35" i="16"/>
  <c r="D9" i="16"/>
  <c r="D10" i="16"/>
  <c r="D32" i="16"/>
  <c r="D6" i="16"/>
  <c r="D31" i="16"/>
  <c r="D5" i="16"/>
  <c r="D27" i="16"/>
  <c r="D28" i="16"/>
  <c r="D29" i="16"/>
  <c r="D30" i="16"/>
  <c r="D4" i="16"/>
  <c r="D26" i="16"/>
  <c r="D25" i="16"/>
  <c r="D24" i="16"/>
  <c r="D22" i="16"/>
  <c r="D23" i="16"/>
  <c r="D21" i="16"/>
  <c r="D20" i="16"/>
  <c r="D19" i="16"/>
  <c r="D3" i="16"/>
  <c r="D2" i="16"/>
  <c r="D1" i="16"/>
  <c r="D74" i="7"/>
  <c r="D32" i="12"/>
  <c r="D30" i="12"/>
  <c r="D29" i="12"/>
  <c r="D21" i="12"/>
  <c r="D12" i="12"/>
  <c r="D31" i="11"/>
  <c r="D21" i="11"/>
  <c r="D12" i="11"/>
  <c r="A5" i="16"/>
  <c r="A4" i="16"/>
  <c r="E95" i="7"/>
  <c r="E96" i="7"/>
  <c r="E97" i="7"/>
  <c r="A6" i="16" s="1"/>
  <c r="E94" i="7"/>
  <c r="D79" i="7"/>
  <c r="D80" i="7"/>
  <c r="D81" i="7"/>
  <c r="F83" i="4"/>
  <c r="F84" i="4"/>
  <c r="J11" i="7"/>
  <c r="J10" i="7"/>
  <c r="J9" i="7"/>
  <c r="J8" i="7"/>
  <c r="J7" i="7"/>
  <c r="L67" i="4"/>
  <c r="L66" i="4"/>
  <c r="G26" i="7"/>
  <c r="G27" i="7"/>
  <c r="G28" i="7"/>
  <c r="G29" i="7"/>
  <c r="G30" i="7"/>
  <c r="G31" i="7"/>
  <c r="G32" i="7"/>
  <c r="G34" i="7"/>
  <c r="G35" i="7"/>
  <c r="G37" i="7"/>
  <c r="G38" i="7"/>
  <c r="G39" i="7"/>
  <c r="G42" i="7"/>
  <c r="G43" i="7"/>
  <c r="G44" i="7"/>
  <c r="G45" i="7"/>
  <c r="G46" i="7"/>
  <c r="G48" i="7"/>
  <c r="G50" i="7"/>
  <c r="G51" i="7"/>
  <c r="G52" i="7"/>
  <c r="G53" i="7"/>
  <c r="G55" i="7"/>
  <c r="G56" i="7"/>
  <c r="G57" i="7"/>
  <c r="G59" i="7"/>
  <c r="G60" i="7"/>
  <c r="G61" i="7"/>
  <c r="G62" i="7"/>
  <c r="G65" i="7"/>
  <c r="G25" i="7"/>
  <c r="L57" i="4"/>
  <c r="L58" i="4"/>
  <c r="L59" i="4"/>
  <c r="F53" i="4"/>
  <c r="F51" i="4"/>
  <c r="E56" i="4"/>
  <c r="D75" i="7"/>
  <c r="J63" i="4"/>
  <c r="J23" i="4"/>
  <c r="F55" i="4"/>
  <c r="K54" i="4"/>
  <c r="F54" i="4"/>
  <c r="J54" i="4"/>
  <c r="F50" i="4"/>
  <c r="F9" i="4"/>
  <c r="J14" i="4"/>
  <c r="J50" i="4"/>
  <c r="J26" i="4"/>
  <c r="J16" i="4"/>
  <c r="J21" i="4"/>
  <c r="D35" i="12"/>
  <c r="E35" i="12"/>
  <c r="D26" i="12"/>
  <c r="E26" i="12"/>
  <c r="D27" i="12"/>
  <c r="E27" i="12"/>
  <c r="D19" i="12"/>
  <c r="E19" i="12"/>
  <c r="D18" i="12"/>
  <c r="E18" i="12"/>
  <c r="I11" i="7"/>
  <c r="AC45" i="9"/>
  <c r="AC44" i="9"/>
  <c r="AB45" i="9"/>
  <c r="AB44" i="9"/>
  <c r="AA45" i="9"/>
  <c r="AA44" i="9"/>
  <c r="Z45" i="9"/>
  <c r="Y44" i="9"/>
  <c r="Y45" i="9"/>
  <c r="E32" i="12"/>
  <c r="E30" i="12"/>
  <c r="E29" i="12"/>
  <c r="E21" i="12"/>
  <c r="E12" i="12"/>
  <c r="E31" i="12" s="1"/>
  <c r="L25" i="11"/>
  <c r="L26" i="11"/>
  <c r="K25" i="11"/>
  <c r="K26" i="11"/>
  <c r="M26" i="11" s="1"/>
  <c r="O26" i="11" s="1"/>
  <c r="L33" i="11"/>
  <c r="L34" i="11"/>
  <c r="L35" i="11"/>
  <c r="L36" i="11"/>
  <c r="L32" i="11"/>
  <c r="L23" i="11"/>
  <c r="L24" i="11"/>
  <c r="L27" i="11"/>
  <c r="L28" i="11"/>
  <c r="L14" i="11"/>
  <c r="L15" i="11"/>
  <c r="L16" i="11"/>
  <c r="L17" i="11"/>
  <c r="L18" i="11"/>
  <c r="L13" i="11"/>
  <c r="L22" i="11"/>
  <c r="D37" i="11"/>
  <c r="D29" i="11"/>
  <c r="D19" i="11"/>
  <c r="H15" i="7"/>
  <c r="H16" i="7" s="1"/>
  <c r="H17" i="7" s="1"/>
  <c r="G15" i="7"/>
  <c r="G16" i="7" s="1"/>
  <c r="G17" i="7" s="1"/>
  <c r="D98" i="7"/>
  <c r="C98" i="7"/>
  <c r="D25" i="5"/>
  <c r="E24" i="5" s="1"/>
  <c r="E33" i="4"/>
  <c r="D31" i="4"/>
  <c r="D26" i="4"/>
  <c r="F26" i="4" s="1"/>
  <c r="E12" i="6"/>
  <c r="J56" i="5"/>
  <c r="R8" i="6"/>
  <c r="M77" i="4"/>
  <c r="F77" i="4" s="1"/>
  <c r="M75" i="4"/>
  <c r="F75" i="4" s="1"/>
  <c r="AB110" i="8"/>
  <c r="J57" i="5"/>
  <c r="B39" i="3"/>
  <c r="D44" i="3"/>
  <c r="B43" i="3"/>
  <c r="B38" i="3"/>
  <c r="B37" i="3"/>
  <c r="B36" i="3"/>
  <c r="B35" i="3"/>
  <c r="B34" i="3"/>
  <c r="B33" i="3"/>
  <c r="B32" i="3"/>
  <c r="B31" i="3"/>
  <c r="J8" i="12"/>
  <c r="I8" i="12"/>
  <c r="K4" i="12"/>
  <c r="O4" i="11"/>
  <c r="N8" i="11"/>
  <c r="M8" i="11"/>
  <c r="AC4" i="8"/>
  <c r="AG38" i="8"/>
  <c r="AG62" i="8"/>
  <c r="AF38" i="8"/>
  <c r="AE5" i="8"/>
  <c r="AB5" i="8"/>
  <c r="AA5" i="8"/>
  <c r="A40" i="16"/>
  <c r="AE4" i="8"/>
  <c r="R15" i="6"/>
  <c r="E72" i="5"/>
  <c r="C46" i="5"/>
  <c r="N38" i="5"/>
  <c r="N6" i="5"/>
  <c r="M38" i="5"/>
  <c r="D38" i="5"/>
  <c r="M6" i="5"/>
  <c r="D6" i="5"/>
  <c r="F47" i="4"/>
  <c r="F45" i="4"/>
  <c r="B84" i="4"/>
  <c r="Z5" i="8"/>
  <c r="C10" i="6"/>
  <c r="C11" i="6"/>
  <c r="C9" i="6"/>
  <c r="M73" i="4"/>
  <c r="E74" i="4"/>
  <c r="D74" i="4"/>
  <c r="M12" i="10"/>
  <c r="M14" i="10"/>
  <c r="M28" i="10"/>
  <c r="M30" i="10"/>
  <c r="M45" i="10"/>
  <c r="M11" i="10"/>
  <c r="M19" i="10"/>
  <c r="M27" i="10"/>
  <c r="P27" i="10" s="1"/>
  <c r="M32" i="10"/>
  <c r="M33" i="10"/>
  <c r="M34" i="10"/>
  <c r="M35" i="10"/>
  <c r="P35" i="10" s="1"/>
  <c r="M36" i="10"/>
  <c r="M37" i="10"/>
  <c r="M38" i="10"/>
  <c r="M40" i="10"/>
  <c r="M42" i="10"/>
  <c r="M46" i="10"/>
  <c r="M47" i="10"/>
  <c r="M48" i="10"/>
  <c r="M49" i="10"/>
  <c r="M50" i="10"/>
  <c r="M51" i="10"/>
  <c r="M53" i="10"/>
  <c r="M55" i="10"/>
  <c r="M56" i="10"/>
  <c r="M59" i="10"/>
  <c r="M60" i="10"/>
  <c r="M61" i="10"/>
  <c r="M62" i="10"/>
  <c r="M63" i="10"/>
  <c r="M64" i="10"/>
  <c r="M65" i="10"/>
  <c r="M67" i="10"/>
  <c r="M69" i="10"/>
  <c r="M70" i="10"/>
  <c r="M73" i="10"/>
  <c r="M74" i="10"/>
  <c r="M75" i="10"/>
  <c r="M76" i="10"/>
  <c r="M77" i="10"/>
  <c r="M78" i="10"/>
  <c r="M79" i="10"/>
  <c r="P79" i="10" s="1"/>
  <c r="M81" i="10"/>
  <c r="M83" i="10"/>
  <c r="M84" i="10"/>
  <c r="M87" i="10"/>
  <c r="M88" i="10"/>
  <c r="M89" i="10"/>
  <c r="M90" i="10"/>
  <c r="M91" i="10"/>
  <c r="M96" i="10"/>
  <c r="M97" i="10"/>
  <c r="M98" i="10"/>
  <c r="M99" i="10"/>
  <c r="M100" i="10"/>
  <c r="R14" i="6"/>
  <c r="J44" i="5"/>
  <c r="F19" i="4"/>
  <c r="E43" i="5"/>
  <c r="AD104" i="8"/>
  <c r="AD105" i="8"/>
  <c r="AD48" i="8"/>
  <c r="AD107" i="8"/>
  <c r="AD106" i="8"/>
  <c r="AD100" i="8"/>
  <c r="J53" i="5"/>
  <c r="I31" i="11"/>
  <c r="I21" i="11"/>
  <c r="J72" i="5"/>
  <c r="E17" i="3"/>
  <c r="F21" i="4"/>
  <c r="J43" i="5"/>
  <c r="J50" i="5"/>
  <c r="J1" i="12"/>
  <c r="M6" i="12"/>
  <c r="F12" i="12"/>
  <c r="G12" i="12"/>
  <c r="G13" i="12"/>
  <c r="H13" i="12" s="1"/>
  <c r="H14" i="12"/>
  <c r="H15" i="12"/>
  <c r="K15" i="12" s="1"/>
  <c r="H16" i="12"/>
  <c r="K16" i="12" s="1"/>
  <c r="H17" i="12"/>
  <c r="C18" i="12"/>
  <c r="F18" i="12"/>
  <c r="G18" i="12"/>
  <c r="C19" i="12"/>
  <c r="F19" i="12"/>
  <c r="F21" i="12"/>
  <c r="G21" i="12"/>
  <c r="G22" i="12"/>
  <c r="H22" i="12" s="1"/>
  <c r="K22" i="12"/>
  <c r="H23" i="12"/>
  <c r="K23" i="12" s="1"/>
  <c r="H24" i="12"/>
  <c r="K24" i="12"/>
  <c r="H25" i="12"/>
  <c r="I25" i="12" s="1"/>
  <c r="K25" i="12" s="1"/>
  <c r="C26" i="12"/>
  <c r="F26" i="12"/>
  <c r="G26" i="12"/>
  <c r="C27" i="12"/>
  <c r="F27" i="12"/>
  <c r="F29" i="12"/>
  <c r="F30" i="12"/>
  <c r="F32" i="12"/>
  <c r="G32" i="12"/>
  <c r="G37" i="12" s="1"/>
  <c r="H33" i="12"/>
  <c r="K33" i="12" s="1"/>
  <c r="M33" i="12"/>
  <c r="H34" i="12"/>
  <c r="I34" i="12" s="1"/>
  <c r="K34" i="12" s="1"/>
  <c r="C35" i="12"/>
  <c r="F35" i="12"/>
  <c r="G35" i="12"/>
  <c r="P1" i="11"/>
  <c r="Q6" i="11"/>
  <c r="E12" i="11"/>
  <c r="C49" i="11" s="1"/>
  <c r="F12" i="11"/>
  <c r="G12" i="11"/>
  <c r="H12" i="11"/>
  <c r="I12" i="11"/>
  <c r="J12" i="11"/>
  <c r="K13" i="11"/>
  <c r="O13" i="11" s="1"/>
  <c r="K14" i="11"/>
  <c r="O14" i="11" s="1"/>
  <c r="K15" i="11"/>
  <c r="K16" i="11"/>
  <c r="M16" i="11" s="1"/>
  <c r="O16" i="11" s="1"/>
  <c r="K17" i="11"/>
  <c r="K18" i="11"/>
  <c r="C19" i="11"/>
  <c r="E19" i="11"/>
  <c r="F19" i="11"/>
  <c r="G19" i="11"/>
  <c r="H19" i="11"/>
  <c r="I19" i="11"/>
  <c r="J19" i="11"/>
  <c r="E21" i="11"/>
  <c r="C53" i="11"/>
  <c r="F21" i="11"/>
  <c r="G21" i="11"/>
  <c r="H21" i="11"/>
  <c r="J21" i="11"/>
  <c r="K22" i="11"/>
  <c r="K23" i="11"/>
  <c r="K24" i="11"/>
  <c r="K27" i="11"/>
  <c r="K28" i="11"/>
  <c r="C29" i="11"/>
  <c r="E29" i="11"/>
  <c r="F29" i="11"/>
  <c r="G29" i="11"/>
  <c r="H29" i="11"/>
  <c r="I29" i="11"/>
  <c r="J29" i="11"/>
  <c r="E31" i="11"/>
  <c r="F31" i="11"/>
  <c r="G31" i="11"/>
  <c r="H31" i="11"/>
  <c r="J31" i="11"/>
  <c r="K32" i="11"/>
  <c r="K33" i="11"/>
  <c r="O33" i="11" s="1"/>
  <c r="K34" i="11"/>
  <c r="O34" i="11"/>
  <c r="K35" i="11"/>
  <c r="O35" i="11" s="1"/>
  <c r="K36" i="11"/>
  <c r="C37" i="11"/>
  <c r="E37" i="11"/>
  <c r="F37" i="11"/>
  <c r="G37" i="11"/>
  <c r="H37" i="11"/>
  <c r="I37" i="11"/>
  <c r="J37" i="11"/>
  <c r="G41" i="11"/>
  <c r="G42" i="11"/>
  <c r="E49" i="11"/>
  <c r="F49" i="11"/>
  <c r="G49" i="11"/>
  <c r="H49" i="11"/>
  <c r="I49" i="11"/>
  <c r="J49" i="11"/>
  <c r="L49" i="11"/>
  <c r="M49" i="11"/>
  <c r="C50" i="11"/>
  <c r="C51" i="11"/>
  <c r="C52" i="11"/>
  <c r="E53" i="11"/>
  <c r="F53" i="11"/>
  <c r="G53" i="11"/>
  <c r="H53" i="11"/>
  <c r="I53" i="11"/>
  <c r="J53" i="11"/>
  <c r="L53" i="11"/>
  <c r="M53" i="11"/>
  <c r="C54" i="11"/>
  <c r="C55" i="11"/>
  <c r="C56" i="11"/>
  <c r="E57" i="11"/>
  <c r="F57" i="11"/>
  <c r="G57" i="11"/>
  <c r="H57" i="11"/>
  <c r="I57" i="11"/>
  <c r="J57" i="11"/>
  <c r="N58" i="11" s="1"/>
  <c r="L57" i="11"/>
  <c r="M57" i="11"/>
  <c r="C58" i="11"/>
  <c r="J1" i="10"/>
  <c r="M7" i="10"/>
  <c r="D8" i="10"/>
  <c r="F8" i="10"/>
  <c r="G8" i="10"/>
  <c r="C10" i="10"/>
  <c r="E12" i="10"/>
  <c r="D16" i="10"/>
  <c r="F16" i="10"/>
  <c r="G16" i="10"/>
  <c r="C18" i="10"/>
  <c r="E20" i="10"/>
  <c r="D24" i="10"/>
  <c r="F24" i="10"/>
  <c r="G24" i="10"/>
  <c r="C26" i="10"/>
  <c r="D31" i="10"/>
  <c r="F31" i="10"/>
  <c r="G31" i="10"/>
  <c r="G43" i="10" s="1"/>
  <c r="D44" i="10"/>
  <c r="F44" i="10"/>
  <c r="M54" i="10" s="1"/>
  <c r="G44" i="10"/>
  <c r="G57" i="10" s="1"/>
  <c r="D58" i="10"/>
  <c r="F58" i="10"/>
  <c r="M68" i="10" s="1"/>
  <c r="G58" i="10"/>
  <c r="G71" i="10"/>
  <c r="D72" i="10"/>
  <c r="F72" i="10"/>
  <c r="G72" i="10"/>
  <c r="G85" i="10"/>
  <c r="D86" i="10"/>
  <c r="F86" i="10"/>
  <c r="G86" i="10"/>
  <c r="G94" i="10" s="1"/>
  <c r="D95" i="10"/>
  <c r="F95" i="10"/>
  <c r="G95" i="10"/>
  <c r="G103" i="10" s="1"/>
  <c r="K1" i="9"/>
  <c r="C13" i="9"/>
  <c r="M13" i="9" s="1"/>
  <c r="N13" i="9"/>
  <c r="X13" i="9" s="1"/>
  <c r="C14" i="9"/>
  <c r="M14" i="9" s="1"/>
  <c r="N14" i="9"/>
  <c r="X14" i="9" s="1"/>
  <c r="C15" i="9"/>
  <c r="M15" i="9" s="1"/>
  <c r="N15" i="9"/>
  <c r="X15" i="9" s="1"/>
  <c r="C16" i="9"/>
  <c r="M16" i="9" s="1"/>
  <c r="N16" i="9"/>
  <c r="X16" i="9" s="1"/>
  <c r="C17" i="9"/>
  <c r="M17" i="9" s="1"/>
  <c r="N17" i="9"/>
  <c r="X17" i="9" s="1"/>
  <c r="C18" i="9"/>
  <c r="M18" i="9" s="1"/>
  <c r="N18" i="9"/>
  <c r="X18" i="9" s="1"/>
  <c r="C19" i="9"/>
  <c r="M19" i="9" s="1"/>
  <c r="N19" i="9"/>
  <c r="X19" i="9" s="1"/>
  <c r="C20" i="9"/>
  <c r="M20" i="9" s="1"/>
  <c r="N20" i="9"/>
  <c r="X20" i="9"/>
  <c r="C21" i="9"/>
  <c r="M21" i="9" s="1"/>
  <c r="N21" i="9"/>
  <c r="X21" i="9" s="1"/>
  <c r="C22" i="9"/>
  <c r="M22" i="9" s="1"/>
  <c r="N22" i="9"/>
  <c r="X22" i="9" s="1"/>
  <c r="C23" i="9"/>
  <c r="M23" i="9" s="1"/>
  <c r="N23" i="9"/>
  <c r="X23" i="9" s="1"/>
  <c r="C24" i="9"/>
  <c r="M24" i="9" s="1"/>
  <c r="N24" i="9"/>
  <c r="X24" i="9" s="1"/>
  <c r="C25" i="9"/>
  <c r="M25" i="9" s="1"/>
  <c r="N25" i="9"/>
  <c r="X25" i="9" s="1"/>
  <c r="C26" i="9"/>
  <c r="M26" i="9" s="1"/>
  <c r="N26" i="9"/>
  <c r="X26" i="9"/>
  <c r="C27" i="9"/>
  <c r="M27" i="9" s="1"/>
  <c r="N27" i="9"/>
  <c r="X27" i="9" s="1"/>
  <c r="C28" i="9"/>
  <c r="M28" i="9" s="1"/>
  <c r="N28" i="9"/>
  <c r="X28" i="9" s="1"/>
  <c r="C29" i="9"/>
  <c r="M29" i="9" s="1"/>
  <c r="N29" i="9"/>
  <c r="X29" i="9" s="1"/>
  <c r="C30" i="9"/>
  <c r="M30" i="9" s="1"/>
  <c r="N30" i="9"/>
  <c r="X30" i="9" s="1"/>
  <c r="C31" i="9"/>
  <c r="M31" i="9" s="1"/>
  <c r="N31" i="9"/>
  <c r="T44" i="9" s="1"/>
  <c r="A13" i="16" s="1"/>
  <c r="M32" i="9"/>
  <c r="X32" i="9"/>
  <c r="C33" i="9"/>
  <c r="K45" i="9" s="1"/>
  <c r="A16" i="16" s="1"/>
  <c r="C16" i="16" s="1"/>
  <c r="N33" i="9"/>
  <c r="M34" i="9"/>
  <c r="X34" i="9"/>
  <c r="C35" i="9"/>
  <c r="M35" i="9" s="1"/>
  <c r="N35" i="9"/>
  <c r="V43" i="9" s="1"/>
  <c r="A44" i="16" s="1"/>
  <c r="C36" i="9"/>
  <c r="M36" i="9" s="1"/>
  <c r="N36" i="9"/>
  <c r="X36" i="9" s="1"/>
  <c r="C37" i="9"/>
  <c r="M37" i="9" s="1"/>
  <c r="N37" i="9"/>
  <c r="X37" i="9" s="1"/>
  <c r="C39" i="9"/>
  <c r="M39" i="9" s="1"/>
  <c r="N39" i="9"/>
  <c r="X39" i="9" s="1"/>
  <c r="A37" i="16"/>
  <c r="D40" i="9"/>
  <c r="E40" i="9"/>
  <c r="F40" i="9"/>
  <c r="G40" i="9"/>
  <c r="H40" i="9"/>
  <c r="I40" i="9"/>
  <c r="K40" i="9"/>
  <c r="L40" i="9"/>
  <c r="O40" i="9"/>
  <c r="P40" i="9"/>
  <c r="Q40" i="9"/>
  <c r="R40" i="9"/>
  <c r="S40" i="9"/>
  <c r="T40" i="9"/>
  <c r="U40" i="9"/>
  <c r="V40" i="9"/>
  <c r="W40" i="9"/>
  <c r="Y40" i="9"/>
  <c r="Z40" i="9"/>
  <c r="AA40" i="9"/>
  <c r="AB40" i="9"/>
  <c r="AC40" i="9"/>
  <c r="AC43" i="9"/>
  <c r="A43" i="16" s="1"/>
  <c r="C43" i="16" s="1"/>
  <c r="D44" i="9"/>
  <c r="A47" i="16" s="1"/>
  <c r="I44" i="9"/>
  <c r="A49" i="16" s="1"/>
  <c r="C49" i="16" s="1"/>
  <c r="O44" i="9"/>
  <c r="A51" i="16" s="1"/>
  <c r="S44" i="9"/>
  <c r="A53" i="16" s="1"/>
  <c r="V44" i="9"/>
  <c r="W44" i="9"/>
  <c r="X44" i="9"/>
  <c r="D45" i="9"/>
  <c r="A48" i="16" s="1"/>
  <c r="I45" i="9"/>
  <c r="A50" i="16" s="1"/>
  <c r="O45" i="9"/>
  <c r="A52" i="16" s="1"/>
  <c r="S45" i="9"/>
  <c r="A54" i="16" s="1"/>
  <c r="X45" i="9"/>
  <c r="J1" i="8"/>
  <c r="W13" i="8"/>
  <c r="AH13" i="8" s="1"/>
  <c r="W14" i="8"/>
  <c r="AH14" i="8" s="1"/>
  <c r="W15" i="8"/>
  <c r="AH15" i="8" s="1"/>
  <c r="W16" i="8"/>
  <c r="AH16" i="8" s="1"/>
  <c r="C17" i="8"/>
  <c r="D17" i="8"/>
  <c r="E17" i="8"/>
  <c r="F17" i="8"/>
  <c r="C9" i="9"/>
  <c r="M9" i="9" s="1"/>
  <c r="G17" i="8"/>
  <c r="H17" i="8"/>
  <c r="I17" i="8"/>
  <c r="J17" i="8"/>
  <c r="L17" i="8"/>
  <c r="M17" i="8"/>
  <c r="N17" i="8"/>
  <c r="R17" i="8"/>
  <c r="S17" i="8"/>
  <c r="T17" i="8"/>
  <c r="V17" i="8"/>
  <c r="W19" i="8"/>
  <c r="AH19" i="8" s="1"/>
  <c r="W20" i="8"/>
  <c r="AH20" i="8" s="1"/>
  <c r="W21" i="8"/>
  <c r="AH21" i="8" s="1"/>
  <c r="W22" i="8"/>
  <c r="AH22" i="8" s="1"/>
  <c r="W23" i="8"/>
  <c r="AH23" i="8" s="1"/>
  <c r="W24" i="8"/>
  <c r="AH24" i="8" s="1"/>
  <c r="W25" i="8"/>
  <c r="AH25" i="8" s="1"/>
  <c r="W26" i="8"/>
  <c r="AH26" i="8" s="1"/>
  <c r="W27" i="8"/>
  <c r="AH27" i="8" s="1"/>
  <c r="W28" i="8"/>
  <c r="AH28" i="8" s="1"/>
  <c r="W29" i="8"/>
  <c r="AH29" i="8" s="1"/>
  <c r="C30" i="8"/>
  <c r="D30" i="8"/>
  <c r="E30" i="8"/>
  <c r="F30" i="8"/>
  <c r="C10" i="9" s="1"/>
  <c r="M10" i="9" s="1"/>
  <c r="G30" i="8"/>
  <c r="H30" i="8"/>
  <c r="N10" i="9" s="1"/>
  <c r="X10" i="9" s="1"/>
  <c r="I30" i="8"/>
  <c r="J30" i="8"/>
  <c r="L30" i="8"/>
  <c r="M30" i="8"/>
  <c r="N30" i="8"/>
  <c r="R30" i="8"/>
  <c r="S30" i="8"/>
  <c r="T30" i="8"/>
  <c r="V30" i="8"/>
  <c r="W33" i="8"/>
  <c r="AH33" i="8" s="1"/>
  <c r="W34" i="8"/>
  <c r="AH34" i="8" s="1"/>
  <c r="W35" i="8"/>
  <c r="AH35" i="8" s="1"/>
  <c r="W36" i="8"/>
  <c r="AH36" i="8" s="1"/>
  <c r="C37" i="8"/>
  <c r="D37" i="8"/>
  <c r="E37" i="8"/>
  <c r="F37" i="8"/>
  <c r="C11" i="9"/>
  <c r="M11" i="9" s="1"/>
  <c r="G37" i="8"/>
  <c r="H37" i="8"/>
  <c r="I37" i="8"/>
  <c r="J37" i="8"/>
  <c r="L37" i="8"/>
  <c r="M37" i="8"/>
  <c r="N37" i="8"/>
  <c r="R37" i="8"/>
  <c r="S37" i="8"/>
  <c r="S43" i="8" s="1"/>
  <c r="T37" i="8"/>
  <c r="V37" i="8"/>
  <c r="W39" i="8"/>
  <c r="AH39" i="8" s="1"/>
  <c r="W40" i="8"/>
  <c r="AH40" i="8" s="1"/>
  <c r="W41" i="8"/>
  <c r="AH41" i="8" s="1"/>
  <c r="C42" i="8"/>
  <c r="D42" i="8"/>
  <c r="E42" i="8"/>
  <c r="F42" i="8"/>
  <c r="C12" i="9" s="1"/>
  <c r="M12" i="9" s="1"/>
  <c r="G42" i="8"/>
  <c r="H42" i="8"/>
  <c r="I42" i="8"/>
  <c r="J42" i="8"/>
  <c r="L42" i="8"/>
  <c r="M42" i="8"/>
  <c r="N42" i="8"/>
  <c r="R42" i="8"/>
  <c r="S42" i="8"/>
  <c r="T42" i="8"/>
  <c r="V42" i="8"/>
  <c r="W46" i="8"/>
  <c r="AH46" i="8" s="1"/>
  <c r="W47" i="8"/>
  <c r="AH47" i="8" s="1"/>
  <c r="AD47" i="8"/>
  <c r="W48" i="8"/>
  <c r="AH48" i="8" s="1"/>
  <c r="W49" i="8"/>
  <c r="AH49" i="8" s="1"/>
  <c r="W50" i="8"/>
  <c r="AH50" i="8" s="1"/>
  <c r="C51" i="8"/>
  <c r="D51" i="8"/>
  <c r="E51" i="8"/>
  <c r="F51" i="8"/>
  <c r="G51" i="8"/>
  <c r="H51" i="8"/>
  <c r="I51" i="8"/>
  <c r="J51" i="8"/>
  <c r="L51" i="8"/>
  <c r="M51" i="8"/>
  <c r="N51" i="8"/>
  <c r="R51" i="8"/>
  <c r="S51" i="8"/>
  <c r="T51" i="8"/>
  <c r="V51" i="8"/>
  <c r="W53" i="8"/>
  <c r="AH53" i="8" s="1"/>
  <c r="AD53" i="8"/>
  <c r="W54" i="8"/>
  <c r="AH54" i="8" s="1"/>
  <c r="W55" i="8"/>
  <c r="AH55" i="8" s="1"/>
  <c r="W56" i="8"/>
  <c r="AH56" i="8" s="1"/>
  <c r="W57" i="8"/>
  <c r="AH57" i="8" s="1"/>
  <c r="C58" i="8"/>
  <c r="C67" i="8"/>
  <c r="D58" i="8"/>
  <c r="D67" i="8" s="1"/>
  <c r="D68" i="8" s="1"/>
  <c r="E58" i="8"/>
  <c r="E67" i="8" s="1"/>
  <c r="F58" i="8"/>
  <c r="F67" i="8" s="1"/>
  <c r="F68" i="8" s="1"/>
  <c r="G58" i="8"/>
  <c r="G67" i="8" s="1"/>
  <c r="G68" i="8" s="1"/>
  <c r="H58" i="8"/>
  <c r="H67" i="8" s="1"/>
  <c r="I58" i="8"/>
  <c r="I67" i="8"/>
  <c r="J58" i="8"/>
  <c r="J67" i="8" s="1"/>
  <c r="J68" i="8" s="1"/>
  <c r="L58" i="8"/>
  <c r="L67" i="8" s="1"/>
  <c r="L68" i="8" s="1"/>
  <c r="M58" i="8"/>
  <c r="M67" i="8" s="1"/>
  <c r="M68" i="8" s="1"/>
  <c r="N58" i="8"/>
  <c r="N67" i="8" s="1"/>
  <c r="R58" i="8"/>
  <c r="R67" i="8" s="1"/>
  <c r="S58" i="8"/>
  <c r="S67" i="8" s="1"/>
  <c r="S68" i="8" s="1"/>
  <c r="T58" i="8"/>
  <c r="T67" i="8" s="1"/>
  <c r="V58" i="8"/>
  <c r="V67" i="8" s="1"/>
  <c r="W60" i="8"/>
  <c r="E86" i="10"/>
  <c r="E94" i="10" s="1"/>
  <c r="W61" i="8"/>
  <c r="AH61" i="8" s="1"/>
  <c r="W63" i="8"/>
  <c r="AH63" i="8" s="1"/>
  <c r="W64" i="8"/>
  <c r="AH64" i="8" s="1"/>
  <c r="W65" i="8"/>
  <c r="AH65" i="8" s="1"/>
  <c r="W66" i="8"/>
  <c r="AH66" i="8" s="1"/>
  <c r="W70" i="8"/>
  <c r="AH70" i="8" s="1"/>
  <c r="W71" i="8"/>
  <c r="AH71" i="8" s="1"/>
  <c r="W73" i="8"/>
  <c r="AH73" i="8" s="1"/>
  <c r="W74" i="8"/>
  <c r="AH74" i="8" s="1"/>
  <c r="W75" i="8"/>
  <c r="W76" i="8"/>
  <c r="AH76" i="8" s="1"/>
  <c r="C77" i="8"/>
  <c r="D77" i="8"/>
  <c r="E77" i="8"/>
  <c r="E85" i="8"/>
  <c r="F77" i="8"/>
  <c r="G77" i="8"/>
  <c r="H77" i="8"/>
  <c r="I77" i="8"/>
  <c r="J77" i="8"/>
  <c r="L77" i="8"/>
  <c r="M77" i="8"/>
  <c r="N77" i="8"/>
  <c r="R77" i="8"/>
  <c r="S77" i="8"/>
  <c r="T77" i="8"/>
  <c r="V77" i="8"/>
  <c r="W79" i="8"/>
  <c r="AH79" i="8" s="1"/>
  <c r="W80" i="8"/>
  <c r="AH80" i="8" s="1"/>
  <c r="W81" i="8"/>
  <c r="AH81" i="8" s="1"/>
  <c r="W82" i="8"/>
  <c r="AH82" i="8" s="1"/>
  <c r="C83" i="8"/>
  <c r="D83" i="8"/>
  <c r="E83" i="8"/>
  <c r="F83" i="8"/>
  <c r="G83" i="8"/>
  <c r="H83" i="8"/>
  <c r="H85" i="8" s="1"/>
  <c r="AE80" i="8" s="1"/>
  <c r="I83" i="8"/>
  <c r="J83" i="8"/>
  <c r="L83" i="8"/>
  <c r="M83" i="8"/>
  <c r="N83" i="8"/>
  <c r="R83" i="8"/>
  <c r="S83" i="8"/>
  <c r="T83" i="8"/>
  <c r="V83" i="8"/>
  <c r="W84" i="8"/>
  <c r="AH84" i="8" s="1"/>
  <c r="W87" i="8"/>
  <c r="AH87" i="8" s="1"/>
  <c r="W88" i="8"/>
  <c r="C89" i="8"/>
  <c r="D89" i="8"/>
  <c r="E89" i="8"/>
  <c r="F89" i="8"/>
  <c r="G89" i="8"/>
  <c r="H89" i="8"/>
  <c r="I89" i="8"/>
  <c r="J89" i="8"/>
  <c r="L89" i="8"/>
  <c r="M89" i="8"/>
  <c r="N89" i="8"/>
  <c r="R89" i="8"/>
  <c r="S89" i="8"/>
  <c r="T89" i="8"/>
  <c r="V89" i="8"/>
  <c r="W93" i="8"/>
  <c r="AH93" i="8" s="1"/>
  <c r="W94" i="8"/>
  <c r="AH94" i="8" s="1"/>
  <c r="W95" i="8"/>
  <c r="W96" i="8"/>
  <c r="AH96" i="8" s="1"/>
  <c r="C97" i="8"/>
  <c r="D97" i="8"/>
  <c r="E97" i="8"/>
  <c r="F97" i="8"/>
  <c r="G97" i="8"/>
  <c r="H97" i="8"/>
  <c r="I97" i="8"/>
  <c r="J97" i="8"/>
  <c r="L97" i="8"/>
  <c r="M97" i="8"/>
  <c r="N97" i="8"/>
  <c r="R97" i="8"/>
  <c r="S97" i="8"/>
  <c r="T97" i="8"/>
  <c r="V97" i="8"/>
  <c r="V109" i="8" s="1"/>
  <c r="W99" i="8"/>
  <c r="AH99" i="8" s="1"/>
  <c r="W100" i="8"/>
  <c r="AH100" i="8" s="1"/>
  <c r="W101" i="8"/>
  <c r="AH101" i="8" s="1"/>
  <c r="C102" i="8"/>
  <c r="D102" i="8"/>
  <c r="E102" i="8"/>
  <c r="F102" i="8"/>
  <c r="G102" i="8"/>
  <c r="H102" i="8"/>
  <c r="I102" i="8"/>
  <c r="J102" i="8"/>
  <c r="L102" i="8"/>
  <c r="M102" i="8"/>
  <c r="N102" i="8"/>
  <c r="R102" i="8"/>
  <c r="S102" i="8"/>
  <c r="T102" i="8"/>
  <c r="V102" i="8"/>
  <c r="W104" i="8"/>
  <c r="AH104" i="8" s="1"/>
  <c r="W105" i="8"/>
  <c r="AH105" i="8" s="1"/>
  <c r="W106" i="8"/>
  <c r="AH106" i="8" s="1"/>
  <c r="W107" i="8"/>
  <c r="AH107" i="8" s="1"/>
  <c r="C108" i="8"/>
  <c r="D108" i="8"/>
  <c r="E108" i="8"/>
  <c r="F108" i="8"/>
  <c r="G108" i="8"/>
  <c r="H108" i="8"/>
  <c r="H109" i="8" s="1"/>
  <c r="N38" i="9" s="1"/>
  <c r="X38" i="9" s="1"/>
  <c r="I108" i="8"/>
  <c r="J108" i="8"/>
  <c r="L108" i="8"/>
  <c r="M108" i="8"/>
  <c r="M109" i="8" s="1"/>
  <c r="N108" i="8"/>
  <c r="R108" i="8"/>
  <c r="S108" i="8"/>
  <c r="T108" i="8"/>
  <c r="T109" i="8" s="1"/>
  <c r="V108" i="8"/>
  <c r="P111" i="8"/>
  <c r="W111" i="8"/>
  <c r="P112" i="8"/>
  <c r="AD115" i="8" s="1"/>
  <c r="M114" i="8"/>
  <c r="W122" i="8"/>
  <c r="P125" i="8"/>
  <c r="H1" i="7"/>
  <c r="C15" i="7"/>
  <c r="D15" i="7"/>
  <c r="D16" i="7" s="1"/>
  <c r="D17" i="7" s="1"/>
  <c r="F15" i="7"/>
  <c r="C33" i="7"/>
  <c r="D33" i="7"/>
  <c r="E33" i="7"/>
  <c r="F33" i="7"/>
  <c r="C40" i="7"/>
  <c r="C41" i="7" s="1"/>
  <c r="C49" i="7" s="1"/>
  <c r="D40" i="7"/>
  <c r="D41" i="7"/>
  <c r="E40" i="7"/>
  <c r="E41" i="7" s="1"/>
  <c r="F40" i="7"/>
  <c r="F41" i="7" s="1"/>
  <c r="C47" i="7"/>
  <c r="D47" i="7"/>
  <c r="E47" i="7"/>
  <c r="F47" i="7"/>
  <c r="C54" i="7"/>
  <c r="D54" i="7"/>
  <c r="E54" i="7"/>
  <c r="F54" i="7"/>
  <c r="C58" i="7"/>
  <c r="D58" i="7"/>
  <c r="E58" i="7"/>
  <c r="F58" i="7"/>
  <c r="C63" i="7"/>
  <c r="D63" i="7"/>
  <c r="E63" i="7"/>
  <c r="F63" i="7"/>
  <c r="N1" i="6"/>
  <c r="T1" i="6"/>
  <c r="E11" i="6"/>
  <c r="A25" i="16" s="1"/>
  <c r="D14" i="6"/>
  <c r="C11" i="3" s="1"/>
  <c r="D11" i="3" s="1"/>
  <c r="K16" i="6"/>
  <c r="N16" i="6"/>
  <c r="D28" i="6"/>
  <c r="K30" i="6"/>
  <c r="D39" i="6"/>
  <c r="J1" i="5"/>
  <c r="N8" i="5"/>
  <c r="O8" i="5" s="1"/>
  <c r="D12" i="5"/>
  <c r="N12" i="5" s="1"/>
  <c r="O12" i="5" s="1"/>
  <c r="N13" i="5"/>
  <c r="O13" i="5" s="1"/>
  <c r="D16" i="5"/>
  <c r="N16" i="5"/>
  <c r="O16" i="5" s="1"/>
  <c r="E20" i="5"/>
  <c r="A19" i="16" s="1"/>
  <c r="E21" i="5"/>
  <c r="A20" i="16" s="1"/>
  <c r="N21" i="5"/>
  <c r="O21" i="5" s="1"/>
  <c r="N25" i="5"/>
  <c r="O25" i="5" s="1"/>
  <c r="J26" i="5"/>
  <c r="J27" i="5"/>
  <c r="D29" i="5"/>
  <c r="N29" i="5" s="1"/>
  <c r="O29" i="5" s="1"/>
  <c r="E32" i="5"/>
  <c r="D34" i="5"/>
  <c r="J39" i="5"/>
  <c r="J41" i="5"/>
  <c r="A22" i="16" s="1"/>
  <c r="D44" i="5"/>
  <c r="N44" i="5" s="1"/>
  <c r="O44" i="5" s="1"/>
  <c r="J45" i="5"/>
  <c r="A23" i="16" s="1"/>
  <c r="C23" i="16" s="1"/>
  <c r="N45" i="5"/>
  <c r="O45" i="5" s="1"/>
  <c r="N47" i="5"/>
  <c r="O47" i="5" s="1"/>
  <c r="N48" i="5"/>
  <c r="O48" i="5" s="1"/>
  <c r="C51" i="5"/>
  <c r="D52" i="5"/>
  <c r="D57" i="5"/>
  <c r="N59" i="5"/>
  <c r="O59" i="5" s="1"/>
  <c r="N66" i="5"/>
  <c r="O66" i="5" s="1"/>
  <c r="D70" i="5"/>
  <c r="N70" i="5" s="1"/>
  <c r="O70" i="5" s="1"/>
  <c r="D75" i="5"/>
  <c r="F1" i="4"/>
  <c r="D12" i="4"/>
  <c r="F12" i="4"/>
  <c r="D17" i="4"/>
  <c r="E15" i="7" s="1"/>
  <c r="E16" i="7" s="1"/>
  <c r="E17" i="7" s="1"/>
  <c r="E18" i="4"/>
  <c r="E34" i="4" s="1"/>
  <c r="F32" i="4"/>
  <c r="D49" i="4"/>
  <c r="D56" i="4"/>
  <c r="F61" i="4"/>
  <c r="A3" i="16" s="1"/>
  <c r="C3" i="16" s="1"/>
  <c r="F62" i="4"/>
  <c r="F63" i="4"/>
  <c r="D66" i="4"/>
  <c r="D67" i="4"/>
  <c r="M76" i="4"/>
  <c r="F76" i="4" s="1"/>
  <c r="M78" i="4"/>
  <c r="F78" i="4" s="1"/>
  <c r="M79" i="4"/>
  <c r="F79" i="4" s="1"/>
  <c r="A2" i="16" s="1"/>
  <c r="D80" i="4"/>
  <c r="E80" i="4"/>
  <c r="K80" i="4" s="1"/>
  <c r="G1" i="3"/>
  <c r="E7" i="3"/>
  <c r="A1" i="16" s="1"/>
  <c r="E8" i="3"/>
  <c r="E9" i="3"/>
  <c r="C10" i="3"/>
  <c r="D10" i="3"/>
  <c r="E13" i="3"/>
  <c r="E14" i="3"/>
  <c r="E16" i="3"/>
  <c r="I51" i="3"/>
  <c r="J51" i="3"/>
  <c r="I55" i="3"/>
  <c r="N57" i="5"/>
  <c r="O57" i="5" s="1"/>
  <c r="O15" i="11"/>
  <c r="T45" i="9"/>
  <c r="A14" i="16" s="1"/>
  <c r="C14" i="16" s="1"/>
  <c r="R109" i="8"/>
  <c r="S85" i="8"/>
  <c r="M13" i="10"/>
  <c r="G43" i="8"/>
  <c r="M29" i="10"/>
  <c r="I43" i="8"/>
  <c r="N11" i="9"/>
  <c r="X11" i="9" s="1"/>
  <c r="F109" i="8"/>
  <c r="C38" i="9" s="1"/>
  <c r="D43" i="8"/>
  <c r="N43" i="8"/>
  <c r="M82" i="10"/>
  <c r="L85" i="8"/>
  <c r="M43" i="8"/>
  <c r="T43" i="8"/>
  <c r="A36" i="16"/>
  <c r="C36" i="16" s="1"/>
  <c r="AE49" i="8"/>
  <c r="M41" i="10"/>
  <c r="W108" i="8"/>
  <c r="E43" i="8"/>
  <c r="W42" i="8"/>
  <c r="AH42" i="8" s="1"/>
  <c r="N9" i="9"/>
  <c r="X9" i="9" s="1"/>
  <c r="X33" i="9"/>
  <c r="Q45" i="9"/>
  <c r="A18" i="16" s="1"/>
  <c r="C18" i="16" s="1"/>
  <c r="N12" i="9"/>
  <c r="X12" i="9" s="1"/>
  <c r="E24" i="10"/>
  <c r="AE48" i="8"/>
  <c r="N85" i="8"/>
  <c r="D109" i="8"/>
  <c r="W102" i="8"/>
  <c r="V43" i="8"/>
  <c r="F43" i="8"/>
  <c r="W17" i="8"/>
  <c r="AH17" i="8" s="1"/>
  <c r="H43" i="8"/>
  <c r="X35" i="9"/>
  <c r="M33" i="9"/>
  <c r="K44" i="9"/>
  <c r="A15" i="16" s="1"/>
  <c r="D33" i="5"/>
  <c r="D35" i="5" s="1"/>
  <c r="W77" i="8"/>
  <c r="AH77" i="8" s="1"/>
  <c r="M95" i="10"/>
  <c r="O17" i="11"/>
  <c r="F64" i="7"/>
  <c r="F49" i="7"/>
  <c r="D49" i="7"/>
  <c r="G19" i="12"/>
  <c r="H26" i="12"/>
  <c r="I26" i="12" s="1"/>
  <c r="K26" i="12" s="1"/>
  <c r="C16" i="7"/>
  <c r="A27" i="16" s="1"/>
  <c r="E44" i="10"/>
  <c r="E57" i="10" s="1"/>
  <c r="E95" i="10"/>
  <c r="E103" i="10" s="1"/>
  <c r="AH60" i="8"/>
  <c r="E72" i="10"/>
  <c r="E85" i="10" s="1"/>
  <c r="E58" i="10"/>
  <c r="E71" i="10" s="1"/>
  <c r="C82" i="7"/>
  <c r="L56" i="4"/>
  <c r="E67" i="4"/>
  <c r="L55" i="4"/>
  <c r="D31" i="12"/>
  <c r="E16" i="10"/>
  <c r="E8" i="10"/>
  <c r="I17" i="12" l="1"/>
  <c r="K17" i="12" s="1"/>
  <c r="G31" i="12"/>
  <c r="M72" i="10"/>
  <c r="M80" i="10" s="1"/>
  <c r="P80" i="10" s="1"/>
  <c r="N50" i="11"/>
  <c r="N54" i="11"/>
  <c r="N49" i="11"/>
  <c r="N53" i="11"/>
  <c r="N57" i="11"/>
  <c r="T85" i="8"/>
  <c r="R68" i="8"/>
  <c r="C43" i="8"/>
  <c r="G109" i="8"/>
  <c r="G85" i="8"/>
  <c r="F31" i="12"/>
  <c r="J109" i="8"/>
  <c r="R85" i="8"/>
  <c r="J85" i="8"/>
  <c r="C85" i="8"/>
  <c r="L43" i="8"/>
  <c r="E49" i="7"/>
  <c r="C64" i="7"/>
  <c r="C66" i="7"/>
  <c r="F17" i="4"/>
  <c r="F16" i="7"/>
  <c r="A30" i="16" s="1"/>
  <c r="P65" i="10"/>
  <c r="O27" i="11"/>
  <c r="O23" i="11"/>
  <c r="O32" i="11"/>
  <c r="P38" i="10"/>
  <c r="P91" i="10"/>
  <c r="M86" i="10"/>
  <c r="AD111" i="8"/>
  <c r="A21" i="16"/>
  <c r="C21" i="16" s="1"/>
  <c r="K14" i="12"/>
  <c r="K13" i="12"/>
  <c r="A29" i="16"/>
  <c r="C29" i="16" s="1"/>
  <c r="M44" i="10"/>
  <c r="M52" i="10" s="1"/>
  <c r="P47" i="10"/>
  <c r="W51" i="8"/>
  <c r="AH51" i="8" s="1"/>
  <c r="P51" i="10"/>
  <c r="P11" i="10"/>
  <c r="M58" i="10"/>
  <c r="O22" i="11"/>
  <c r="O24" i="11"/>
  <c r="P19" i="10"/>
  <c r="E68" i="8"/>
  <c r="E90" i="8" s="1"/>
  <c r="W58" i="8"/>
  <c r="W67" i="8" s="1"/>
  <c r="AH67" i="8" s="1"/>
  <c r="E31" i="10"/>
  <c r="E43" i="10" s="1"/>
  <c r="K31" i="6"/>
  <c r="L31" i="6" s="1"/>
  <c r="M28" i="6"/>
  <c r="M29" i="6"/>
  <c r="M26" i="6"/>
  <c r="M27" i="6"/>
  <c r="M25" i="6"/>
  <c r="M23" i="6"/>
  <c r="M24" i="6"/>
  <c r="M22" i="6"/>
  <c r="K17" i="6"/>
  <c r="L17" i="6" s="1"/>
  <c r="M9" i="6"/>
  <c r="M8" i="6"/>
  <c r="M14" i="6"/>
  <c r="M11" i="6"/>
  <c r="M15" i="6"/>
  <c r="M10" i="6"/>
  <c r="M13" i="6"/>
  <c r="M12" i="6"/>
  <c r="M31" i="10"/>
  <c r="I85" i="8"/>
  <c r="AH75" i="8"/>
  <c r="F85" i="8"/>
  <c r="AE79" i="8" s="1"/>
  <c r="C53" i="16"/>
  <c r="Z43" i="9"/>
  <c r="A46" i="16" s="1"/>
  <c r="C46" i="16" s="1"/>
  <c r="M22" i="10"/>
  <c r="P22" i="10" s="1"/>
  <c r="Q44" i="9"/>
  <c r="A17" i="16" s="1"/>
  <c r="M20" i="10"/>
  <c r="AA43" i="9"/>
  <c r="A41" i="16" s="1"/>
  <c r="C41" i="16" s="1"/>
  <c r="X31" i="9"/>
  <c r="X40" i="9" s="1"/>
  <c r="A39" i="16" s="1"/>
  <c r="C39" i="16" s="1"/>
  <c r="F45" i="9"/>
  <c r="A12" i="16" s="1"/>
  <c r="C12" i="16" s="1"/>
  <c r="F44" i="9"/>
  <c r="A11" i="16" s="1"/>
  <c r="M21" i="10"/>
  <c r="G27" i="12"/>
  <c r="P28" i="10"/>
  <c r="P13" i="10"/>
  <c r="C47" i="16"/>
  <c r="P32" i="10"/>
  <c r="W68" i="8"/>
  <c r="C12" i="3"/>
  <c r="C15" i="3" s="1"/>
  <c r="C19" i="3" s="1"/>
  <c r="I50" i="3" s="1"/>
  <c r="I7" i="7"/>
  <c r="M80" i="4"/>
  <c r="I117" i="8"/>
  <c r="A28" i="16"/>
  <c r="C28" i="16" s="1"/>
  <c r="C17" i="7"/>
  <c r="D33" i="4"/>
  <c r="D74" i="5"/>
  <c r="D76" i="5" s="1"/>
  <c r="A24" i="16" s="1"/>
  <c r="C24" i="16" s="1"/>
  <c r="F49" i="4"/>
  <c r="L109" i="8"/>
  <c r="I68" i="8"/>
  <c r="Y43" i="9"/>
  <c r="A45" i="16" s="1"/>
  <c r="C45" i="16" s="1"/>
  <c r="H18" i="12"/>
  <c r="I18" i="12" s="1"/>
  <c r="P89" i="10"/>
  <c r="P83" i="10"/>
  <c r="P78" i="10"/>
  <c r="P69" i="10"/>
  <c r="P30" i="10"/>
  <c r="S109" i="8"/>
  <c r="D85" i="8"/>
  <c r="D90" i="8" s="1"/>
  <c r="D110" i="8" s="1"/>
  <c r="D113" i="8" s="1"/>
  <c r="V68" i="8"/>
  <c r="N68" i="8"/>
  <c r="W37" i="8"/>
  <c r="AB43" i="9"/>
  <c r="A42" i="16" s="1"/>
  <c r="C42" i="16" s="1"/>
  <c r="P88" i="10"/>
  <c r="P74" i="10"/>
  <c r="P56" i="10"/>
  <c r="P34" i="10"/>
  <c r="D18" i="4"/>
  <c r="E64" i="7"/>
  <c r="E66" i="7" s="1"/>
  <c r="E109" i="8"/>
  <c r="V85" i="8"/>
  <c r="T68" i="8"/>
  <c r="T90" i="8" s="1"/>
  <c r="T110" i="8" s="1"/>
  <c r="T113" i="8" s="1"/>
  <c r="H68" i="8"/>
  <c r="H90" i="8" s="1"/>
  <c r="H110" i="8" s="1"/>
  <c r="H113" i="8" s="1"/>
  <c r="C68" i="8"/>
  <c r="C90" i="8" s="1"/>
  <c r="R43" i="8"/>
  <c r="J43" i="8"/>
  <c r="P99" i="10"/>
  <c r="P81" i="10"/>
  <c r="P77" i="10"/>
  <c r="P61" i="10"/>
  <c r="C109" i="8"/>
  <c r="M85" i="8"/>
  <c r="M90" i="8" s="1"/>
  <c r="M110" i="8" s="1"/>
  <c r="M113" i="8" s="1"/>
  <c r="N114" i="8" s="1"/>
  <c r="A33" i="16" s="1"/>
  <c r="C33" i="16" s="1"/>
  <c r="P100" i="10"/>
  <c r="P98" i="10"/>
  <c r="P70" i="10"/>
  <c r="P53" i="10"/>
  <c r="A61" i="16" s="1"/>
  <c r="C61" i="16" s="1"/>
  <c r="P49" i="10"/>
  <c r="C44" i="16"/>
  <c r="C6" i="16"/>
  <c r="C20" i="16"/>
  <c r="C15" i="16"/>
  <c r="C22" i="16"/>
  <c r="C19" i="16"/>
  <c r="C27" i="16"/>
  <c r="C11" i="16"/>
  <c r="C4" i="16"/>
  <c r="C37" i="16"/>
  <c r="C1" i="16"/>
  <c r="C25" i="16"/>
  <c r="C54" i="16"/>
  <c r="C51" i="16"/>
  <c r="C30" i="16"/>
  <c r="C17" i="16"/>
  <c r="C2" i="16"/>
  <c r="C52" i="16"/>
  <c r="C48" i="16"/>
  <c r="C26" i="16"/>
  <c r="C13" i="16"/>
  <c r="C5" i="16"/>
  <c r="C50" i="16"/>
  <c r="C40" i="16"/>
  <c r="I54" i="3"/>
  <c r="C40" i="9"/>
  <c r="M38" i="9"/>
  <c r="M40" i="9" s="1"/>
  <c r="F66" i="7"/>
  <c r="P72" i="10"/>
  <c r="A66" i="16" s="1"/>
  <c r="C66" i="16" s="1"/>
  <c r="P95" i="10"/>
  <c r="A70" i="16" s="1"/>
  <c r="N40" i="9"/>
  <c r="P41" i="10"/>
  <c r="P29" i="10"/>
  <c r="D64" i="7"/>
  <c r="D66" i="7" s="1"/>
  <c r="R90" i="8"/>
  <c r="R110" i="8" s="1"/>
  <c r="R113" i="8" s="1"/>
  <c r="J90" i="8"/>
  <c r="J110" i="8" s="1"/>
  <c r="J113" i="8" s="1"/>
  <c r="G90" i="8"/>
  <c r="G110" i="8" s="1"/>
  <c r="G113" i="8" s="1"/>
  <c r="P20" i="10"/>
  <c r="N109" i="8"/>
  <c r="AH88" i="8"/>
  <c r="W89" i="8"/>
  <c r="AH89" i="8" s="1"/>
  <c r="N90" i="8"/>
  <c r="I90" i="8"/>
  <c r="P82" i="10"/>
  <c r="I109" i="8"/>
  <c r="S90" i="8"/>
  <c r="S110" i="8" s="1"/>
  <c r="S113" i="8" s="1"/>
  <c r="L90" i="8"/>
  <c r="L110" i="8" s="1"/>
  <c r="AH95" i="8"/>
  <c r="AH97" i="8" s="1"/>
  <c r="W97" i="8"/>
  <c r="W109" i="8" s="1"/>
  <c r="AH109" i="8" s="1"/>
  <c r="AH37" i="8"/>
  <c r="AH43" i="8" s="1"/>
  <c r="W43" i="8"/>
  <c r="P96" i="10"/>
  <c r="P67" i="10"/>
  <c r="A64" i="16" s="1"/>
  <c r="C64" i="16" s="1"/>
  <c r="P50" i="10"/>
  <c r="P45" i="10"/>
  <c r="P12" i="10"/>
  <c r="P68" i="10"/>
  <c r="C57" i="11"/>
  <c r="P87" i="10"/>
  <c r="P46" i="10"/>
  <c r="P37" i="10"/>
  <c r="P33" i="10"/>
  <c r="W83" i="8"/>
  <c r="P54" i="10"/>
  <c r="P84" i="10"/>
  <c r="P64" i="10"/>
  <c r="P60" i="10"/>
  <c r="AH108" i="8"/>
  <c r="AH102" i="8"/>
  <c r="W30" i="8"/>
  <c r="P97" i="10"/>
  <c r="P75" i="10"/>
  <c r="P63" i="10"/>
  <c r="P59" i="10"/>
  <c r="P48" i="10"/>
  <c r="P40" i="10"/>
  <c r="P14" i="10"/>
  <c r="P76" i="10"/>
  <c r="P73" i="10"/>
  <c r="P62" i="10"/>
  <c r="P42" i="10"/>
  <c r="P36" i="10"/>
  <c r="P55" i="10"/>
  <c r="P90" i="10"/>
  <c r="K18" i="12" l="1"/>
  <c r="C110" i="8"/>
  <c r="C113" i="8" s="1"/>
  <c r="E110" i="8"/>
  <c r="E113" i="8" s="1"/>
  <c r="N110" i="8"/>
  <c r="N113" i="8" s="1"/>
  <c r="I119" i="8" s="1"/>
  <c r="V90" i="8"/>
  <c r="V110" i="8" s="1"/>
  <c r="F90" i="8"/>
  <c r="F110" i="8" s="1"/>
  <c r="F113" i="8" s="1"/>
  <c r="G66" i="7"/>
  <c r="F17" i="7"/>
  <c r="P86" i="10"/>
  <c r="A68" i="16" s="1"/>
  <c r="M101" i="10"/>
  <c r="P44" i="10"/>
  <c r="A60" i="16" s="1"/>
  <c r="E60" i="16" s="1"/>
  <c r="C60" i="16" s="1"/>
  <c r="I47" i="3"/>
  <c r="P52" i="10"/>
  <c r="M39" i="10"/>
  <c r="P39" i="10" s="1"/>
  <c r="M66" i="10"/>
  <c r="P66" i="10" s="1"/>
  <c r="P58" i="10"/>
  <c r="A63" i="16" s="1"/>
  <c r="E63" i="16" s="1"/>
  <c r="C63" i="16" s="1"/>
  <c r="P31" i="10"/>
  <c r="A58" i="16" s="1"/>
  <c r="E58" i="16" s="1"/>
  <c r="C58" i="16" s="1"/>
  <c r="AH58" i="8"/>
  <c r="AH68" i="8" s="1"/>
  <c r="P21" i="10"/>
  <c r="I52" i="3"/>
  <c r="I53" i="3"/>
  <c r="I48" i="3"/>
  <c r="D12" i="3"/>
  <c r="A92" i="16"/>
  <c r="C92" i="16" s="1"/>
  <c r="A38" i="16"/>
  <c r="C38" i="16" s="1"/>
  <c r="AD113" i="8"/>
  <c r="A32" i="16" s="1"/>
  <c r="C32" i="16" s="1"/>
  <c r="A31" i="16"/>
  <c r="C31" i="16" s="1"/>
  <c r="I49" i="3"/>
  <c r="D34" i="4"/>
  <c r="A89" i="16"/>
  <c r="C89" i="16" s="1"/>
  <c r="A83" i="16"/>
  <c r="C83" i="16" s="1"/>
  <c r="C30" i="3"/>
  <c r="D40" i="4"/>
  <c r="AE92" i="8"/>
  <c r="AH83" i="8"/>
  <c r="AH85" i="8" s="1"/>
  <c r="W85" i="8"/>
  <c r="A87" i="16"/>
  <c r="C87" i="16" s="1"/>
  <c r="A86" i="16"/>
  <c r="C86" i="16" s="1"/>
  <c r="A93" i="16"/>
  <c r="C93" i="16" s="1"/>
  <c r="E68" i="16"/>
  <c r="C68" i="16" s="1"/>
  <c r="I110" i="8"/>
  <c r="I113" i="8" s="1"/>
  <c r="I120" i="8"/>
  <c r="AH30" i="8"/>
  <c r="W90" i="8"/>
  <c r="W110" i="8" s="1"/>
  <c r="D59" i="11"/>
  <c r="A75" i="16" s="1"/>
  <c r="C75" i="16" s="1"/>
  <c r="J118" i="8"/>
  <c r="A35" i="16" s="1"/>
  <c r="C35" i="16" s="1"/>
  <c r="L113" i="8"/>
  <c r="A84" i="16"/>
  <c r="P116" i="8"/>
  <c r="D114" i="8"/>
  <c r="E70" i="16"/>
  <c r="C70" i="16" s="1"/>
  <c r="A82" i="16" l="1"/>
  <c r="C82" i="16" s="1"/>
  <c r="A81" i="16"/>
  <c r="C81" i="16" s="1"/>
  <c r="AH90" i="8"/>
  <c r="AH110" i="8" s="1"/>
  <c r="J47" i="3"/>
  <c r="D15" i="3"/>
  <c r="J48" i="3"/>
  <c r="A80" i="16"/>
  <c r="C80" i="16" s="1"/>
  <c r="A88" i="16"/>
  <c r="C88" i="16" s="1"/>
  <c r="D42" i="4"/>
  <c r="C36" i="3"/>
  <c r="C39" i="3" s="1"/>
  <c r="A94" i="16"/>
  <c r="C84" i="16"/>
  <c r="A85" i="16"/>
  <c r="C85" i="16" s="1"/>
  <c r="P82" i="8"/>
  <c r="P54" i="8"/>
  <c r="P40" i="8"/>
  <c r="P28" i="8"/>
  <c r="P84" i="8"/>
  <c r="P101" i="8"/>
  <c r="P64" i="8"/>
  <c r="P55" i="8"/>
  <c r="P74" i="8"/>
  <c r="P57" i="8"/>
  <c r="P26" i="8"/>
  <c r="P81" i="8"/>
  <c r="P80" i="8"/>
  <c r="P27" i="8"/>
  <c r="P21" i="8"/>
  <c r="P15" i="8"/>
  <c r="AD15" i="8" s="1"/>
  <c r="P56" i="8"/>
  <c r="P60" i="8"/>
  <c r="P79" i="8"/>
  <c r="P94" i="8"/>
  <c r="P47" i="8"/>
  <c r="P71" i="8"/>
  <c r="AD71" i="8" s="1"/>
  <c r="P65" i="8"/>
  <c r="P95" i="8"/>
  <c r="P24" i="8"/>
  <c r="P29" i="8"/>
  <c r="P76" i="8"/>
  <c r="P61" i="8"/>
  <c r="P105" i="8"/>
  <c r="P50" i="8"/>
  <c r="P23" i="8"/>
  <c r="AD23" i="8" s="1"/>
  <c r="P63" i="8"/>
  <c r="P16" i="8"/>
  <c r="P49" i="8"/>
  <c r="O83" i="8"/>
  <c r="P20" i="8"/>
  <c r="P96" i="8"/>
  <c r="P36" i="8"/>
  <c r="P14" i="8"/>
  <c r="P100" i="8"/>
  <c r="P107" i="8"/>
  <c r="P41" i="8"/>
  <c r="P34" i="8"/>
  <c r="P66" i="8"/>
  <c r="P35" i="8"/>
  <c r="P25" i="8"/>
  <c r="P48" i="8"/>
  <c r="P88" i="8"/>
  <c r="P22" i="8"/>
  <c r="P106" i="8"/>
  <c r="V112" i="8"/>
  <c r="P75" i="8" l="1"/>
  <c r="D19" i="3"/>
  <c r="J49" i="3"/>
  <c r="M71" i="4"/>
  <c r="M72" i="4"/>
  <c r="C43" i="3"/>
  <c r="A90" i="16"/>
  <c r="C90" i="16" s="1"/>
  <c r="F43" i="4"/>
  <c r="D68" i="4"/>
  <c r="AD14" i="8"/>
  <c r="P87" i="8"/>
  <c r="O89" i="8"/>
  <c r="AC80" i="8"/>
  <c r="AD80" i="8" s="1"/>
  <c r="C21" i="12"/>
  <c r="P53" i="8"/>
  <c r="O58" i="8"/>
  <c r="O67" i="8" s="1"/>
  <c r="P13" i="8"/>
  <c r="O17" i="8"/>
  <c r="O108" i="8"/>
  <c r="P104" i="8"/>
  <c r="P39" i="8"/>
  <c r="O42" i="8"/>
  <c r="P42" i="8" s="1"/>
  <c r="C16" i="10"/>
  <c r="O97" i="8"/>
  <c r="P93" i="8"/>
  <c r="C29" i="12"/>
  <c r="C44" i="10"/>
  <c r="C57" i="10" s="1"/>
  <c r="P57" i="10" s="1"/>
  <c r="A62" i="16" s="1"/>
  <c r="C62" i="16" s="1"/>
  <c r="C32" i="12"/>
  <c r="AC84" i="8"/>
  <c r="AD84" i="8" s="1"/>
  <c r="C31" i="10"/>
  <c r="C43" i="10" s="1"/>
  <c r="P43" i="10" s="1"/>
  <c r="A59" i="16" s="1"/>
  <c r="C59" i="16" s="1"/>
  <c r="AD24" i="8"/>
  <c r="AC79" i="8"/>
  <c r="AD79" i="8" s="1"/>
  <c r="P83" i="8"/>
  <c r="C12" i="12"/>
  <c r="AD28" i="8"/>
  <c r="P99" i="8"/>
  <c r="O102" i="8"/>
  <c r="C8" i="10"/>
  <c r="AD78" i="8"/>
  <c r="P73" i="8"/>
  <c r="O77" i="8"/>
  <c r="O85" i="8" s="1"/>
  <c r="P46" i="8"/>
  <c r="O51" i="8"/>
  <c r="C95" i="10"/>
  <c r="C103" i="10" s="1"/>
  <c r="P102" i="10" s="1"/>
  <c r="A71" i="16" s="1"/>
  <c r="C71" i="16" s="1"/>
  <c r="C86" i="10"/>
  <c r="C94" i="10" s="1"/>
  <c r="P93" i="10" s="1"/>
  <c r="A69" i="16" s="1"/>
  <c r="C69" i="16" s="1"/>
  <c r="C72" i="10"/>
  <c r="C85" i="10" s="1"/>
  <c r="P85" i="10" s="1"/>
  <c r="A67" i="16" s="1"/>
  <c r="C67" i="16" s="1"/>
  <c r="O30" i="8"/>
  <c r="P19" i="8"/>
  <c r="AC82" i="8"/>
  <c r="AD82" i="8" s="1"/>
  <c r="C30" i="12"/>
  <c r="W112" i="8"/>
  <c r="W113" i="8" s="1"/>
  <c r="V113" i="8"/>
  <c r="W116" i="8" s="1"/>
  <c r="P33" i="8"/>
  <c r="O37" i="8"/>
  <c r="AC76" i="8"/>
  <c r="AD76" i="8" s="1"/>
  <c r="C58" i="10"/>
  <c r="C71" i="10" s="1"/>
  <c r="P71" i="10" s="1"/>
  <c r="A65" i="16" s="1"/>
  <c r="C65" i="16" s="1"/>
  <c r="C21" i="11"/>
  <c r="AD74" i="8"/>
  <c r="AC74" i="8"/>
  <c r="P70" i="8"/>
  <c r="AD70" i="8" s="1"/>
  <c r="AC88" i="8" l="1"/>
  <c r="AD88" i="8" s="1"/>
  <c r="AC75" i="8"/>
  <c r="C31" i="11"/>
  <c r="H41" i="11" s="1"/>
  <c r="J50" i="3"/>
  <c r="E40" i="4"/>
  <c r="O43" i="8"/>
  <c r="O68" i="8"/>
  <c r="A78" i="16"/>
  <c r="C78" i="16" s="1"/>
  <c r="H30" i="12"/>
  <c r="K30" i="12" s="1"/>
  <c r="P30" i="8"/>
  <c r="P51" i="8"/>
  <c r="AD73" i="8"/>
  <c r="P77" i="8"/>
  <c r="P85" i="8" s="1"/>
  <c r="C12" i="11"/>
  <c r="AC78" i="8"/>
  <c r="AC36" i="8"/>
  <c r="AD36" i="8" s="1"/>
  <c r="H29" i="12"/>
  <c r="K29" i="12" s="1"/>
  <c r="P97" i="8"/>
  <c r="P89" i="8"/>
  <c r="P37" i="8"/>
  <c r="P102" i="8"/>
  <c r="A76" i="16"/>
  <c r="C76" i="16" s="1"/>
  <c r="C31" i="12"/>
  <c r="H12" i="12"/>
  <c r="K12" i="12" s="1"/>
  <c r="O109" i="8"/>
  <c r="AD13" i="8"/>
  <c r="P17" i="8"/>
  <c r="P58" i="8"/>
  <c r="C24" i="10"/>
  <c r="K21" i="11"/>
  <c r="A73" i="16"/>
  <c r="C73" i="16" s="1"/>
  <c r="L21" i="11"/>
  <c r="W121" i="8"/>
  <c r="W123" i="8" s="1"/>
  <c r="A9" i="16" s="1"/>
  <c r="C9" i="16" s="1"/>
  <c r="C9" i="10"/>
  <c r="M10" i="10" s="1"/>
  <c r="P10" i="10" s="1"/>
  <c r="M8" i="10"/>
  <c r="H32" i="12"/>
  <c r="K32" i="12" s="1"/>
  <c r="A79" i="16"/>
  <c r="C79" i="16" s="1"/>
  <c r="AC81" i="8"/>
  <c r="AD81" i="8" s="1"/>
  <c r="C17" i="10"/>
  <c r="M16" i="10"/>
  <c r="P108" i="8"/>
  <c r="A77" i="16"/>
  <c r="C77" i="16" s="1"/>
  <c r="H21" i="12"/>
  <c r="K21" i="12" s="1"/>
  <c r="AC83" i="8" l="1"/>
  <c r="AD83" i="8" s="1"/>
  <c r="AE84" i="8"/>
  <c r="AE83" i="8"/>
  <c r="AE86" i="8"/>
  <c r="M18" i="10"/>
  <c r="P18" i="10" s="1"/>
  <c r="M23" i="10"/>
  <c r="P23" i="10" s="1"/>
  <c r="AD75" i="8"/>
  <c r="L31" i="11"/>
  <c r="P36" i="11"/>
  <c r="P32" i="11"/>
  <c r="P35" i="11"/>
  <c r="P34" i="11"/>
  <c r="P33" i="11"/>
  <c r="P38" i="11"/>
  <c r="A74" i="16" s="1"/>
  <c r="C74" i="16" s="1"/>
  <c r="AD87" i="8"/>
  <c r="H42" i="11"/>
  <c r="K31" i="11"/>
  <c r="O31" i="11" s="1"/>
  <c r="O90" i="8"/>
  <c r="O110" i="8" s="1"/>
  <c r="O113" i="8" s="1"/>
  <c r="P117" i="8" s="1"/>
  <c r="X116" i="8" s="1"/>
  <c r="A34" i="16" s="1"/>
  <c r="C34" i="16" s="1"/>
  <c r="E42" i="4"/>
  <c r="M17" i="10"/>
  <c r="M15" i="10"/>
  <c r="M9" i="10"/>
  <c r="M24" i="10"/>
  <c r="C25" i="10"/>
  <c r="M26" i="10" s="1"/>
  <c r="P26" i="10" s="1"/>
  <c r="K12" i="11"/>
  <c r="A72" i="16"/>
  <c r="C72" i="16" s="1"/>
  <c r="L12" i="11"/>
  <c r="AC42" i="8"/>
  <c r="AD42" i="8" s="1"/>
  <c r="P43" i="8"/>
  <c r="P109" i="8"/>
  <c r="P16" i="10"/>
  <c r="P8" i="10"/>
  <c r="H31" i="12"/>
  <c r="K31" i="12" s="1"/>
  <c r="AE72" i="8"/>
  <c r="AC73" i="8"/>
  <c r="P67" i="8"/>
  <c r="P68" i="8" s="1"/>
  <c r="F42" i="4" l="1"/>
  <c r="N72" i="4"/>
  <c r="N71" i="4"/>
  <c r="E68" i="4"/>
  <c r="A91" i="16"/>
  <c r="C91" i="16" s="1"/>
  <c r="AC37" i="8"/>
  <c r="AE74" i="8"/>
  <c r="M25" i="10"/>
  <c r="AC89" i="8"/>
  <c r="AE30" i="8"/>
  <c r="AE31" i="8"/>
  <c r="AC30" i="8"/>
  <c r="AD30" i="8" s="1"/>
  <c r="P9" i="10"/>
  <c r="A55" i="16" s="1"/>
  <c r="P90" i="8"/>
  <c r="P24" i="10"/>
  <c r="P15" i="10"/>
  <c r="P17" i="10"/>
  <c r="A56" i="16" s="1"/>
  <c r="AD37" i="8" l="1"/>
  <c r="E56" i="16"/>
  <c r="C56" i="16" s="1"/>
  <c r="P110" i="8"/>
  <c r="P114" i="8" s="1"/>
  <c r="Z110" i="8"/>
  <c r="E55" i="16"/>
  <c r="C55" i="16" s="1"/>
  <c r="AC17" i="8"/>
  <c r="AD17" i="8" s="1"/>
  <c r="AA90" i="8"/>
  <c r="AE85" i="8" s="1"/>
  <c r="AC77" i="8"/>
  <c r="AD77" i="8" s="1"/>
  <c r="AE78" i="8"/>
  <c r="AE77" i="8"/>
  <c r="AC67" i="8"/>
  <c r="AD67" i="8" s="1"/>
  <c r="AE67" i="8"/>
  <c r="AE68" i="8"/>
  <c r="AE51" i="8"/>
  <c r="AE52" i="8"/>
  <c r="AC51" i="8"/>
  <c r="AD51" i="8" s="1"/>
  <c r="P25" i="10"/>
  <c r="A57" i="16" s="1"/>
  <c r="AE109" i="8"/>
  <c r="AE110" i="8"/>
  <c r="AC109" i="8"/>
  <c r="AD109" i="8" s="1"/>
  <c r="E57" i="16" l="1"/>
  <c r="C57" i="16" s="1"/>
  <c r="P124" i="8"/>
  <c r="P113" i="8"/>
  <c r="AC90" i="8"/>
  <c r="AD90" i="8" s="1"/>
  <c r="AE90" i="8"/>
  <c r="AE91" i="8"/>
  <c r="AA110" i="8"/>
  <c r="AE93" i="8"/>
  <c r="P126" i="8" l="1"/>
  <c r="A10" i="16" s="1"/>
  <c r="C10" i="16" s="1"/>
  <c r="P303" i="8"/>
</calcChain>
</file>

<file path=xl/sharedStrings.xml><?xml version="1.0" encoding="utf-8"?>
<sst xmlns="http://schemas.openxmlformats.org/spreadsheetml/2006/main" count="1705" uniqueCount="1327">
  <si>
    <t>i kommunens koncernföretag</t>
  </si>
  <si>
    <t>hos kommunens koncernföretag</t>
  </si>
  <si>
    <t>fordringar hos staten</t>
  </si>
  <si>
    <t xml:space="preserve">Kortfristiga skulder till koncernföretag </t>
  </si>
  <si>
    <t>Lev.skulder till kommunens koncernf.</t>
  </si>
  <si>
    <t>135</t>
  </si>
  <si>
    <t>Förvaltningsavgifter</t>
  </si>
  <si>
    <t>139</t>
  </si>
  <si>
    <t>13 (ej 139)</t>
  </si>
  <si>
    <t>10-13 (ej 139)</t>
  </si>
  <si>
    <t>FINANSIELLA INTÄKTER ENL RR</t>
  </si>
  <si>
    <t>FINANSIELLA KOSTNADER ENL RR</t>
  </si>
  <si>
    <t xml:space="preserve">Obligationer, förlagsbevis m.m. samt certifikat </t>
  </si>
  <si>
    <t>Personalens källskatt</t>
  </si>
  <si>
    <t>298</t>
  </si>
  <si>
    <t>Förutbetalda skatteintäkter</t>
  </si>
  <si>
    <t>Verksamhetsblock/-områden</t>
  </si>
  <si>
    <t>EGENTLIG VERKSAMHET</t>
  </si>
  <si>
    <t>Politisk verksamhet, totalt</t>
  </si>
  <si>
    <t>Parker</t>
  </si>
  <si>
    <t>Räddningstjänst</t>
  </si>
  <si>
    <t>Övrig utbildning</t>
  </si>
  <si>
    <t>Utbildning, totalt</t>
  </si>
  <si>
    <t>SUMMA EGENTLIG VERKSAMHET</t>
  </si>
  <si>
    <t>Hamnverksamhet</t>
  </si>
  <si>
    <t>Kommersiell verksamhet</t>
  </si>
  <si>
    <t>Bostadsverksamhet</t>
  </si>
  <si>
    <t>Näringsliv och bostäder, totalt</t>
  </si>
  <si>
    <t>Sjötrafik</t>
  </si>
  <si>
    <t>Kommunikationer, totalt</t>
  </si>
  <si>
    <t>Fjärrvärmeförsörjning</t>
  </si>
  <si>
    <t>Vattenförsörjning och avloppshantering</t>
  </si>
  <si>
    <t>Avfallshantering</t>
  </si>
  <si>
    <t>SUMMA AFFÄRSVERKSAMHET</t>
  </si>
  <si>
    <t>Gemensamma lokaler</t>
  </si>
  <si>
    <t>Gemensamma verksamheter</t>
  </si>
  <si>
    <t>TOTALSUMMA</t>
  </si>
  <si>
    <t>Personalkostnader</t>
  </si>
  <si>
    <t xml:space="preserve">Externa varor, tjänster och bidrag  </t>
  </si>
  <si>
    <t>Lokal- och anläggningskostnader</t>
  </si>
  <si>
    <t>Externa intäkter</t>
  </si>
  <si>
    <t xml:space="preserve">Interna </t>
  </si>
  <si>
    <t>Kontroller</t>
  </si>
  <si>
    <t>BRUTTO-</t>
  </si>
  <si>
    <t>intäkter</t>
  </si>
  <si>
    <t>KOSTNAD</t>
  </si>
  <si>
    <t>intäkter och</t>
  </si>
  <si>
    <t>kostnad</t>
  </si>
  <si>
    <t>[45]</t>
  </si>
  <si>
    <t>[601]</t>
  </si>
  <si>
    <t>[341]</t>
  </si>
  <si>
    <t>muner o landst.</t>
  </si>
  <si>
    <t>Block 1. POLITISK VERKSAMHET</t>
  </si>
  <si>
    <t>Nämnd- och styrelseverksamhet</t>
  </si>
  <si>
    <t>Stöd till politiska partier</t>
  </si>
  <si>
    <t>Revision</t>
  </si>
  <si>
    <t xml:space="preserve">Övrig politisk verksamhet </t>
  </si>
  <si>
    <t>POLITISK VERKSAMHET, TOTALT</t>
  </si>
  <si>
    <t>Block 2. INFRASTRUKTUR, SKYDD mm</t>
  </si>
  <si>
    <t>Fysisk o.teknisk planering, bostadsförbättr.</t>
  </si>
  <si>
    <t>Näringslivsfrämjande åtgärder</t>
  </si>
  <si>
    <t>Konsument- och energirådgivning</t>
  </si>
  <si>
    <t>Turistverksamhet</t>
  </si>
  <si>
    <t>Beskrivning av nyckeltalen</t>
  </si>
  <si>
    <t>Miljö- och hälsoskydd, myndighetsutövning</t>
  </si>
  <si>
    <t>Miljö- hälsa och hållbar utveckling</t>
  </si>
  <si>
    <t>Alkoholtillstånd m.m.</t>
  </si>
  <si>
    <t xml:space="preserve">Totalförsvar och samhällsskydd  </t>
  </si>
  <si>
    <t>INFRASTRUKTUR, SKYDD mm TOTALT</t>
  </si>
  <si>
    <t>Block 3.  KULTUR OCH FRITID</t>
  </si>
  <si>
    <t>Kulturverksamhet</t>
  </si>
  <si>
    <t>Stöd till studieorganisationer</t>
  </si>
  <si>
    <t>Allmän kulturverksamhet, övrigt</t>
  </si>
  <si>
    <t>Bibliotek</t>
  </si>
  <si>
    <t>Musikskola / kulturskola</t>
  </si>
  <si>
    <t>Kulturverksamhet totalt</t>
  </si>
  <si>
    <t>Fritidsverksamhet</t>
  </si>
  <si>
    <t>Allmän fritidsverksamhet</t>
  </si>
  <si>
    <t>Idrotts- och fritidsanläggningar</t>
  </si>
  <si>
    <t>Fritidsgårdar</t>
  </si>
  <si>
    <t>Fritidsverksamhet, totalt</t>
  </si>
  <si>
    <t xml:space="preserve"> KULTUR OCH FRITID, TOTALT</t>
  </si>
  <si>
    <t>Block 4. PEDAGOGISK VERKSAMHET</t>
  </si>
  <si>
    <t>Öppen förskola</t>
  </si>
  <si>
    <t>Förskola</t>
  </si>
  <si>
    <t>Pedagogisk omsorg</t>
  </si>
  <si>
    <t>Öppen fritidsverksamhet</t>
  </si>
  <si>
    <t>Fritidshem</t>
  </si>
  <si>
    <t>Skolväsendet för barn- o ungdom</t>
  </si>
  <si>
    <t>Gymnasieskola</t>
  </si>
  <si>
    <t xml:space="preserve">Gymnasiesärskola </t>
  </si>
  <si>
    <t>Skolväsendet för barn o ungdom totalt</t>
  </si>
  <si>
    <t>Kommunal vuxenutbildning</t>
  </si>
  <si>
    <t>Högskoleutbildning m.m.</t>
  </si>
  <si>
    <t>Verksamhetens kostnad enligt RR</t>
  </si>
  <si>
    <t>Verksamhetens intäkter enl. RR</t>
  </si>
  <si>
    <t>Verksamhetens kostnader enl. RR</t>
  </si>
  <si>
    <t>Verksamhetens intäkter enl.RR</t>
  </si>
  <si>
    <t xml:space="preserve">Svenska för invandrare </t>
  </si>
  <si>
    <t>PEDAGOGISK VERKSAMH., TOTALT</t>
  </si>
  <si>
    <t>Block 5. VÅRD O OMSORG</t>
  </si>
  <si>
    <t>Primärvård</t>
  </si>
  <si>
    <t>Hälso- och sjukvård, övrigt exkl. hemsjukvård</t>
  </si>
  <si>
    <t xml:space="preserve">Vård, omsorg: äldre och personer med funktionsnedsättning </t>
  </si>
  <si>
    <t>Färdtjänst/riksfärdtjänst</t>
  </si>
  <si>
    <t>Öppen verksamhet</t>
  </si>
  <si>
    <t>VoO: äldre, personer m.funktionsneds., tot.</t>
  </si>
  <si>
    <t xml:space="preserve">Individ- och familjeomsorg               </t>
  </si>
  <si>
    <t>Barn och ungdomsvård</t>
  </si>
  <si>
    <t>Ekonomiskt bistånd</t>
  </si>
  <si>
    <t xml:space="preserve">Individ- och familjeomsorg, totalt </t>
  </si>
  <si>
    <t>Familjerätt och familjerådgivning</t>
  </si>
  <si>
    <t>VÅRD OCH OMSORG, TOTALT</t>
  </si>
  <si>
    <t>Block 6. SÄRSKILT RIKTADE INSATSER</t>
  </si>
  <si>
    <r>
      <t>Insatser till personer med funktionsnedsättning (exkl LSS/SFB</t>
    </r>
    <r>
      <rPr>
        <b/>
        <vertAlign val="superscript"/>
        <sz val="7"/>
        <rFont val="Helvetica"/>
        <family val="2"/>
      </rPr>
      <t>1</t>
    </r>
    <r>
      <rPr>
        <b/>
        <sz val="7"/>
        <rFont val="Helvetica"/>
        <family val="2"/>
      </rPr>
      <t>)</t>
    </r>
  </si>
  <si>
    <t>Flyktingmottagande</t>
  </si>
  <si>
    <t xml:space="preserve">Arbetsmarknadsåtgärder </t>
  </si>
  <si>
    <t>SÄRSKILT RIKTADE INSATSER,TOTALT</t>
  </si>
  <si>
    <t>AFFÄRSVERKSAMHET</t>
  </si>
  <si>
    <t>Näringsliv och bostäder</t>
  </si>
  <si>
    <t>Arbetsområden och lokaler</t>
  </si>
  <si>
    <t>Kommunikationer</t>
  </si>
  <si>
    <t>Flygtrafik</t>
  </si>
  <si>
    <t>Energi, vatten och avfall</t>
  </si>
  <si>
    <t>Elförsörjning + gasförsörjning</t>
  </si>
  <si>
    <t>Energi, vatten och avfall, totalt</t>
  </si>
  <si>
    <t>SUMMA DRIFTVERKSAMHET</t>
  </si>
  <si>
    <t>Nettokostnad gemensamma verksamheter</t>
  </si>
  <si>
    <t>Kommuner</t>
  </si>
  <si>
    <t>Kommunal-</t>
  </si>
  <si>
    <t>Staten och</t>
  </si>
  <si>
    <t xml:space="preserve"> stiftelser</t>
  </si>
  <si>
    <t>företag</t>
  </si>
  <si>
    <t>förbund</t>
  </si>
  <si>
    <t>statl.myndigh.</t>
  </si>
  <si>
    <t>[358]</t>
  </si>
  <si>
    <t xml:space="preserve">Fritidsverksamhet, totalt  </t>
  </si>
  <si>
    <t xml:space="preserve">Gymnasieskola </t>
  </si>
  <si>
    <t xml:space="preserve">Gymnasiesärskola  </t>
  </si>
  <si>
    <t xml:space="preserve">Förändring pensionsavs inkl.särsk.lönesk på p.avs </t>
  </si>
  <si>
    <t xml:space="preserve"> därav  inst. vård för vuxna med missbruksprob.</t>
  </si>
  <si>
    <t>Övrig Ifo + fam.rätt (rad 571+ 575+585)</t>
  </si>
  <si>
    <t>Arbetsmarknadsåtgärder</t>
  </si>
  <si>
    <t>Summa affärsverksamhet</t>
  </si>
  <si>
    <t>Gemensam verksamhet (inkl. lokaler)</t>
  </si>
  <si>
    <t>Brutto-</t>
  </si>
  <si>
    <t>Nyckeltal</t>
  </si>
  <si>
    <t xml:space="preserve">Interna kostnader </t>
  </si>
  <si>
    <t xml:space="preserve">Fördelning av gemensamma verksamheter </t>
  </si>
  <si>
    <t>Interna intäkter</t>
  </si>
  <si>
    <t>Balanskravsresultat</t>
  </si>
  <si>
    <t>Årets resultat enligt resultaträkningen</t>
  </si>
  <si>
    <t>intäkt</t>
  </si>
  <si>
    <t>Infrastruktur, skydd mm totalt</t>
  </si>
  <si>
    <t>Utlandet</t>
  </si>
  <si>
    <t>-/+ Nedskrivningar/återföring av nedskrivning</t>
  </si>
  <si>
    <t>Anhörigbidrag</t>
  </si>
  <si>
    <t>Vårdnadsbidrag barnomsorg</t>
  </si>
  <si>
    <t>Sjuklön</t>
  </si>
  <si>
    <t>Vatten och avlopp</t>
  </si>
  <si>
    <t>Öppen förskola och öppen fritidsverksamhet</t>
  </si>
  <si>
    <t>Summa vård och omsorg om äldre</t>
  </si>
  <si>
    <t>Daglig verksamhet enligt LSS</t>
  </si>
  <si>
    <t>Övriga insatser enligt LSS</t>
  </si>
  <si>
    <t>Öppna insatser, individuellt behovsprövad öppen vård</t>
  </si>
  <si>
    <t>Öppna insatser, bistånd som avser boende</t>
  </si>
  <si>
    <t>Öppna insatser, övriga</t>
  </si>
  <si>
    <r>
      <t xml:space="preserve">Konto </t>
    </r>
    <r>
      <rPr>
        <b/>
        <sz val="8"/>
        <rFont val="Helvetica"/>
        <family val="2"/>
      </rPr>
      <t>[354]</t>
    </r>
    <r>
      <rPr>
        <sz val="8"/>
        <rFont val="Helvetica"/>
        <family val="2"/>
      </rPr>
      <t xml:space="preserve"> kommunens ersättning </t>
    </r>
    <r>
      <rPr>
        <b/>
        <sz val="8"/>
        <rFont val="Helvetica"/>
        <family val="2"/>
      </rPr>
      <t>från</t>
    </r>
    <r>
      <rPr>
        <sz val="8"/>
        <rFont val="Helvetica"/>
        <family val="2"/>
      </rPr>
      <t xml:space="preserve"> Försäkringskassan för personlig assistent enligt SFB, tkr</t>
    </r>
  </si>
  <si>
    <r>
      <t xml:space="preserve">Konto </t>
    </r>
    <r>
      <rPr>
        <b/>
        <sz val="8"/>
        <rFont val="Helvetica"/>
        <family val="2"/>
      </rPr>
      <t>[4538]</t>
    </r>
    <r>
      <rPr>
        <sz val="8"/>
        <rFont val="Helvetica"/>
        <family val="2"/>
      </rPr>
      <t xml:space="preserve"> kommunens ersättning</t>
    </r>
    <r>
      <rPr>
        <b/>
        <sz val="8"/>
        <rFont val="Helvetica"/>
        <family val="2"/>
      </rPr>
      <t xml:space="preserve"> till</t>
    </r>
    <r>
      <rPr>
        <sz val="8"/>
        <rFont val="Helvetica"/>
        <family val="2"/>
      </rPr>
      <t xml:space="preserve"> Försäkringskassan för personlig assistent enligt  SFB, tkr</t>
    </r>
  </si>
  <si>
    <t>Familjehemsvård för barn och unga</t>
  </si>
  <si>
    <t>Summa barn- och ungdomsvård</t>
  </si>
  <si>
    <t>Övriga insatser till vuxna</t>
  </si>
  <si>
    <t>Familjerätt</t>
  </si>
  <si>
    <t>Familjerådgivning</t>
  </si>
  <si>
    <t>Summa individ- och familjeomsorg</t>
  </si>
  <si>
    <t>Därav</t>
  </si>
  <si>
    <t>inventarier</t>
  </si>
  <si>
    <t>tekn.anläggn.</t>
  </si>
  <si>
    <t>Näringsl.främj.åtg, turistv.o konsum.-ener.rådg</t>
  </si>
  <si>
    <t>17 [ej 178]</t>
  </si>
  <si>
    <t>Miljö- och hälsoskydd och alkoholtillstånd</t>
  </si>
  <si>
    <t>Totalförsvar och samhällsskydd</t>
  </si>
  <si>
    <t>Infrastruktur, skydd m.m. totalt</t>
  </si>
  <si>
    <t>Kultur och fritid, totalt</t>
  </si>
  <si>
    <r>
      <t>Utbildning</t>
    </r>
    <r>
      <rPr>
        <sz val="7"/>
        <rFont val="Helvetica"/>
        <family val="2"/>
      </rPr>
      <t xml:space="preserve">                                            </t>
    </r>
  </si>
  <si>
    <t>Gymnasieskola inkl gymnasiesärskola</t>
  </si>
  <si>
    <t>Pedagogisk verksamhet, totalt</t>
  </si>
  <si>
    <r>
      <t xml:space="preserve">Vård och omsorg </t>
    </r>
    <r>
      <rPr>
        <sz val="7"/>
        <rFont val="Helvetica"/>
        <family val="2"/>
      </rPr>
      <t xml:space="preserve">                                    
Primärvård</t>
    </r>
  </si>
  <si>
    <t>Individ o familjeomsorg totalt, familjerätt</t>
  </si>
  <si>
    <t xml:space="preserve">Vård och omsorg, totalt                                    </t>
  </si>
  <si>
    <t>Särskilt riktade insatser, totalt</t>
  </si>
  <si>
    <r>
      <t xml:space="preserve">AFFÄRSVERKSAMHET                            
</t>
    </r>
    <r>
      <rPr>
        <b/>
        <sz val="7"/>
        <rFont val="Helvetica"/>
        <family val="2"/>
      </rPr>
      <t xml:space="preserve">Näringsliv och bostäder                   </t>
    </r>
    <r>
      <rPr>
        <sz val="7"/>
        <rFont val="Helvetica"/>
        <family val="2"/>
      </rPr>
      <t>Arbetsområden och lokaler</t>
    </r>
  </si>
  <si>
    <r>
      <t>Kommunikationer</t>
    </r>
    <r>
      <rPr>
        <sz val="7"/>
        <rFont val="Helvetica"/>
        <family val="2"/>
      </rPr>
      <t xml:space="preserve">                                                         Flygtrafik</t>
    </r>
  </si>
  <si>
    <r>
      <t>Energi, vatten och avfall</t>
    </r>
    <r>
      <rPr>
        <sz val="7"/>
        <rFont val="Helvetica"/>
        <family val="2"/>
      </rPr>
      <t xml:space="preserve">                                        
El- och gasförsörjning</t>
    </r>
  </si>
  <si>
    <t>Energi, vatten och avfall,totalt</t>
  </si>
  <si>
    <t>Ange kommunens kostnad för rådgivning och annat personligt stöd enl 9 § punkt 1 LSS, tkr</t>
  </si>
  <si>
    <t>Övriga tilläggsupplysningar</t>
  </si>
  <si>
    <t>EU-bidrag (driftbidrag)</t>
  </si>
  <si>
    <t>Löner</t>
  </si>
  <si>
    <t>Boende enl. LSS för vuxna</t>
  </si>
  <si>
    <t>ägda företag</t>
  </si>
  <si>
    <t>Föreningar,</t>
  </si>
  <si>
    <t>Privata</t>
  </si>
  <si>
    <t>Utjämningssystemen o. generella statliga bidrag samt fastighetsavg.</t>
  </si>
  <si>
    <t xml:space="preserve">Summa öppna insatser vuxna </t>
  </si>
  <si>
    <t>HVB-vård för barn och unga</t>
  </si>
  <si>
    <t>Vård för vuxna med missbruksproblem</t>
  </si>
  <si>
    <r>
      <t xml:space="preserve">Övriga </t>
    </r>
    <r>
      <rPr>
        <b/>
        <sz val="7"/>
        <rFont val="Helvetica"/>
        <family val="2"/>
      </rPr>
      <t/>
    </r>
  </si>
  <si>
    <t>Rad  nr</t>
  </si>
  <si>
    <t>Summa vård för vuxna med missbruksproblem</t>
  </si>
  <si>
    <t xml:space="preserve"> därav  HVB-vård för barn och unga</t>
  </si>
  <si>
    <t xml:space="preserve">Summa öppna insatser för barn och unga </t>
  </si>
  <si>
    <t>178</t>
  </si>
  <si>
    <t>Kalkylerad PO + Kalkylerad kapitalkostn.</t>
  </si>
  <si>
    <t>Interna kostnader</t>
  </si>
  <si>
    <t>Soc.avg o pens.utbet./kostn. (56(ej 5635), 57 (ej572)</t>
  </si>
  <si>
    <t>Förändr.pens.avs.[572] o.särsk.lönesk.pens.avs.[5635]</t>
  </si>
  <si>
    <t>Jämförelsestörande kostnader</t>
  </si>
  <si>
    <t>Jämförelsestörande intäkter</t>
  </si>
  <si>
    <t>100</t>
  </si>
  <si>
    <t>110</t>
  </si>
  <si>
    <t>120</t>
  </si>
  <si>
    <t>130</t>
  </si>
  <si>
    <t>190</t>
  </si>
  <si>
    <t>215</t>
  </si>
  <si>
    <t>220</t>
  </si>
  <si>
    <t>230</t>
  </si>
  <si>
    <t>249</t>
  </si>
  <si>
    <t>250</t>
  </si>
  <si>
    <t>261</t>
  </si>
  <si>
    <t>263</t>
  </si>
  <si>
    <t>267</t>
  </si>
  <si>
    <t>270</t>
  </si>
  <si>
    <t>275</t>
  </si>
  <si>
    <t>290</t>
  </si>
  <si>
    <t>310</t>
  </si>
  <si>
    <t>315</t>
  </si>
  <si>
    <t>320</t>
  </si>
  <si>
    <t>330</t>
  </si>
  <si>
    <t>339</t>
  </si>
  <si>
    <t>300</t>
  </si>
  <si>
    <t>340</t>
  </si>
  <si>
    <t>350</t>
  </si>
  <si>
    <t>359</t>
  </si>
  <si>
    <t>390</t>
  </si>
  <si>
    <t>400</t>
  </si>
  <si>
    <t>407</t>
  </si>
  <si>
    <t>412</t>
  </si>
  <si>
    <t>415</t>
  </si>
  <si>
    <t>425</t>
  </si>
  <si>
    <t>430</t>
  </si>
  <si>
    <t>443</t>
  </si>
  <si>
    <t>450</t>
  </si>
  <si>
    <t>453</t>
  </si>
  <si>
    <t>469</t>
  </si>
  <si>
    <t>474</t>
  </si>
  <si>
    <t>475</t>
  </si>
  <si>
    <t>476</t>
  </si>
  <si>
    <t>478</t>
  </si>
  <si>
    <t>480</t>
  </si>
  <si>
    <t>490</t>
  </si>
  <si>
    <t>500</t>
  </si>
  <si>
    <t>505</t>
  </si>
  <si>
    <t>513</t>
  </si>
  <si>
    <t>530</t>
  </si>
  <si>
    <t>600</t>
  </si>
  <si>
    <t>610</t>
  </si>
  <si>
    <t>690</t>
  </si>
  <si>
    <t>790</t>
  </si>
  <si>
    <t>800</t>
  </si>
  <si>
    <t>805</t>
  </si>
  <si>
    <t>810</t>
  </si>
  <si>
    <t>815</t>
  </si>
  <si>
    <t>820</t>
  </si>
  <si>
    <t>830</t>
  </si>
  <si>
    <t>832</t>
  </si>
  <si>
    <t>834</t>
  </si>
  <si>
    <t>840</t>
  </si>
  <si>
    <t>855</t>
  </si>
  <si>
    <t>860</t>
  </si>
  <si>
    <t>865</t>
  </si>
  <si>
    <t>870</t>
  </si>
  <si>
    <t>880</t>
  </si>
  <si>
    <t>890</t>
  </si>
  <si>
    <t>900</t>
  </si>
  <si>
    <t>910</t>
  </si>
  <si>
    <t>920</t>
  </si>
  <si>
    <t>950</t>
  </si>
  <si>
    <t>010</t>
  </si>
  <si>
    <t>020</t>
  </si>
  <si>
    <t>025</t>
  </si>
  <si>
    <t>030</t>
  </si>
  <si>
    <t>040</t>
  </si>
  <si>
    <t>050</t>
  </si>
  <si>
    <t>060</t>
  </si>
  <si>
    <t>070</t>
  </si>
  <si>
    <t>080</t>
  </si>
  <si>
    <t>115</t>
  </si>
  <si>
    <t>015</t>
  </si>
  <si>
    <t>021</t>
  </si>
  <si>
    <t>023</t>
  </si>
  <si>
    <t>036</t>
  </si>
  <si>
    <t>037</t>
  </si>
  <si>
    <t>033</t>
  </si>
  <si>
    <t>032</t>
  </si>
  <si>
    <t>031</t>
  </si>
  <si>
    <t>034</t>
  </si>
  <si>
    <t>035</t>
  </si>
  <si>
    <t>039</t>
  </si>
  <si>
    <t>045</t>
  </si>
  <si>
    <t>046</t>
  </si>
  <si>
    <t>051</t>
  </si>
  <si>
    <t>055</t>
  </si>
  <si>
    <t>053</t>
  </si>
  <si>
    <t>054</t>
  </si>
  <si>
    <t>056</t>
  </si>
  <si>
    <t>058</t>
  </si>
  <si>
    <t>065</t>
  </si>
  <si>
    <t>069</t>
  </si>
  <si>
    <t>999</t>
  </si>
  <si>
    <t>052</t>
  </si>
  <si>
    <t>066</t>
  </si>
  <si>
    <t>073</t>
  </si>
  <si>
    <t>074</t>
  </si>
  <si>
    <t>075</t>
  </si>
  <si>
    <t>076</t>
  </si>
  <si>
    <t>071</t>
  </si>
  <si>
    <t>077</t>
  </si>
  <si>
    <t>078</t>
  </si>
  <si>
    <t>079</t>
  </si>
  <si>
    <t>081</t>
  </si>
  <si>
    <t>082</t>
  </si>
  <si>
    <t>083</t>
  </si>
  <si>
    <t>084</t>
  </si>
  <si>
    <t>085</t>
  </si>
  <si>
    <t>089</t>
  </si>
  <si>
    <t>090</t>
  </si>
  <si>
    <t>086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</si>
  <si>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</si>
  <si>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</si>
  <si>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</si>
  <si>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</si>
  <si>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</si>
  <si>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</si>
  <si>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</si>
  <si>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</si>
  <si>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</si>
  <si>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107</t>
  </si>
  <si>
    <t>108</t>
  </si>
  <si>
    <t>121</t>
  </si>
  <si>
    <t>122</t>
  </si>
  <si>
    <t>140</t>
  </si>
  <si>
    <t>150</t>
  </si>
  <si>
    <t>160</t>
  </si>
  <si>
    <t>088</t>
  </si>
  <si>
    <t>101</t>
  </si>
  <si>
    <t>239</t>
  </si>
  <si>
    <t>269</t>
  </si>
  <si>
    <t>459</t>
  </si>
  <si>
    <t>479</t>
  </si>
  <si>
    <t>580</t>
  </si>
  <si>
    <t>590</t>
  </si>
  <si>
    <t>- Avskrivningar</t>
  </si>
  <si>
    <t>+/- Omklassificeringar</t>
  </si>
  <si>
    <t>+/- Övriga förändringar</t>
  </si>
  <si>
    <t>990</t>
  </si>
  <si>
    <t>991</t>
  </si>
  <si>
    <t>992</t>
  </si>
  <si>
    <t>993</t>
  </si>
  <si>
    <t>994</t>
  </si>
  <si>
    <t>995</t>
  </si>
  <si>
    <t>Eget kapital, avsättningar och skulder</t>
  </si>
  <si>
    <t>Verksamhetens intäkter</t>
  </si>
  <si>
    <t>Verksamhetens kostnader</t>
  </si>
  <si>
    <t>Kommunal regi</t>
  </si>
  <si>
    <t>Därav pedagogisk verksamhet och omsorg (kostnad för personal)</t>
  </si>
  <si>
    <t>Förskola, personalkostnad andel av total kostnad kommunal regi.</t>
  </si>
  <si>
    <t>Övr periodiseringar</t>
  </si>
  <si>
    <t>381, 382, 384</t>
  </si>
  <si>
    <t>Övriga insatser i ordinärt boende</t>
  </si>
  <si>
    <t>Återföring av nedskrivning av finansiella tillgångar</t>
  </si>
  <si>
    <t>IB Anläggningstillgångar</t>
  </si>
  <si>
    <t>UB Anläggningstillgångar</t>
  </si>
  <si>
    <t>Insatser till personer med funktionsnedsättning (ej LSS/SFB)</t>
  </si>
  <si>
    <t>Insatser enligt LSS/SFB</t>
  </si>
  <si>
    <t>Fritidshem, personalkostnad andel av total kostnad kommunal regi.</t>
  </si>
  <si>
    <t>Förskoleklass, personalkostnad andel av total kostnad kommunal regi.</t>
  </si>
  <si>
    <t>Grundskola</t>
  </si>
  <si>
    <t>Grundläggande vuxenutbildning</t>
  </si>
  <si>
    <t>Gymnasial vuxen- och påbyggnadsutbildning</t>
  </si>
  <si>
    <t>251</t>
  </si>
  <si>
    <t>255</t>
  </si>
  <si>
    <t>257</t>
  </si>
  <si>
    <t>351</t>
  </si>
  <si>
    <t>355</t>
  </si>
  <si>
    <t>357</t>
  </si>
  <si>
    <t>35</t>
  </si>
  <si>
    <t>401</t>
  </si>
  <si>
    <t>402</t>
  </si>
  <si>
    <t>404</t>
  </si>
  <si>
    <t>405</t>
  </si>
  <si>
    <t>406</t>
  </si>
  <si>
    <t>408</t>
  </si>
  <si>
    <t>4081</t>
  </si>
  <si>
    <t>431</t>
  </si>
  <si>
    <t>435</t>
  </si>
  <si>
    <t>439</t>
  </si>
  <si>
    <t>07</t>
  </si>
  <si>
    <t>40</t>
  </si>
  <si>
    <t>43</t>
  </si>
  <si>
    <t>432</t>
  </si>
  <si>
    <t>434</t>
  </si>
  <si>
    <t>436</t>
  </si>
  <si>
    <t>437</t>
  </si>
  <si>
    <t>438</t>
  </si>
  <si>
    <t>4381</t>
  </si>
  <si>
    <t>50</t>
  </si>
  <si>
    <t>501</t>
  </si>
  <si>
    <t>502</t>
  </si>
  <si>
    <t>504</t>
  </si>
  <si>
    <t>506</t>
  </si>
  <si>
    <t>507</t>
  </si>
  <si>
    <t>508</t>
  </si>
  <si>
    <t>5081</t>
  </si>
  <si>
    <t>53</t>
  </si>
  <si>
    <t>531</t>
  </si>
  <si>
    <t>532</t>
  </si>
  <si>
    <t>534</t>
  </si>
  <si>
    <t>535</t>
  </si>
  <si>
    <t>536</t>
  </si>
  <si>
    <t>537</t>
  </si>
  <si>
    <t>538</t>
  </si>
  <si>
    <t>5381</t>
  </si>
  <si>
    <t>70</t>
  </si>
  <si>
    <t>701</t>
  </si>
  <si>
    <t>702</t>
  </si>
  <si>
    <t>706</t>
  </si>
  <si>
    <t>707</t>
  </si>
  <si>
    <t>708</t>
  </si>
  <si>
    <t>7081</t>
  </si>
  <si>
    <t>72</t>
  </si>
  <si>
    <t>721</t>
  </si>
  <si>
    <t>722</t>
  </si>
  <si>
    <t>726</t>
  </si>
  <si>
    <t>727</t>
  </si>
  <si>
    <t>728</t>
  </si>
  <si>
    <t>7281</t>
  </si>
  <si>
    <t>520</t>
  </si>
  <si>
    <t>510</t>
  </si>
  <si>
    <t>Hälso- o sjukvård, primärvård  (rad 500+505)</t>
  </si>
  <si>
    <t>Övrig utbildning (rad 475+476+478)</t>
  </si>
  <si>
    <t xml:space="preserve">Institutionsvård vuxna </t>
  </si>
  <si>
    <t>569</t>
  </si>
  <si>
    <t>559</t>
  </si>
  <si>
    <t>575</t>
  </si>
  <si>
    <t>571</t>
  </si>
  <si>
    <t xml:space="preserve">Korttidsboende </t>
  </si>
  <si>
    <t>Hemtjänst i ordinärt  boende</t>
  </si>
  <si>
    <t>Dagverksamhet,  ordinärt boende</t>
  </si>
  <si>
    <t>Hemtjänst i ordinärt boende</t>
  </si>
  <si>
    <t>Boendestöd i ordinärt boende</t>
  </si>
  <si>
    <t>585</t>
  </si>
  <si>
    <t>103</t>
  </si>
  <si>
    <t>Summering</t>
  </si>
  <si>
    <t>Försäljning av exploateringsfastigheter, tomträtter</t>
  </si>
  <si>
    <r>
      <t>Insatser enligt LSS/SFB</t>
    </r>
    <r>
      <rPr>
        <b/>
        <vertAlign val="superscript"/>
        <sz val="7"/>
        <rFont val="Helvetica"/>
        <family val="2"/>
      </rPr>
      <t>1</t>
    </r>
  </si>
  <si>
    <t xml:space="preserve">Insatser till personer med funktionneds. </t>
  </si>
  <si>
    <t>Övriga periodiseringar</t>
  </si>
  <si>
    <t>901</t>
  </si>
  <si>
    <t>Övrigt</t>
  </si>
  <si>
    <t>Verksamhet/skolform</t>
  </si>
  <si>
    <t/>
  </si>
  <si>
    <t>Landsting</t>
  </si>
  <si>
    <t>0799</t>
  </si>
  <si>
    <t>07991</t>
  </si>
  <si>
    <t>Därav avgifter för verksamhet i enskild regi</t>
  </si>
  <si>
    <t>Nyckeltal kr/inv</t>
  </si>
  <si>
    <t>Däravposter till kommunernas tillgångar</t>
  </si>
  <si>
    <t>Värde tkr</t>
  </si>
  <si>
    <t>Externa lokalhyror</t>
  </si>
  <si>
    <t>Interna köp och övriga interna kostnader</t>
  </si>
  <si>
    <t>Fördelad gemensam verksamhet</t>
  </si>
  <si>
    <t>Externa bostadshyror o lokalhyror</t>
  </si>
  <si>
    <t>Övriga externa intäkter</t>
  </si>
  <si>
    <t>Bruttokostnad  ./. Interna intäkter och försäljning till andra kommuner och landsting</t>
  </si>
  <si>
    <t>Föreningar stiftelser</t>
  </si>
  <si>
    <t>Privata företag</t>
  </si>
  <si>
    <t>Staten och statl. myndigheter</t>
  </si>
  <si>
    <t>Förs.av versamh. till landsting</t>
  </si>
  <si>
    <t>Driftbidrag från EU</t>
  </si>
  <si>
    <t>Markhyror och bidrag</t>
  </si>
  <si>
    <t>BRUTTO-KOSTNAD</t>
  </si>
  <si>
    <t>BRUTTO-INTÄKT</t>
  </si>
  <si>
    <t>Rad- nr</t>
  </si>
  <si>
    <t>440</t>
  </si>
  <si>
    <t>Förskoleklass</t>
  </si>
  <si>
    <t>Särskilt boende/annat boende</t>
  </si>
  <si>
    <t>Realiserade valutakursvinster</t>
  </si>
  <si>
    <t>986</t>
  </si>
  <si>
    <t>987</t>
  </si>
  <si>
    <t>988</t>
  </si>
  <si>
    <t>989</t>
  </si>
  <si>
    <t>470</t>
  </si>
  <si>
    <t>472</t>
  </si>
  <si>
    <t>Upplupna skatteintäkter</t>
  </si>
  <si>
    <t>Vård och omsorg om äldre</t>
  </si>
  <si>
    <t xml:space="preserve">Vård för vuxna med missbruksproblem </t>
  </si>
  <si>
    <t xml:space="preserve">Barn- och ungdomsvård </t>
  </si>
  <si>
    <t xml:space="preserve">Familjerätt och familjerådgivning </t>
  </si>
  <si>
    <t>Kommun-</t>
  </si>
  <si>
    <t>+ Reavinst</t>
  </si>
  <si>
    <t>Kommunägda företag</t>
  </si>
  <si>
    <t>Familjehemsvård för vuxna</t>
  </si>
  <si>
    <t>Därav försäljn. av verksamhet till andra kommuner</t>
  </si>
  <si>
    <t xml:space="preserve"> Avgifter</t>
  </si>
  <si>
    <t>Kalkylerad personal-omkostnad</t>
  </si>
  <si>
    <t>Kalkylerade kapital-kostnader</t>
  </si>
  <si>
    <t>540</t>
  </si>
  <si>
    <t>519</t>
  </si>
  <si>
    <t>Insatser till personer med funktionsnedsättning totalt (inkl LSS)</t>
  </si>
  <si>
    <t>Från driftredovis-ningen</t>
  </si>
  <si>
    <t xml:space="preserve"> Undervisning</t>
  </si>
  <si>
    <t>Skolskjuts, reseersättning o inackordering</t>
  </si>
  <si>
    <t xml:space="preserve"> Fördelad gemensam verksamhet</t>
  </si>
  <si>
    <t>Undervisning</t>
  </si>
  <si>
    <t>Differens grundskolan</t>
  </si>
  <si>
    <t>Differens grundsärskolan</t>
  </si>
  <si>
    <t>Differens gymnasieskolan</t>
  </si>
  <si>
    <t>Differens gymnasiesärskolan</t>
  </si>
  <si>
    <t>Differens grundläggande vuxenutbildning</t>
  </si>
  <si>
    <t>Differens gymnasial vuxenutbildning</t>
  </si>
  <si>
    <t>Differens mot drift-  redovisningen</t>
  </si>
  <si>
    <t>Vård och omsorg om äldre (från motpart)</t>
  </si>
  <si>
    <t>inv 21-64 år</t>
  </si>
  <si>
    <t>Summa familjerätt och familjerådgivning</t>
  </si>
  <si>
    <t>inv 0-20 år</t>
  </si>
  <si>
    <t>invånare</t>
  </si>
  <si>
    <t>inv 0-17 år</t>
  </si>
  <si>
    <t>inv 18-69 år</t>
  </si>
  <si>
    <t>Därav undervisning (kostnad för personal)</t>
  </si>
  <si>
    <t>Finansiella nyckeltal</t>
  </si>
  <si>
    <t>Likvida medel i % av externa driftkostnader</t>
  </si>
  <si>
    <t>Försäljn.av anl.tillg. i % av skatteintäkter, generella statsbidrag o utj.</t>
  </si>
  <si>
    <t>Andel investeringar som finansieras med försäljn. av anl.tillg.</t>
  </si>
  <si>
    <t>Måltider</t>
  </si>
  <si>
    <t>http://www.scb.se/rskommuner</t>
  </si>
  <si>
    <t>Förskola, avgiftsfinansierringsgrad %</t>
  </si>
  <si>
    <t>F</t>
  </si>
  <si>
    <t>H</t>
  </si>
  <si>
    <t>I</t>
  </si>
  <si>
    <t>Fritidshem, avgiftsfinansieringsgrad</t>
  </si>
  <si>
    <t>Soliditet, % enligt balansräkningen</t>
  </si>
  <si>
    <t>Soliditet, % inkl. pensionsåtaganden före 1998</t>
  </si>
  <si>
    <t>Långfristiga skulder exkl. utlåning till kommunägda bolag</t>
  </si>
  <si>
    <t>Verksamhetens nettokostnader / Skatteintäkter, generella statsbidrag och utj.</t>
  </si>
  <si>
    <t>Finansnetto / Skatteintäkter, generella statsbidrag och utjämning</t>
  </si>
  <si>
    <t>Förutbet. kostnader o uppl. Intäkter, exkl.uppl skatteint.</t>
  </si>
  <si>
    <t>Resultat före extraordinära poster / Skatteintäkter, generella statsbidrag och utj.</t>
  </si>
  <si>
    <t>Verksamhetens självfinansieringsgrad</t>
  </si>
  <si>
    <t>Förs. expl.fastigheter, tomträtter [37]</t>
  </si>
  <si>
    <t>Interna lokal-kostnader</t>
  </si>
  <si>
    <t>Utlämnade lån till koncernföretag  (rad 088)</t>
  </si>
  <si>
    <t>572, 5635</t>
  </si>
  <si>
    <t>56 [ej 5635]</t>
  </si>
  <si>
    <t xml:space="preserve">Därav från gemensamma verksamheter  </t>
  </si>
  <si>
    <t xml:space="preserve">Boende enligt LSS för barn och unga </t>
  </si>
  <si>
    <t>Förskola, fritidshem och annan pedagogisk verksamhet</t>
  </si>
  <si>
    <t>Därav lokalkostnader</t>
  </si>
  <si>
    <t>Lokalkostnader</t>
  </si>
  <si>
    <t>Invånarantal 19 - 64</t>
  </si>
  <si>
    <t>Förskola, totalt</t>
  </si>
  <si>
    <t>Fritidshem, totalt</t>
  </si>
  <si>
    <t>Förskoleklass, totalt</t>
  </si>
  <si>
    <t>Grundskola, totalt</t>
  </si>
  <si>
    <t>Gymnasieskola, totalt</t>
  </si>
  <si>
    <t>Gymnasiesärskola, totalt</t>
  </si>
  <si>
    <t>Specificering av vissa intäkter (i kol.övr. externa intäkter)</t>
  </si>
  <si>
    <t>Grundläggande vuxenutbildning, totalt</t>
  </si>
  <si>
    <t>Gymnasial vuxen- och påbyggnadsutbildning, totalt</t>
  </si>
  <si>
    <t>1321</t>
  </si>
  <si>
    <t>5731</t>
  </si>
  <si>
    <t>5732</t>
  </si>
  <si>
    <t>07911</t>
  </si>
  <si>
    <t>07912</t>
  </si>
  <si>
    <t>07951</t>
  </si>
  <si>
    <t>2599</t>
  </si>
  <si>
    <t>25991</t>
  </si>
  <si>
    <t>253</t>
  </si>
  <si>
    <t>3521</t>
  </si>
  <si>
    <t>3522</t>
  </si>
  <si>
    <t>4091</t>
  </si>
  <si>
    <t>4092</t>
  </si>
  <si>
    <t>4094</t>
  </si>
  <si>
    <t>4391</t>
  </si>
  <si>
    <t>4392</t>
  </si>
  <si>
    <t>4393</t>
  </si>
  <si>
    <t>4394</t>
  </si>
  <si>
    <t>3524</t>
  </si>
  <si>
    <t>2524</t>
  </si>
  <si>
    <t>0724</t>
  </si>
  <si>
    <t>5091</t>
  </si>
  <si>
    <t>5092</t>
  </si>
  <si>
    <t>5093</t>
  </si>
  <si>
    <t>5094</t>
  </si>
  <si>
    <t>5391</t>
  </si>
  <si>
    <t>5392</t>
  </si>
  <si>
    <t>5393</t>
  </si>
  <si>
    <t>5394</t>
  </si>
  <si>
    <t>Beteckning</t>
  </si>
  <si>
    <t>Grundsärskola, totalt</t>
  </si>
  <si>
    <t>87</t>
  </si>
  <si>
    <t>25911</t>
  </si>
  <si>
    <t>25912</t>
  </si>
  <si>
    <t>25951</t>
  </si>
  <si>
    <t>88</t>
  </si>
  <si>
    <t>35911</t>
  </si>
  <si>
    <t>35912</t>
  </si>
  <si>
    <t>35951</t>
  </si>
  <si>
    <t>89</t>
  </si>
  <si>
    <t>80</t>
  </si>
  <si>
    <t>40911</t>
  </si>
  <si>
    <t>40912</t>
  </si>
  <si>
    <t>40931</t>
  </si>
  <si>
    <t>90</t>
  </si>
  <si>
    <t>81</t>
  </si>
  <si>
    <t>43911</t>
  </si>
  <si>
    <t>43912</t>
  </si>
  <si>
    <t>43921</t>
  </si>
  <si>
    <t>43931</t>
  </si>
  <si>
    <t>91</t>
  </si>
  <si>
    <t>82</t>
  </si>
  <si>
    <t>50911</t>
  </si>
  <si>
    <t>50912</t>
  </si>
  <si>
    <t>50921</t>
  </si>
  <si>
    <t>50931</t>
  </si>
  <si>
    <t>92</t>
  </si>
  <si>
    <t>83</t>
  </si>
  <si>
    <t>53911</t>
  </si>
  <si>
    <t>53912</t>
  </si>
  <si>
    <t>53921</t>
  </si>
  <si>
    <t>53931</t>
  </si>
  <si>
    <t>Grundsärskola</t>
  </si>
  <si>
    <r>
      <t>Summa insatser till personer med funktionsnedsättning (exkl LSS/SFB</t>
    </r>
    <r>
      <rPr>
        <b/>
        <vertAlign val="superscript"/>
        <sz val="7"/>
        <rFont val="Helvetica"/>
        <family val="2"/>
      </rPr>
      <t>1</t>
    </r>
    <r>
      <rPr>
        <b/>
        <sz val="7"/>
        <rFont val="Helvetica"/>
        <family val="2"/>
      </rPr>
      <t>)</t>
    </r>
  </si>
  <si>
    <r>
      <t xml:space="preserve">Insatser enligt LSS/SFB </t>
    </r>
    <r>
      <rPr>
        <b/>
        <sz val="7"/>
        <rFont val="Calibri"/>
        <family val="2"/>
      </rPr>
      <t>¹</t>
    </r>
    <r>
      <rPr>
        <b/>
        <vertAlign val="superscript"/>
        <sz val="7"/>
        <rFont val="Calibri"/>
        <family val="2"/>
      </rPr>
      <t>,2</t>
    </r>
    <r>
      <rPr>
        <b/>
        <sz val="7"/>
        <rFont val="Calibri"/>
        <family val="2"/>
      </rPr>
      <t>)</t>
    </r>
  </si>
  <si>
    <r>
      <t>Personlig assistans enl. LSS/SFB</t>
    </r>
    <r>
      <rPr>
        <vertAlign val="superscript"/>
        <sz val="7"/>
        <rFont val="Helvetica"/>
        <family val="2"/>
      </rPr>
      <t>1</t>
    </r>
  </si>
  <si>
    <r>
      <t>Summa insatser enligt LSS/SFB</t>
    </r>
    <r>
      <rPr>
        <b/>
        <vertAlign val="superscript"/>
        <sz val="7"/>
        <rFont val="Helvetica"/>
        <family val="2"/>
      </rPr>
      <t>1</t>
    </r>
  </si>
  <si>
    <t>2) Kostnaderna och intäkterna för LSS bruttoredovisas liksom övriga verksamheter</t>
  </si>
  <si>
    <t>Skattekostnader/bokslutsdispositioner</t>
  </si>
  <si>
    <t>1) De bestämmelser om personlig assistans som tidigare fanns i LASS är fr.o.m. år 2011 inordnade i Socialförsäkringsbalken (SFB, 51 kap.).</t>
  </si>
  <si>
    <r>
      <t>Omsättningstillgångar</t>
    </r>
    <r>
      <rPr>
        <sz val="7"/>
        <rFont val="Helvetica"/>
        <family val="2"/>
      </rPr>
      <t xml:space="preserve">                                       </t>
    </r>
  </si>
  <si>
    <t>C</t>
  </si>
  <si>
    <t>E</t>
  </si>
  <si>
    <t>G</t>
  </si>
  <si>
    <t>VKV</t>
  </si>
  <si>
    <t>VKVK</t>
  </si>
  <si>
    <t>D</t>
  </si>
  <si>
    <t>Rad-</t>
  </si>
  <si>
    <t>Text</t>
  </si>
  <si>
    <t>Kommunen</t>
  </si>
  <si>
    <t>nr</t>
  </si>
  <si>
    <t>Verksamhetens nettokostnader</t>
  </si>
  <si>
    <t>Skatteintäkter</t>
  </si>
  <si>
    <t>Finansiella intäkter</t>
  </si>
  <si>
    <t>Finansiella kostnader</t>
  </si>
  <si>
    <t>Resultat före extraordinära poster</t>
  </si>
  <si>
    <t>Extraordinära intäkter</t>
  </si>
  <si>
    <t>Extraordinära kostnader</t>
  </si>
  <si>
    <t>Årets resultat</t>
  </si>
  <si>
    <t>Rad</t>
  </si>
  <si>
    <t>Anläggningstillgångar</t>
  </si>
  <si>
    <t>Immateriella anläggningstillgångar</t>
  </si>
  <si>
    <t>Mark, byggn. och tekn. anläggningar</t>
  </si>
  <si>
    <t>Maskiner och inventarier</t>
  </si>
  <si>
    <t>Summa materiella anläggningstillg.</t>
  </si>
  <si>
    <t>Aktier och andelar, bostadsrätter</t>
  </si>
  <si>
    <t>Långfristiga fordringar</t>
  </si>
  <si>
    <t>Summa finansiella anläggningstillg.</t>
  </si>
  <si>
    <t>Summering av verksamhetens intäkter</t>
  </si>
  <si>
    <t>Summering av verksamhetens kostnader</t>
  </si>
  <si>
    <t>SUMMA ANLÄGGNINGSTILLGÅNGAR</t>
  </si>
  <si>
    <t>15</t>
  </si>
  <si>
    <t>Kundfordringar</t>
  </si>
  <si>
    <t>16</t>
  </si>
  <si>
    <t>Diverse kortfristiga fordringar</t>
  </si>
  <si>
    <t>165</t>
  </si>
  <si>
    <t>182</t>
  </si>
  <si>
    <t>Aktier och andelar</t>
  </si>
  <si>
    <t>183</t>
  </si>
  <si>
    <t>Värdereglering av kortfristiga placeringar</t>
  </si>
  <si>
    <t>Obligationer, förlagsbevis m.m.</t>
  </si>
  <si>
    <t>184</t>
  </si>
  <si>
    <t>Certifikat</t>
  </si>
  <si>
    <t>189</t>
  </si>
  <si>
    <t>Kassa och bank (likvida medel)</t>
  </si>
  <si>
    <t>14-19</t>
  </si>
  <si>
    <t>SUMMA OMSÄTTNINGSTILLG.</t>
  </si>
  <si>
    <t>10-19</t>
  </si>
  <si>
    <t>SUMMA TILLGÅNGAR</t>
  </si>
  <si>
    <t>Eget kapital, ingående värde</t>
  </si>
  <si>
    <t>221</t>
  </si>
  <si>
    <t>222</t>
  </si>
  <si>
    <t>225</t>
  </si>
  <si>
    <t>228</t>
  </si>
  <si>
    <t>Andra avsättningar</t>
  </si>
  <si>
    <t>2281</t>
  </si>
  <si>
    <t>SUMMA AVSÄTTNINGAR</t>
  </si>
  <si>
    <t>Lån i banker och kreditinstitut</t>
  </si>
  <si>
    <t>Lån i utländsk valuta</t>
  </si>
  <si>
    <t>Långfristiga skulder till koncernföretag</t>
  </si>
  <si>
    <t>237</t>
  </si>
  <si>
    <t>Långfristig leasingskuld</t>
  </si>
  <si>
    <t>Långfristiga skulder, totalt</t>
  </si>
  <si>
    <t>24</t>
  </si>
  <si>
    <t>Kortfristiga skulder till kreditinstitut och kunder</t>
  </si>
  <si>
    <t>25</t>
  </si>
  <si>
    <t>Leverantörsskulder</t>
  </si>
  <si>
    <t>Skulder till staten</t>
  </si>
  <si>
    <t>292</t>
  </si>
  <si>
    <t>Upplupna semesterlöner</t>
  </si>
  <si>
    <t>2933</t>
  </si>
  <si>
    <t>296</t>
  </si>
  <si>
    <t>Not 1</t>
  </si>
  <si>
    <t>Not 2</t>
  </si>
  <si>
    <t>Övriga kortfristiga skulder</t>
  </si>
  <si>
    <t>24-29</t>
  </si>
  <si>
    <t>Kortfristiga skulder, totalt</t>
  </si>
  <si>
    <t>23-29</t>
  </si>
  <si>
    <t>SUMMA SKULDER</t>
  </si>
  <si>
    <t>20,22-29</t>
  </si>
  <si>
    <t>SKULDER, AVSÄTT.O EGET KAPITAL</t>
  </si>
  <si>
    <t>Borgen o andra förpliktelser gentemot kommunala bostadsföretag</t>
  </si>
  <si>
    <t>Borgen o andra förplikt. gentemot övriga bostadsföretag/föreningar</t>
  </si>
  <si>
    <t>Borgen o andra förpliktelser gentemot övriga kommunala företag</t>
  </si>
  <si>
    <t>SUMMA ANSVARSFÖRBINDELSER</t>
  </si>
  <si>
    <t>Förrättnings- och granskningsavgifter</t>
  </si>
  <si>
    <t>Taxor och avgifter, övrigt</t>
  </si>
  <si>
    <t>Taxor och avgifter</t>
  </si>
  <si>
    <t>Bostads- och lokalhyror</t>
  </si>
  <si>
    <t>Markhyror och arrenden mm.</t>
  </si>
  <si>
    <t>343-349</t>
  </si>
  <si>
    <t>Hyror och arrenden</t>
  </si>
  <si>
    <t>Bidrag</t>
  </si>
  <si>
    <t>Bidrag till enskilda</t>
  </si>
  <si>
    <t>Bostadssociala bidrag</t>
  </si>
  <si>
    <t>Löner mm.</t>
  </si>
  <si>
    <t>Personal</t>
  </si>
  <si>
    <t>Livsmedel</t>
  </si>
  <si>
    <t>Kontorsmaterial</t>
  </si>
  <si>
    <t>Material, övrigt</t>
  </si>
  <si>
    <t>Material</t>
  </si>
  <si>
    <t>Tillfälligt inhyrd personal</t>
  </si>
  <si>
    <t>Hyra / leasing av anläggningstillgångar</t>
  </si>
  <si>
    <t>Tele-, It-kommunikation o. postbefordran</t>
  </si>
  <si>
    <t>Transporter</t>
  </si>
  <si>
    <t>Lokalhyror</t>
  </si>
  <si>
    <t>Markhyror</t>
  </si>
  <si>
    <t>Tjänster, övrigt</t>
  </si>
  <si>
    <t>Tjänster, inkl köp av verksamhet</t>
  </si>
  <si>
    <t>Allmän kommunalskatt</t>
  </si>
  <si>
    <t>Inkomstutjämningsavgift</t>
  </si>
  <si>
    <t>Regleringsavgift</t>
  </si>
  <si>
    <t>Kostnadsutjämningsavgift</t>
  </si>
  <si>
    <t>Avgift till LSS-utjämningen</t>
  </si>
  <si>
    <t>Avgifter i utjämningssystemen</t>
  </si>
  <si>
    <t>Inkomstutjämningsbidrag</t>
  </si>
  <si>
    <t>Strukturbidrag</t>
  </si>
  <si>
    <t>Införandebidrag</t>
  </si>
  <si>
    <t>Regleringsbidrag</t>
  </si>
  <si>
    <t>Kostnadsutjämningsbidrag</t>
  </si>
  <si>
    <t>Bidrag för LSS-utjämning</t>
  </si>
  <si>
    <t>Bidrag från utjämningssystemen och generella statliga bidrag</t>
  </si>
  <si>
    <t>Utdelning på aktier och andelar</t>
  </si>
  <si>
    <t>Ränteintäkter</t>
  </si>
  <si>
    <t>Ränteintäkter på kundfordringar</t>
  </si>
  <si>
    <t>855, 857</t>
  </si>
  <si>
    <t>Räntekostn. för lev.skulder o bankkostnader</t>
  </si>
  <si>
    <t>U</t>
  </si>
  <si>
    <t>V</t>
  </si>
  <si>
    <t>W</t>
  </si>
  <si>
    <t>X</t>
  </si>
  <si>
    <t>Z</t>
  </si>
  <si>
    <t>ZF</t>
  </si>
  <si>
    <t>ZM</t>
  </si>
  <si>
    <t>Y</t>
  </si>
  <si>
    <t>YJ</t>
  </si>
  <si>
    <t>Koncernen</t>
  </si>
  <si>
    <t xml:space="preserve">Orealiserade valutakursvinster  </t>
  </si>
  <si>
    <t>Nedskrivning av finansiella tillgångar</t>
  </si>
  <si>
    <t>Tillgångar</t>
  </si>
  <si>
    <t>Förråd, lager, exploateringsfastigh.</t>
  </si>
  <si>
    <t>1351</t>
  </si>
  <si>
    <t>246</t>
  </si>
  <si>
    <t>Årets resultat / Skatteintäkter, generella statsbidrag och utj.</t>
  </si>
  <si>
    <t>Investeringar i % av skatteintäkter, generella statsbidrag och utj.</t>
  </si>
  <si>
    <t>Grundskola inkl förskoleklass och grundsärskola</t>
  </si>
  <si>
    <t xml:space="preserve">Bidrag från utjämningssystemen och generella </t>
  </si>
  <si>
    <t>statliga bidrag</t>
  </si>
  <si>
    <t xml:space="preserve"> 849 ej 8498</t>
  </si>
  <si>
    <t xml:space="preserve">Realiserade valutakursförluster </t>
  </si>
  <si>
    <t>Orealiserade valutakursförluster</t>
  </si>
  <si>
    <t>Övr. finans. intäkter</t>
  </si>
  <si>
    <t>Övr. finans. kostn.</t>
  </si>
  <si>
    <t>Förlust vid avyttring av materiella anl.</t>
  </si>
  <si>
    <t xml:space="preserve">Verksamhetens intäkter </t>
  </si>
  <si>
    <t xml:space="preserve">Verksamhetens kostnader </t>
  </si>
  <si>
    <t>Förändring</t>
  </si>
  <si>
    <t>procent</t>
  </si>
  <si>
    <t>Borgensförbindelser och övriga ansvarsförbindelser</t>
  </si>
  <si>
    <t xml:space="preserve">Förskola, fritidshem o annan ped.verksamhet totalt </t>
  </si>
  <si>
    <t>Förskola, fritidshem o annan pedagogisk verksamhet, totalt</t>
  </si>
  <si>
    <t>Förklaring till kontrollerna:</t>
  </si>
  <si>
    <t xml:space="preserve">Korttidsboende / Korttidsvård </t>
  </si>
  <si>
    <t>Elevhälsa</t>
  </si>
  <si>
    <t>563 [ej 5635]</t>
  </si>
  <si>
    <t>BAS 13</t>
  </si>
  <si>
    <t>del av 15</t>
  </si>
  <si>
    <t>del av 25</t>
  </si>
  <si>
    <t>30, 369</t>
  </si>
  <si>
    <t>Övriga hyror och arrenden</t>
  </si>
  <si>
    <t>Driftbidrag, motpart kommuner o landsting</t>
  </si>
  <si>
    <t>Försäljning av verksamhet, motpart landsting</t>
  </si>
  <si>
    <t>Försäljning av verksamhet, motpart kommun</t>
  </si>
  <si>
    <t>4541</t>
  </si>
  <si>
    <t>Förändring av avsättning</t>
  </si>
  <si>
    <t>Försäljningsintäker,  övriga ersättningar och intäkter</t>
  </si>
  <si>
    <t>Erhållna ersättningar för personlig assistent (FK)</t>
  </si>
  <si>
    <t>Särsk. löneskatt, exkl. särsk.lönesk.pens.avs.</t>
  </si>
  <si>
    <t>Försäljn. av verksamheter och tjänster</t>
  </si>
  <si>
    <t>Bidrag till föreningar, komm.förb., företag m.fl.</t>
  </si>
  <si>
    <t>Lämnade bidrag</t>
  </si>
  <si>
    <t>Pensionsförsäkringspremier</t>
  </si>
  <si>
    <t>Husbyggnads-, anläggnings- o reparationsentrenader</t>
  </si>
  <si>
    <t>Köp av huvudverksamhet</t>
  </si>
  <si>
    <t>Reparation och underhåll</t>
  </si>
  <si>
    <t>Avsättning för särskild löneskatt på pensioner</t>
  </si>
  <si>
    <t>Avsättn. för återställ. av avfallsdeponier</t>
  </si>
  <si>
    <t>Upplupen pensionskostnad avgiftsbestämd ålderspension</t>
  </si>
  <si>
    <t>761</t>
  </si>
  <si>
    <t>Kommunal fastighetsavgift</t>
  </si>
  <si>
    <t>Förbrukningsinventarier</t>
  </si>
  <si>
    <t>Förlust vid avyttring av finansiella anläggningstillg.</t>
  </si>
  <si>
    <t>Räntekostnader</t>
  </si>
  <si>
    <t>Aktier, andelar och bostadsrätter [132, 137]</t>
  </si>
  <si>
    <t xml:space="preserve">Köp av huvud-verksamhet </t>
  </si>
  <si>
    <t>[30, 34 ej 341, 35-36</t>
  </si>
  <si>
    <t>Lämnade bidrag  [45]</t>
  </si>
  <si>
    <t>Mortpart 85</t>
  </si>
  <si>
    <t>Extern motpart, interv.5-7</t>
  </si>
  <si>
    <t>Motpart 87</t>
  </si>
  <si>
    <t>Motpart 82</t>
  </si>
  <si>
    <t>Motpart 84</t>
  </si>
  <si>
    <t>Motpart 81</t>
  </si>
  <si>
    <t>Motpart 86</t>
  </si>
  <si>
    <t>Motpart 83</t>
  </si>
  <si>
    <t>Extern motpart interv. 9</t>
  </si>
  <si>
    <t>[361]                      Motpart 82</t>
  </si>
  <si>
    <t>[361]                       Motpart 84</t>
  </si>
  <si>
    <t>[351]                       Motpart 81</t>
  </si>
  <si>
    <t xml:space="preserve">därav </t>
  </si>
  <si>
    <t>Köp av huvud-</t>
  </si>
  <si>
    <t>238</t>
  </si>
  <si>
    <t>Skuld för kostnadsersättningar och investeringsbidrag</t>
  </si>
  <si>
    <t>232, 239</t>
  </si>
  <si>
    <t>Uppl.särsk.lönesk.avgiftsbest.ålderspens.</t>
  </si>
  <si>
    <t>Upplupna sociala avgifter</t>
  </si>
  <si>
    <t>Bränsle, energi och vatten, Drivmedel</t>
  </si>
  <si>
    <t>62, 691</t>
  </si>
  <si>
    <t>8597, 8598</t>
  </si>
  <si>
    <t>361, 363, 365</t>
  </si>
  <si>
    <t>Kostnadsersättningar</t>
  </si>
  <si>
    <t>Övriga främmande tjänster</t>
  </si>
  <si>
    <t>781, 782,784</t>
  </si>
  <si>
    <t>6192, 692, 696, 73, 76</t>
  </si>
  <si>
    <t>Fastighets-, fordons- o trängselskatt, Försäkringspremier o riskkostnader, div.kostnad.</t>
  </si>
  <si>
    <t>Pensionsutbetalningar intjänade fr.o.m.98</t>
  </si>
  <si>
    <t>Pensutbetalningar intjänade före 98</t>
  </si>
  <si>
    <t>Pens.utbet. särsk. avtalspens., visstidspens.</t>
  </si>
  <si>
    <t>(Reavinst vid) Försäljning av finans. anläggningstillg.</t>
  </si>
  <si>
    <t>859 ej [8597, 8598]</t>
  </si>
  <si>
    <t>Generella bidrag från staten  m.m.</t>
  </si>
  <si>
    <t>[46]</t>
  </si>
  <si>
    <t>Köp av huvudverksamhet [46]</t>
  </si>
  <si>
    <t>verksamhet [46]</t>
  </si>
  <si>
    <t>617, 618</t>
  </si>
  <si>
    <t>63, 695</t>
  </si>
  <si>
    <t>50, 51, 53, 54, 55x2, 5598</t>
  </si>
  <si>
    <t>[50-51, 53, 54, 55x2, 5598]</t>
  </si>
  <si>
    <t>[55x1, 5597, 60,"ej 601", 61"ej 617,618", 63, 66, 68, 69"ej 691", 70-72, 731-734, 74, 75, 76, 787</t>
  </si>
  <si>
    <t>Kostn.avs. ersättning för pers. assistenter</t>
  </si>
  <si>
    <t>361, 363</t>
  </si>
  <si>
    <t>Försälj.av verksamh. och tjänster, motpart kommun</t>
  </si>
  <si>
    <t>Försälj.av verksamh. och tjänster,motpart landsting</t>
  </si>
  <si>
    <t>Försälj.av verksamh. och tjänster, motpart övr. mm.</t>
  </si>
  <si>
    <t>361 ,363</t>
  </si>
  <si>
    <t>Förs. av verksamh. till annan komm.</t>
  </si>
  <si>
    <t>361</t>
  </si>
  <si>
    <t>Därav köp av huvudverksamhet</t>
  </si>
  <si>
    <t>Motpartsredovisning av köp av huvudverksamhet [46]</t>
  </si>
  <si>
    <t>341</t>
  </si>
  <si>
    <t>651</t>
  </si>
  <si>
    <t>317</t>
  </si>
  <si>
    <t>327</t>
  </si>
  <si>
    <t>087</t>
  </si>
  <si>
    <t>062</t>
  </si>
  <si>
    <t>064</t>
  </si>
  <si>
    <t>Not 1: 26-27 (ej 271), 289, 29 (ej 292, 293, 296, 298)</t>
  </si>
  <si>
    <t>Driftbidr., motpart staten o statl.myndigheter, exkl.AF</t>
  </si>
  <si>
    <t>Driftbidrag, motpart arbetsförmedlingen</t>
  </si>
  <si>
    <t xml:space="preserve">6192, 692, 696 </t>
  </si>
  <si>
    <r>
      <rPr>
        <b/>
        <sz val="7"/>
        <rFont val="Helvetica"/>
        <family val="2"/>
      </rPr>
      <t>Not 2</t>
    </r>
    <r>
      <rPr>
        <sz val="7"/>
        <rFont val="Helvetica"/>
        <family val="2"/>
      </rPr>
      <t>: 55x1, 5597, 61 ej [617, 618, 6192], 699, 70 ej 701, 71-72</t>
    </r>
  </si>
  <si>
    <t>Differens mellan summan av rad 900-984 och RR rad 070</t>
  </si>
  <si>
    <t>[40"ej 401", 41, 43, 617, 618, 62, 64-65, 691]</t>
  </si>
  <si>
    <t>Enskilda personer, hushåll</t>
  </si>
  <si>
    <t>Kommunalförbund och SKL</t>
  </si>
  <si>
    <t>Staten, statl. Myndigheter (inkl.FK)</t>
  </si>
  <si>
    <t>[342, 351 [ej mot-part 81], 354, 356, 357, 359]</t>
  </si>
  <si>
    <t>Därav försäljning av verksamhet till kommuner och landsting</t>
  </si>
  <si>
    <t xml:space="preserve"> [30, 34 ej 341, 35-36] </t>
  </si>
  <si>
    <t>Externa bostadshyror och lokalhyror</t>
  </si>
  <si>
    <t>Försäljning av verksamhet till andra kommuner och landsting</t>
  </si>
  <si>
    <t>inkomster</t>
  </si>
  <si>
    <t>Avsättningar för pensioner och liknande förpliktelser</t>
  </si>
  <si>
    <t>Avsättningar för särskild avtalspens, visstidspens.o liknande</t>
  </si>
  <si>
    <t>Reaförluster o div. period. [78 "ej 787,"]</t>
  </si>
  <si>
    <t>138</t>
  </si>
  <si>
    <t>Grundfondskapital</t>
  </si>
  <si>
    <t>133, 134</t>
  </si>
  <si>
    <t>132, 137</t>
  </si>
  <si>
    <t>104</t>
  </si>
  <si>
    <t>31 [ej 311, 312]</t>
  </si>
  <si>
    <t>[31]</t>
  </si>
  <si>
    <t>Buss, bil och spårbundna persontransporter</t>
  </si>
  <si>
    <t>Väg- och järnvägsnät, parkering</t>
  </si>
  <si>
    <t>Justeringar i Eget kapital</t>
  </si>
  <si>
    <t xml:space="preserve">Lärverktyg </t>
  </si>
  <si>
    <t>Varor m.m.</t>
  </si>
  <si>
    <t>Kommun-                  nyckel</t>
  </si>
  <si>
    <t>SCB-             nyckel</t>
  </si>
  <si>
    <t xml:space="preserve">             Fördelning i kolumnen kommunnyckel </t>
  </si>
  <si>
    <t xml:space="preserve">             Fördelning i kolumnen SCB-nyckel</t>
  </si>
  <si>
    <t>'Verks int o kostn'!$D$76</t>
  </si>
  <si>
    <t>RR!$E$7</t>
  </si>
  <si>
    <t>'Verks int o kostn'!$E$20</t>
  </si>
  <si>
    <t>'Verks int o kostn'!$E$21</t>
  </si>
  <si>
    <t>'Verks int o kostn'!$J$45</t>
  </si>
  <si>
    <t>'Verks int o kostn'!$J$41</t>
  </si>
  <si>
    <t>'Skatter, bidrag o fin poster'!$E$11</t>
  </si>
  <si>
    <t>Investeringar!$C$16</t>
  </si>
  <si>
    <t>Investeringar!$D$16</t>
  </si>
  <si>
    <t>Investeringar!$E$16</t>
  </si>
  <si>
    <t>Investeringar!$F$16</t>
  </si>
  <si>
    <t>Drift!$AD$113</t>
  </si>
  <si>
    <t>Drift!$N$114</t>
  </si>
  <si>
    <t>Drift!$W$123</t>
  </si>
  <si>
    <t>Motpart!$AD$10</t>
  </si>
  <si>
    <t>'Pedagogisk verksamhet'!$P$43</t>
  </si>
  <si>
    <t>'Pedagogisk verksamhet'!$P$53</t>
  </si>
  <si>
    <t>Kontrollblad!$F$7</t>
  </si>
  <si>
    <t>'Pedagogisk verksamhet'!$P$67</t>
  </si>
  <si>
    <t>Kontrollblad!$F$18</t>
  </si>
  <si>
    <t>Kontrollblad!$F$26</t>
  </si>
  <si>
    <t>Kontrollblad!$F$43</t>
  </si>
  <si>
    <t>Kontrollblad!$F$51</t>
  </si>
  <si>
    <t>Kontrollblad!$F$60</t>
  </si>
  <si>
    <t>Kontrollblad!$F$68</t>
  </si>
  <si>
    <t>Kontrollblad!$F$76</t>
  </si>
  <si>
    <t>Kontrollblad!$F$89</t>
  </si>
  <si>
    <t>Kontrollblad!$F$102</t>
  </si>
  <si>
    <t>Kontrollblad!$F$110</t>
  </si>
  <si>
    <t>Kontrollblad!$F$118</t>
  </si>
  <si>
    <t>Kontrollblad!$F$128</t>
  </si>
  <si>
    <t>Kontrollblad!$F$141</t>
  </si>
  <si>
    <t>'Äldre o personer funktionsn'!$N$20</t>
  </si>
  <si>
    <t>'Äldre o personer funktionsn'!$D$59</t>
  </si>
  <si>
    <t>20</t>
  </si>
  <si>
    <t>EGET KAPITAL, utgående värde</t>
  </si>
  <si>
    <t xml:space="preserve">        därav Resultatutjämningsreserv</t>
  </si>
  <si>
    <t>Invånarantal 1-5 år</t>
  </si>
  <si>
    <t>Invånarantal 6-12 år</t>
  </si>
  <si>
    <t>Invånarantal 6 år</t>
  </si>
  <si>
    <t>Invånarantal 7-15 år</t>
  </si>
  <si>
    <t>Invånarantal 16-18 år</t>
  </si>
  <si>
    <t>Särskild utbildning för vuxna</t>
  </si>
  <si>
    <t>Förskola, kostnad per invånare 1-5 år</t>
  </si>
  <si>
    <t>Förskola, kostnad per invånare 1-5 år kommunal regi</t>
  </si>
  <si>
    <t>Förskola, kostnad för lokaler/invånare 1-5 år kommunal regi</t>
  </si>
  <si>
    <t>Förskola, köp av platser i annan kommun per invånare 1-5 år</t>
  </si>
  <si>
    <t>Förskola, försäljning av platser till annan kommun per invånare 1-5 år</t>
  </si>
  <si>
    <t>Förskola, köp av platser i enskild regi per invånare 1-5 år</t>
  </si>
  <si>
    <t>Kostnad per invånare 16-18 år kommunal regi.</t>
  </si>
  <si>
    <t>Kostnad per invånare 16-18 år för undervisning kommunal regi.</t>
  </si>
  <si>
    <t>Kostnad per invånare 16-18 år för lärverktyg kommunal regi.</t>
  </si>
  <si>
    <t>Kostnad per invånare 16-18 år för skolmåltider kommunal regi.</t>
  </si>
  <si>
    <t>Kostnad per invånare 16-18 år skolskjuts hemkommunen.</t>
  </si>
  <si>
    <t>Kostnad per invånare 16-18 år för elevhälsa kommunal regi.</t>
  </si>
  <si>
    <t>Lokalkostnad per invånare 16-18 år kommunal regi.</t>
  </si>
  <si>
    <t>Kostnad per invånare 16-18 år för övrigt kommunal regi.</t>
  </si>
  <si>
    <t>Kostnad per invånare 16-18 år för hemkommunen.</t>
  </si>
  <si>
    <t>Köp av platser i annan kommun per invånare 16-18 år.</t>
  </si>
  <si>
    <t>Försäljning av platser till annan kommun per invånare 16-18 år.</t>
  </si>
  <si>
    <t>Köp av plater från landsting per invånare 16-18 år.</t>
  </si>
  <si>
    <t>Köp av platser i fristående skola per invånare 16-18 år</t>
  </si>
  <si>
    <t>Köp av platser i fristående skola per invånare 16-18 år.</t>
  </si>
  <si>
    <t>Kostnad per invånare 19-64 år kommunal regi</t>
  </si>
  <si>
    <t>Kostnad per invånare 19-64 år för undervisning.</t>
  </si>
  <si>
    <t>Kostnad per invånare 19-64 år för lärverktyg</t>
  </si>
  <si>
    <t>Kostnad per invånare 19-64 år för elevhälsa.</t>
  </si>
  <si>
    <t>Kostnad per invånare 19-64 år för lokaler.</t>
  </si>
  <si>
    <t>Kostnad per invånare 19-64 år för övigt.</t>
  </si>
  <si>
    <t>Kostnad per invånare 19-64 år för hemkommunen, grundläggande och gymnasial vuxenutbildning.</t>
  </si>
  <si>
    <t>Kostnad per invånare 7-15 år kommunal regi.</t>
  </si>
  <si>
    <t>Kostnad per  invånare 7-15 år för undervisning kommunal regi.</t>
  </si>
  <si>
    <t>Kostnad per  invånare 7-15 år för lärverktyg kommunal regi.</t>
  </si>
  <si>
    <t>Kostnad per  invånare 7-15 år för skolmåltider kommunal regi.</t>
  </si>
  <si>
    <t>Kostnad per  invånare 7-15 år för skolskjuts hemkommun.</t>
  </si>
  <si>
    <t>Kostnad per  invånare 7-15 år för elevhälsa kommunal regi.</t>
  </si>
  <si>
    <t>Kostnad per  invånare 7-15 år för lokaler kommunal regi.</t>
  </si>
  <si>
    <t>Kostnad per  invånare 7-15 år för övrigt kommunal regi.</t>
  </si>
  <si>
    <t>Kostnad per  invånare 7-15 år för hemkommunen.</t>
  </si>
  <si>
    <t>Köp av platser i annan kommun per  invånare 7-15 år.</t>
  </si>
  <si>
    <t>Försäljning av platser till annan kommun per  invånare 7-15 år.</t>
  </si>
  <si>
    <t>Köp av platser i fristående skola per  invånare 7-15 år.</t>
  </si>
  <si>
    <t>Förskoleklass, kostnad per invånare 6 år för hemkommunen</t>
  </si>
  <si>
    <t>Förskoleklass, kostnad per invånare 6 år kommunal regi</t>
  </si>
  <si>
    <t>Förskolklass, kostnad för lokaler/invånare 6 år i kommunal regi.</t>
  </si>
  <si>
    <t>Förskoleklass, köp av platser i annan kommun per invånare 6 år</t>
  </si>
  <si>
    <t>Förskoleklass, försäljning av platser till annan kommun per invånare 6 år.</t>
  </si>
  <si>
    <t>Förskoleklass, köp av platser i enskild regi per invånare 6 år.</t>
  </si>
  <si>
    <t>Fritidshem, kostnad per invånare 6-12 år för hemkommunen</t>
  </si>
  <si>
    <t>Fritidshem, kostnad per invånare 6-12 år kommunal regi</t>
  </si>
  <si>
    <t>Fritidshem, kostnad för lokaler/invånare 6-12 år kommunal regi</t>
  </si>
  <si>
    <t>Fritidshem, köp av platser i annan kommun per invånare 6-12 år</t>
  </si>
  <si>
    <t>Fritidshem, försäljning av platser till annan kommun per invånare 6-12 år</t>
  </si>
  <si>
    <t>Fritidshem, köp av platser i enskild regi per invånare 6-12 år</t>
  </si>
  <si>
    <t>147</t>
  </si>
  <si>
    <t>+ Inköp / nyanskaffning inklusive pågående arbeten</t>
  </si>
  <si>
    <t>(Reavinst vid) försäljning av anläggningstillgångar</t>
  </si>
  <si>
    <t>Exploateringsfastigheter(avser kommun)</t>
  </si>
  <si>
    <t>Inköp av maskiner o</t>
  </si>
  <si>
    <t>Inköp av mark, byggn.</t>
  </si>
  <si>
    <t>Investerings-</t>
  </si>
  <si>
    <t>utgifter</t>
  </si>
  <si>
    <t>Därav borgensåtaganden för lån</t>
  </si>
  <si>
    <t xml:space="preserve">      varav för lån</t>
  </si>
  <si>
    <t>Borgensavgift</t>
  </si>
  <si>
    <t>042</t>
  </si>
  <si>
    <t xml:space="preserve">           varav  för lån av offentligt ägda bolag</t>
  </si>
  <si>
    <t>Återbet borgensåt.</t>
  </si>
  <si>
    <t>161</t>
  </si>
  <si>
    <t>162</t>
  </si>
  <si>
    <t>Kostnad per invånare 7-15 år för undervisning kommunal regi.</t>
  </si>
  <si>
    <t>Kostnad per invånare 7-15 år för lärverktyg kommunal regi.</t>
  </si>
  <si>
    <t>Kostnad per invånare 7-15 år för skolmåltider kommunal regi.</t>
  </si>
  <si>
    <t>Kostnad per invånare 7-15 år skolskjuts hemkommunen.</t>
  </si>
  <si>
    <t>Kostnad per invånare 7-15 år för elevhälsa kommunal regi.</t>
  </si>
  <si>
    <t>Lokalkostnad per invånare 7-15 år kommunal regi.</t>
  </si>
  <si>
    <t>Kostnad per invånare 7-15 år för övrigt kommunal regi.</t>
  </si>
  <si>
    <t>Kostnad per invånare 7-15 år för hemkommunen.</t>
  </si>
  <si>
    <t>Köp av platser i annan kommun per invånare 7-15 år.</t>
  </si>
  <si>
    <t>Försäljning av platser till annan kommun per invånare 7-15 år.</t>
  </si>
  <si>
    <t>Köp av platser från landsting per invånare 7-15 år.</t>
  </si>
  <si>
    <t>Köp av platser i fristående skola per invånare 7-15 år.</t>
  </si>
  <si>
    <t>Pensionsutbetalningar</t>
  </si>
  <si>
    <t>Uppdragsutbildning m.m.</t>
  </si>
  <si>
    <t>Avgifter till utjämningssystemen</t>
  </si>
  <si>
    <t>(Reavinst vid) Försälj. av anl.tillg.[38]</t>
  </si>
  <si>
    <t>Nyckeltal kostnad kr per invånare eller andel av verksamhet</t>
  </si>
  <si>
    <r>
      <t xml:space="preserve">Nedan fördelas summan av beloppen i kol. C och D på rad 987, inköp/nyansk. inkl. pågående arbeten. Invest. i imateriella anl.tillg. ska ingå. Finansiella inköp ska </t>
    </r>
    <r>
      <rPr>
        <b/>
        <u/>
        <sz val="9"/>
        <rFont val="Arial"/>
        <family val="2"/>
      </rPr>
      <t>ej</t>
    </r>
    <r>
      <rPr>
        <b/>
        <sz val="9"/>
        <rFont val="Arial"/>
        <family val="2"/>
      </rPr>
      <t xml:space="preserve"> ingå</t>
    </r>
  </si>
  <si>
    <t>Motpart!$M$41</t>
  </si>
  <si>
    <t>Motpart!$X$41</t>
  </si>
  <si>
    <t>Motpart!$Y$43</t>
  </si>
  <si>
    <t>Motpart!$Z$43</t>
  </si>
  <si>
    <t>Motpart!$AA$43</t>
  </si>
  <si>
    <t>Motpart!$AB$43</t>
  </si>
  <si>
    <t>Motpart!$AC$43</t>
  </si>
  <si>
    <t>Motpart!$AD$39</t>
  </si>
  <si>
    <t>BIDRAG TILL INFRASTRUKTUR</t>
  </si>
  <si>
    <t>Bidrag till infrastruktur</t>
  </si>
  <si>
    <t>Kostnadsföring bidrag till infrastruktur</t>
  </si>
  <si>
    <t>Upplösning aktiverat bidrag till infrastruktur</t>
  </si>
  <si>
    <t>733,734, 765</t>
  </si>
  <si>
    <t>Utdeln.aktier,andel.koncernftg.</t>
  </si>
  <si>
    <t>Kostnad för eget åtagande</t>
  </si>
  <si>
    <t>Kostnad för</t>
  </si>
  <si>
    <t xml:space="preserve">Kostnad för </t>
  </si>
  <si>
    <t xml:space="preserve">BRUTTO- 
</t>
  </si>
  <si>
    <t>[361] motpart 82, 84</t>
  </si>
  <si>
    <t>Begravningsavgift (Stockholm och Tranås)</t>
  </si>
  <si>
    <t>Netto-kostnad</t>
  </si>
  <si>
    <t xml:space="preserve">Produktions-kostnad </t>
  </si>
  <si>
    <t>Bruttokostnad ./. Bruttointäkt</t>
  </si>
  <si>
    <t>Bruttokostnad ./. Köp av huvud-verksamhet ./. Lämnade bidrag ./. Interna intäkter</t>
  </si>
  <si>
    <t xml:space="preserve">        kronor / invånare</t>
  </si>
  <si>
    <t xml:space="preserve">           Nyckeltal</t>
  </si>
  <si>
    <t>Bruttokostnad ./. Interna</t>
  </si>
  <si>
    <t>försäljning till andra kom-</t>
  </si>
  <si>
    <t xml:space="preserve">            Nyckeltal </t>
  </si>
  <si>
    <t>808, 809</t>
  </si>
  <si>
    <t xml:space="preserve">Mellankommunal kostn.utj., Övriga skatter </t>
  </si>
  <si>
    <t>Kostnader för eget åtagande</t>
  </si>
  <si>
    <t>åtagande</t>
  </si>
  <si>
    <t>eget</t>
  </si>
  <si>
    <t>Intern hantering inom kommunen: Synnerliga skäl att inte täcka underskott eller andra interna justeringar</t>
  </si>
  <si>
    <t>avgår: övriga justeringar</t>
  </si>
  <si>
    <t>tillägg: övriga justeringar</t>
  </si>
  <si>
    <t>varav synnerliga skäl för att inte behöva återställa ett negativt resultat</t>
  </si>
  <si>
    <r>
      <t xml:space="preserve">Nyckeltal, kronor / invånare
</t>
    </r>
    <r>
      <rPr>
        <sz val="7"/>
        <rFont val="Helvetica"/>
        <family val="2"/>
      </rPr>
      <t>och Kommentarrutor</t>
    </r>
  </si>
  <si>
    <t>Anskaffn.kostn försåld exploat.fastigh[422]</t>
  </si>
  <si>
    <t>342</t>
  </si>
  <si>
    <t>Anskaffningskostn, försåld exploat.fastigh.</t>
  </si>
  <si>
    <r>
      <rPr>
        <b/>
        <sz val="7"/>
        <rFont val="Helvetica"/>
        <family val="2"/>
      </rPr>
      <t xml:space="preserve">Not 1: </t>
    </r>
    <r>
      <rPr>
        <sz val="7"/>
        <rFont val="Helvetica"/>
        <family val="2"/>
      </rPr>
      <t xml:space="preserve">402,403, 41, 422, 43, 64 ej 644, 654, 655  </t>
    </r>
  </si>
  <si>
    <t>Avskrivningar, inklusive nedskrivningar</t>
  </si>
  <si>
    <t>Pedagogisk verksamhet'!$P$31</t>
  </si>
  <si>
    <t>Pedagogisk verksamhet'!$P$44</t>
  </si>
  <si>
    <t>Pedagogisk verksamhet'!$P$58</t>
  </si>
  <si>
    <t>Pedagogisk verksamhet'!$P$72</t>
  </si>
  <si>
    <t>Pedagogisk verksamhet'!$P$86</t>
  </si>
  <si>
    <t>Pedagogisk verksamhet'!$P$95</t>
  </si>
  <si>
    <t>Pedagogisk verksamhet'!$P$17</t>
  </si>
  <si>
    <t>Pedagogisk verksamhet'!$P$9</t>
  </si>
  <si>
    <t>Eliminera differens grundskola</t>
  </si>
  <si>
    <t>Pedagogisk verksamhet'!$P$57</t>
  </si>
  <si>
    <t>Eliminera differens grundsärskola</t>
  </si>
  <si>
    <t xml:space="preserve">Kommentera gymnasieskola </t>
  </si>
  <si>
    <t>Pedagogisk verksamhet'!$P$71</t>
  </si>
  <si>
    <t>Eliminera differens gymnasieskola</t>
  </si>
  <si>
    <t>Pedagogisk verksamhet'!$P$85</t>
  </si>
  <si>
    <t>Eliminera differens gymnasiesärskola</t>
  </si>
  <si>
    <t>Pedagogisk verksamhet'!$P$93</t>
  </si>
  <si>
    <t xml:space="preserve">Eliminera differens grundläggande vuxenutbildning </t>
  </si>
  <si>
    <t>Pedagogisk verksamhet'!$P$102</t>
  </si>
  <si>
    <t xml:space="preserve">Eliminera gymnasial vuxen- och påbyggnadsutbildning </t>
  </si>
  <si>
    <t>Drift!$X$116</t>
  </si>
  <si>
    <t>Drift!$J$118</t>
  </si>
  <si>
    <t>Drift!$P$126</t>
  </si>
  <si>
    <t>bindelser (inklusive borgens- o förlustansvar                   småhus)</t>
  </si>
  <si>
    <t>Pensionsförplikt.    Inkl. löneskatt på</t>
  </si>
  <si>
    <t xml:space="preserve"> som inte har upptagits bland skulder el. avsättningar                pensionsförpliktelse</t>
  </si>
  <si>
    <t>Övr. ansvarsför-    för egnahem o</t>
  </si>
  <si>
    <t>Särskild momsers. vid köp av ej skattepl. verksamh.</t>
  </si>
  <si>
    <t>Motpart!$U$42</t>
  </si>
  <si>
    <t>Landsting/ Regioner</t>
  </si>
  <si>
    <t xml:space="preserve">Entrepren., Konsulter </t>
  </si>
  <si>
    <t>[617,618,74,75]</t>
  </si>
  <si>
    <t>[402]</t>
  </si>
  <si>
    <t>[403]</t>
  </si>
  <si>
    <t>Samtliga invest. entrepr. och  invest.konsulter ingår)</t>
  </si>
  <si>
    <t>067</t>
  </si>
  <si>
    <t>15-17</t>
  </si>
  <si>
    <t>Summa kortfristiga fordringar</t>
  </si>
  <si>
    <t>18</t>
  </si>
  <si>
    <t>Summa kortfristiga placeringar</t>
  </si>
  <si>
    <t>131</t>
  </si>
  <si>
    <t>Avsättn. bidrag till infrastruktur</t>
  </si>
  <si>
    <t>132</t>
  </si>
  <si>
    <t>Årets uppbokade investeringsbidrag</t>
  </si>
  <si>
    <t>133</t>
  </si>
  <si>
    <t>134</t>
  </si>
  <si>
    <t>242</t>
  </si>
  <si>
    <t>Nyupptagna lån</t>
  </si>
  <si>
    <t>Investeringsbidrag (periodiserade över nyttjandetid)</t>
  </si>
  <si>
    <r>
      <rPr>
        <b/>
        <sz val="7"/>
        <rFont val="Helvetica"/>
        <family val="2"/>
      </rPr>
      <t>Kommun</t>
    </r>
    <r>
      <rPr>
        <sz val="7"/>
        <rFont val="Helvetica"/>
        <family val="2"/>
      </rPr>
      <t xml:space="preserve">
Mark, byggn. och tekn. Anläggningar [11]</t>
    </r>
  </si>
  <si>
    <r>
      <rPr>
        <b/>
        <sz val="7"/>
        <rFont val="Helvetica"/>
        <family val="2"/>
      </rPr>
      <t>Kommun</t>
    </r>
    <r>
      <rPr>
        <sz val="7"/>
        <rFont val="Helvetica"/>
        <family val="2"/>
      </rPr>
      <t xml:space="preserve">
Maskiner och inventarier [12]</t>
    </r>
  </si>
  <si>
    <r>
      <rPr>
        <b/>
        <sz val="7"/>
        <rFont val="Helvetica"/>
        <family val="2"/>
      </rPr>
      <t>Kommun</t>
    </r>
    <r>
      <rPr>
        <sz val="7"/>
        <rFont val="Helvetica"/>
        <family val="2"/>
      </rPr>
      <t xml:space="preserve">
Finansiella anläggnings-tillg.                 [13 ej 139]</t>
    </r>
  </si>
  <si>
    <t xml:space="preserve">
Därav</t>
  </si>
  <si>
    <r>
      <t xml:space="preserve">Koncern
</t>
    </r>
    <r>
      <rPr>
        <sz val="7"/>
        <color indexed="8"/>
        <rFont val="Helvetica"/>
        <family val="2"/>
      </rPr>
      <t>Materiella anläggningstillg.[11,12]</t>
    </r>
  </si>
  <si>
    <r>
      <t xml:space="preserve">Koncern
</t>
    </r>
    <r>
      <rPr>
        <sz val="7"/>
        <color indexed="8"/>
        <rFont val="Helvetica"/>
        <family val="2"/>
      </rPr>
      <t>Finansiella anläggningstillg.[13, ej 139]</t>
    </r>
  </si>
  <si>
    <t>Rad-nr</t>
  </si>
  <si>
    <t>Inköp och försäljning av mark oavsett bokfört som omsättningstillgång eller anläggningstillgång</t>
  </si>
  <si>
    <t>Inköp av mark</t>
  </si>
  <si>
    <t>Försäljning av mark, brutto inklusive rearesultat</t>
  </si>
  <si>
    <t xml:space="preserve">Vid redovisning av försäljning av mark ska enbart själva markens inkomst redovisas.  </t>
  </si>
  <si>
    <t>715</t>
  </si>
  <si>
    <t>720</t>
  </si>
  <si>
    <t>725</t>
  </si>
  <si>
    <t xml:space="preserve">Beloppen ska delas in utifrån den verksamhet som företagen klassificeras som enligt de alternativ som finns nedan.  T ex ska 50 % av ett bostadsföretags investeringsbelopp, som ägs </t>
  </si>
  <si>
    <t>till 50 % av kommunen, anges på raden för fastighetsverksamhet. I beloppet ska bolagets samtliga investeringsutgifter/inkomster ingå,dvs. inte enbart fastighetsinvesteringar.</t>
  </si>
  <si>
    <t>Bransch</t>
  </si>
  <si>
    <t>Företagen/    dotterbolagen</t>
  </si>
  <si>
    <t>(före konsolidering)</t>
  </si>
  <si>
    <t>730</t>
  </si>
  <si>
    <t>Fastighetsverksamhet</t>
  </si>
  <si>
    <t>735</t>
  </si>
  <si>
    <t>Energi och vatten</t>
  </si>
  <si>
    <t>740</t>
  </si>
  <si>
    <t>Transport och kommunikation</t>
  </si>
  <si>
    <t>745</t>
  </si>
  <si>
    <t>Övriga</t>
  </si>
  <si>
    <t>750</t>
  </si>
  <si>
    <t>Summa</t>
  </si>
  <si>
    <t>Investeringsinkomster, exklusive försäljning av anläggningstillgångar</t>
  </si>
  <si>
    <t>1000 tal kr</t>
  </si>
  <si>
    <t>Tilläggsuppgifter avseende kommunens investeringsredovisning  1000 tal kr</t>
  </si>
  <si>
    <t>Tilläggsuppgifter avseende investeringar i företag/bolag/stiftelser/kommunalförbund som konsolideras i den sammanställda redovisningen 1000 tal kr</t>
  </si>
  <si>
    <t>(exkl. förs. av anl.tillgångar)</t>
  </si>
  <si>
    <t>Intäkter till Kolada</t>
  </si>
  <si>
    <t>Bruttointäkt minus Interna intäkter och försäljning till andra kommuner och landsting</t>
  </si>
  <si>
    <t>Därav personal-kostnader</t>
  </si>
  <si>
    <t>[50-51, 53, 54, 55x2, 5598, samt PO]</t>
  </si>
  <si>
    <t>Netto-</t>
  </si>
  <si>
    <t>Dagverksamhet, ordinärt boende</t>
  </si>
  <si>
    <t>del av 453   [ej 4538]</t>
  </si>
  <si>
    <t>- Försäljningspris / avyttringsbelopp</t>
  </si>
  <si>
    <t>Däravposter till avsättningar och skulder</t>
  </si>
  <si>
    <t>[50-51, 53, 54, 55x2, 5598] samt PO</t>
  </si>
  <si>
    <t>Därav köp av huvudverk-samhet</t>
  </si>
  <si>
    <t xml:space="preserve">   därav investeringsbidrag från staten o statl.myndigheter</t>
  </si>
  <si>
    <t xml:space="preserve">   därav investeringsbidrag från EU</t>
  </si>
  <si>
    <t xml:space="preserve">   därav investeringsinkomster från företag</t>
  </si>
  <si>
    <t xml:space="preserve">   därav övriga investeringsinkomster</t>
  </si>
  <si>
    <t>del av 238</t>
  </si>
  <si>
    <t>del av 23</t>
  </si>
  <si>
    <t>del av 228</t>
  </si>
  <si>
    <t>755</t>
  </si>
  <si>
    <t>Lån för vidarutlåning till koncernföretagen</t>
  </si>
  <si>
    <t>lämnas nedan</t>
  </si>
  <si>
    <t xml:space="preserve">Uppgifterna för koncernen </t>
  </si>
  <si>
    <r>
      <rPr>
        <b/>
        <sz val="7"/>
        <rFont val="Helvetica"/>
        <family val="2"/>
      </rPr>
      <t xml:space="preserve">Koncern: </t>
    </r>
    <r>
      <rPr>
        <sz val="7"/>
        <rFont val="Helvetica"/>
        <family val="2"/>
      </rPr>
      <t>Kortfrist. skulder till kreditinst. o kunder</t>
    </r>
  </si>
  <si>
    <t xml:space="preserve">                                Varav kortfristig del av långfr. skuld</t>
  </si>
  <si>
    <t>Kortfristig del av långfristig skuld</t>
  </si>
  <si>
    <t>Checkkredit, övriga långfristiga skulder</t>
  </si>
  <si>
    <t>Om ingen exakt uppdelning finns mellan mark och eventuell byggnad/anläggning så får en uppskattning med utgångspunkt ur bokfört värde göras.</t>
  </si>
  <si>
    <r>
      <t xml:space="preserve">Det som avses är de investeringar som har gjorts av de företag/bolag/stiftelser/kommunalförbund som konsolideras i den sammanställda redovisningen. </t>
    </r>
    <r>
      <rPr>
        <b/>
        <sz val="8"/>
        <rFont val="Helvetica"/>
        <family val="2"/>
      </rPr>
      <t xml:space="preserve">Endast kommunens andel  anges. </t>
    </r>
  </si>
  <si>
    <t>Öronmärkt belopp för framtida pensionsutbetalningar enligt kommunens årsredovisning</t>
  </si>
  <si>
    <t>- Förlust vid avyttring och utrangering av anl.tillgångar</t>
  </si>
  <si>
    <t>Div. förluster, övr.riskk. [735,736,737,738,739]</t>
  </si>
  <si>
    <t>Hälso- och sjukvård, övrigt (utöver den hemsjukvård som ingår på radnr 510, 520 eller 513)</t>
  </si>
  <si>
    <t>BR!$F$79</t>
  </si>
  <si>
    <t>BR!$F$61</t>
  </si>
  <si>
    <t>Verks int o kostn'!$D$35</t>
  </si>
  <si>
    <t>Investeringar!$I$13</t>
  </si>
  <si>
    <t>Investeringar!$G$66</t>
  </si>
  <si>
    <t>Investeringar!$E$97</t>
  </si>
  <si>
    <t>Motpart!$D$44</t>
  </si>
  <si>
    <t>Motpart!$D$45</t>
  </si>
  <si>
    <t>Motpart!$F$44</t>
  </si>
  <si>
    <t>Motpart!$F$45</t>
  </si>
  <si>
    <t>Motpart!$I$44</t>
  </si>
  <si>
    <t>Motpart!$I$45</t>
  </si>
  <si>
    <t>Motpart!$K$44</t>
  </si>
  <si>
    <t>Motpart!$K$45</t>
  </si>
  <si>
    <t>Motpart!$O$44</t>
  </si>
  <si>
    <t>Motpart!$O$45</t>
  </si>
  <si>
    <t>Motpart!$Q$44</t>
  </si>
  <si>
    <t>Motpart!$Q$45</t>
  </si>
  <si>
    <t>Motpart!$S$44</t>
  </si>
  <si>
    <t>Motpart!$S$45</t>
  </si>
  <si>
    <t>Motpart!$T$44</t>
  </si>
  <si>
    <t>Motpart!$T$45</t>
  </si>
  <si>
    <t>Motpart!$V$43</t>
  </si>
  <si>
    <t>Kommentera köp av platser i annan kommun grundsärskola</t>
  </si>
  <si>
    <t xml:space="preserve">Kommenetra köp av platser i annan kommun  gymnasiesärskola </t>
  </si>
  <si>
    <t xml:space="preserve"> förskola</t>
  </si>
  <si>
    <t xml:space="preserve"> fritidshem</t>
  </si>
  <si>
    <t xml:space="preserve"> förskoleklass</t>
  </si>
  <si>
    <t xml:space="preserve"> grundskola</t>
  </si>
  <si>
    <t xml:space="preserve"> grundsärskola</t>
  </si>
  <si>
    <t xml:space="preserve"> gymnasieskolan</t>
  </si>
  <si>
    <t xml:space="preserve"> grundläggande vuxenutbildning </t>
  </si>
  <si>
    <t xml:space="preserve"> gymnasial vuxen- och påbyggnadsutbildning </t>
  </si>
  <si>
    <t xml:space="preserve">Kommentera  köp av platser i annan kommun gymnasieskola </t>
  </si>
  <si>
    <t>Äldre o personer funktionsn'!$N$30</t>
  </si>
  <si>
    <t>Äldre o personer funktionsn'!$N$38</t>
  </si>
  <si>
    <t>Totalt (exklusive försäljning av anl.tillg.)</t>
  </si>
  <si>
    <r>
      <t>Infrastruktur, skydd m.m.</t>
    </r>
    <r>
      <rPr>
        <sz val="7"/>
        <rFont val="Helvetica"/>
        <family val="2"/>
      </rPr>
      <t xml:space="preserve">                                                      Fysisk o. teknisk planering, bostadsförbättr.</t>
    </r>
  </si>
  <si>
    <t>inv. 65-w år</t>
  </si>
  <si>
    <t>inv. 0-64 år</t>
  </si>
  <si>
    <t>inv. 23-w år</t>
  </si>
  <si>
    <t>inv. 0-22 år</t>
  </si>
  <si>
    <t>inv. 23-64 år</t>
  </si>
  <si>
    <t>Driftbidrag fr. staten, statl. mynd. Inkl.AF</t>
  </si>
  <si>
    <t>Därav                                köp av huvud-verksamhet</t>
  </si>
  <si>
    <t>Differens mellan summan av rad 800-844 och RR rad 060:</t>
  </si>
  <si>
    <t>Nyckeltal %</t>
  </si>
  <si>
    <t>Larm o bevakning, Brandskydd, Avgifter för kurser m.m.</t>
  </si>
  <si>
    <t>Försäkringsavgifter</t>
  </si>
  <si>
    <t>Självrisker</t>
  </si>
  <si>
    <t>Infriad borgen</t>
  </si>
  <si>
    <t>Avgifter</t>
  </si>
  <si>
    <t>Fastighets-,Fordons- och Trängselskatt</t>
  </si>
  <si>
    <t>IFO!$L$30</t>
  </si>
  <si>
    <t>IFO!$L$20</t>
  </si>
  <si>
    <t>IFO!$L$28</t>
  </si>
  <si>
    <t>IFO!$L$36</t>
  </si>
  <si>
    <t>Kundförluster, Straffavgifter m.m., Förluster på kortfr.fordringar, Övr. riskkostnader</t>
  </si>
  <si>
    <t>Ränta på pensionsavsättningar</t>
  </si>
  <si>
    <t>Övriga bidrag</t>
  </si>
  <si>
    <t>Följande jämförelsestörande poster ingår i Resultaträkningen ovan:</t>
  </si>
  <si>
    <t>Därav Jämförelsestörande intäkter på rad 010</t>
  </si>
  <si>
    <t xml:space="preserve">Därav Jämförelsestörande kostnader på rad 020  </t>
  </si>
  <si>
    <t>170</t>
  </si>
  <si>
    <t>Därav Jämförelsestörande av-/nedskrivningar på rad 025</t>
  </si>
  <si>
    <t>175</t>
  </si>
  <si>
    <t>Därav Jämförelsestörande finansiella intäkter på rad 060</t>
  </si>
  <si>
    <t>180</t>
  </si>
  <si>
    <t>Därav Jämförelsestörande finansiella kostnader på rad 070</t>
  </si>
  <si>
    <t>ev. återstående tillfäll. stöd med anledn. av flyktingsituationen 2015-2016.</t>
  </si>
  <si>
    <t>Byggbonus</t>
  </si>
  <si>
    <r>
      <t>Därav Utdebiterat till verksamheterna (raderna)</t>
    </r>
    <r>
      <rPr>
        <sz val="7"/>
        <color rgb="FFFFFFCC"/>
        <rFont val="Helvetica"/>
      </rPr>
      <t xml:space="preserve"> …………..</t>
    </r>
    <r>
      <rPr>
        <sz val="7"/>
        <rFont val="Helvetica"/>
        <family val="2"/>
      </rPr>
      <t xml:space="preserve">100-910 i regel i kol.M </t>
    </r>
  </si>
  <si>
    <t>del av 16</t>
  </si>
  <si>
    <t>Fördelad gemensam verksamhet (rad 920)</t>
  </si>
  <si>
    <t>katt</t>
  </si>
  <si>
    <t>Investeringar!$I$14</t>
  </si>
  <si>
    <t>Pedagogisk verksamhet'!$P$24</t>
  </si>
  <si>
    <t>Skatter, bidrag o fin poster'!$E$27</t>
  </si>
  <si>
    <t>Kommunernas finanser</t>
  </si>
  <si>
    <t>Räkenskapssammandraget 2017</t>
  </si>
  <si>
    <t>735, 736, 738, 739</t>
  </si>
  <si>
    <r>
      <rPr>
        <b/>
        <sz val="7"/>
        <color theme="0"/>
        <rFont val="Arial"/>
        <family val="2"/>
      </rPr>
      <t>Kommentera riksavvikelsen</t>
    </r>
    <r>
      <rPr>
        <sz val="7"/>
        <color theme="0"/>
        <rFont val="Arial"/>
        <family val="2"/>
      </rPr>
      <t xml:space="preserve">: Betyder att nyckeltalet avviker stort från riksgenomsnittet. </t>
    </r>
  </si>
  <si>
    <r>
      <rPr>
        <b/>
        <sz val="7"/>
        <color theme="0"/>
        <rFont val="Arial"/>
        <family val="2"/>
      </rPr>
      <t xml:space="preserve">Kommentera förändringen: </t>
    </r>
    <r>
      <rPr>
        <sz val="7"/>
        <color theme="0"/>
        <rFont val="Arial"/>
        <family val="2"/>
      </rPr>
      <t xml:space="preserve">Betyder att nyckeltalet avviker stort från föregående år. 
_____________________
</t>
    </r>
    <r>
      <rPr>
        <b/>
        <sz val="7"/>
        <color theme="0"/>
        <rFont val="Arial"/>
        <family val="2"/>
      </rPr>
      <t>Kommentarrutorna finns till höger, kol. R-W</t>
    </r>
  </si>
  <si>
    <t>däravposter till verksamhetens intäkter</t>
  </si>
  <si>
    <t>däravposter till verksamhetens kostnader</t>
  </si>
  <si>
    <t>Värde, mnkr</t>
  </si>
  <si>
    <t>Värde mnkr</t>
  </si>
  <si>
    <t>däravposter till finansiella intäkter</t>
  </si>
  <si>
    <t>Investeringar fördelade på verksamheter</t>
  </si>
  <si>
    <r>
      <t xml:space="preserve">Kontroller 
</t>
    </r>
    <r>
      <rPr>
        <sz val="7"/>
        <color theme="0"/>
        <rFont val="Helvetica"/>
        <family val="2"/>
      </rPr>
      <t xml:space="preserve">Förklaring till kontroller         </t>
    </r>
    <r>
      <rPr>
        <b/>
        <sz val="7"/>
        <color theme="0"/>
        <rFont val="Helvetica"/>
        <family val="2"/>
      </rPr>
      <t xml:space="preserve">             </t>
    </r>
  </si>
  <si>
    <r>
      <rPr>
        <b/>
        <sz val="7"/>
        <color theme="0"/>
        <rFont val="Helvetica"/>
        <family val="2"/>
      </rPr>
      <t xml:space="preserve">Kommentera riksavvikelsen:     </t>
    </r>
    <r>
      <rPr>
        <sz val="7"/>
        <color theme="0"/>
        <rFont val="Helvetica"/>
        <family val="2"/>
      </rPr>
      <t xml:space="preserve">             Betyder att nyckeltalet avviker stort från riksgenomsnittet. </t>
    </r>
  </si>
  <si>
    <r>
      <rPr>
        <b/>
        <sz val="7"/>
        <color theme="0"/>
        <rFont val="Helvetica"/>
        <family val="2"/>
      </rPr>
      <t xml:space="preserve">Kommentera förändringen:     </t>
    </r>
    <r>
      <rPr>
        <sz val="7"/>
        <color theme="0"/>
        <rFont val="Helvetica"/>
        <family val="2"/>
      </rPr>
      <t xml:space="preserve">         Betyder att nyckeltalet avviker stort från föregående år. </t>
    </r>
  </si>
  <si>
    <t>Nämnare nyckeltal</t>
  </si>
  <si>
    <r>
      <t xml:space="preserve">Därav interna intäkter
</t>
    </r>
    <r>
      <rPr>
        <sz val="7"/>
        <color indexed="10"/>
        <rFont val="Helvetica"/>
        <family val="2"/>
      </rPr>
      <t/>
    </r>
  </si>
  <si>
    <t>361 motp.
82, 84</t>
  </si>
  <si>
    <t>mnkr</t>
  </si>
  <si>
    <t xml:space="preserve">I denna sammanställning ingår Region Gotland till 100%. </t>
  </si>
  <si>
    <t>Rad nr BAS 13</t>
  </si>
  <si>
    <r>
      <t>Bidrag motpart staten och statliga myndigheter</t>
    </r>
    <r>
      <rPr>
        <b/>
        <sz val="7"/>
        <rFont val="Helvetica"/>
        <family val="2"/>
      </rPr>
      <t xml:space="preserve"> </t>
    </r>
    <r>
      <rPr>
        <sz val="7"/>
        <rFont val="Helvetica"/>
      </rPr>
      <t xml:space="preserve">exkl. </t>
    </r>
    <r>
      <rPr>
        <sz val="7"/>
        <rFont val="Helvetica"/>
        <family val="2"/>
      </rPr>
      <t>ersättning till FK för pers.assistenter</t>
    </r>
  </si>
  <si>
    <t>RIKSTOTAL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</si>
</sst>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&quot;kr&quot;#,##0_);[Red]\(&quot;kr&quot;#,##0\)"/>
    <numFmt numFmtId="165" formatCode="000"/>
    <numFmt numFmtId="166" formatCode="###,###,###"/>
    <numFmt numFmtId="167" formatCode=";;;"/>
    <numFmt numFmtId="168" formatCode="#,##0.0000"/>
    <numFmt numFmtId="169" formatCode="0.0000"/>
    <numFmt numFmtId="170" formatCode="###,##0"/>
    <numFmt numFmtId="171" formatCode="#,###"/>
    <numFmt numFmtId="172" formatCode="#,##0.0000000"/>
  </numFmts>
  <fonts count="170">
    <font>
      <sz val="10"/>
      <name val="Arial"/>
    </font>
    <font>
      <sz val="11"/>
      <color theme="1"/>
      <name val="Calibri"/>
      <family val="2"/>
      <scheme val="minor"/>
    </font>
    <font>
      <sz val="10"/>
      <name val="Helvetica"/>
      <family val="2"/>
    </font>
    <font>
      <sz val="8"/>
      <name val="Helvetica"/>
      <family val="2"/>
    </font>
    <font>
      <sz val="7"/>
      <name val="Helvetica"/>
      <family val="2"/>
    </font>
    <font>
      <b/>
      <sz val="8"/>
      <name val="Helvetica"/>
      <family val="2"/>
    </font>
    <font>
      <b/>
      <sz val="7"/>
      <name val="Helvetica"/>
      <family val="2"/>
    </font>
    <font>
      <b/>
      <sz val="11"/>
      <name val="Helvetica"/>
      <family val="2"/>
    </font>
    <font>
      <sz val="7"/>
      <name val="Arial"/>
      <family val="2"/>
    </font>
    <font>
      <sz val="7"/>
      <name val="Helvetica"/>
      <family val="2"/>
    </font>
    <font>
      <sz val="8"/>
      <name val="Arial"/>
      <family val="2"/>
    </font>
    <font>
      <sz val="8"/>
      <color indexed="8"/>
      <name val="Helvetica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Helvetica"/>
      <family val="2"/>
    </font>
    <font>
      <b/>
      <sz val="7"/>
      <name val="Helvetica"/>
      <family val="2"/>
    </font>
    <font>
      <b/>
      <sz val="10"/>
      <name val="Helvetica"/>
      <family val="2"/>
    </font>
    <font>
      <sz val="7"/>
      <color indexed="8"/>
      <name val="Helvetica"/>
      <family val="2"/>
    </font>
    <font>
      <sz val="12"/>
      <name val="Times New Roman"/>
      <family val="1"/>
    </font>
    <font>
      <b/>
      <sz val="12"/>
      <name val="Helvetica"/>
      <family val="2"/>
    </font>
    <font>
      <b/>
      <sz val="8"/>
      <name val="Arial"/>
      <family val="2"/>
    </font>
    <font>
      <sz val="12"/>
      <name val="Helvetica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Helvetica"/>
      <family val="2"/>
    </font>
    <font>
      <b/>
      <sz val="7"/>
      <name val="Coronet"/>
      <family val="2"/>
    </font>
    <font>
      <b/>
      <sz val="8"/>
      <name val="Coronet"/>
      <family val="2"/>
    </font>
    <font>
      <b/>
      <sz val="11"/>
      <name val="Coronet"/>
      <family val="2"/>
    </font>
    <font>
      <b/>
      <sz val="12"/>
      <color indexed="9"/>
      <name val="Arial Black"/>
      <family val="2"/>
    </font>
    <font>
      <sz val="10"/>
      <color indexed="9"/>
      <name val="Coronet"/>
      <family val="2"/>
    </font>
    <font>
      <b/>
      <sz val="9"/>
      <color indexed="9"/>
      <name val="Coronet"/>
      <family val="2"/>
    </font>
    <font>
      <b/>
      <sz val="16"/>
      <color indexed="9"/>
      <name val="Arial"/>
      <family val="2"/>
    </font>
    <font>
      <sz val="10"/>
      <name val="Arial"/>
      <family val="2"/>
    </font>
    <font>
      <sz val="10"/>
      <name val="Helvetica"/>
      <family val="2"/>
    </font>
    <font>
      <sz val="10"/>
      <color indexed="47"/>
      <name val="Arial"/>
      <family val="2"/>
    </font>
    <font>
      <sz val="7"/>
      <color indexed="10"/>
      <name val="Helvetica"/>
      <family val="2"/>
    </font>
    <font>
      <sz val="8"/>
      <color indexed="10"/>
      <name val="Helvetica"/>
      <family val="2"/>
    </font>
    <font>
      <sz val="7"/>
      <color indexed="10"/>
      <name val="Arial"/>
      <family val="2"/>
    </font>
    <font>
      <sz val="9"/>
      <name val="Helvetica"/>
      <family val="2"/>
    </font>
    <font>
      <sz val="10"/>
      <color indexed="9"/>
      <name val="Arial"/>
      <family val="2"/>
    </font>
    <font>
      <sz val="8"/>
      <color indexed="47"/>
      <name val="Arial"/>
      <family val="2"/>
    </font>
    <font>
      <sz val="8"/>
      <color indexed="9"/>
      <name val="Arial"/>
      <family val="2"/>
    </font>
    <font>
      <sz val="7"/>
      <color indexed="37"/>
      <name val="Helvetica"/>
      <family val="2"/>
    </font>
    <font>
      <sz val="8"/>
      <color indexed="37"/>
      <name val="Helvetica"/>
      <family val="2"/>
    </font>
    <font>
      <sz val="7"/>
      <color indexed="8"/>
      <name val="Arial"/>
      <family val="2"/>
    </font>
    <font>
      <sz val="10"/>
      <color indexed="39"/>
      <name val="Arial"/>
      <family val="2"/>
    </font>
    <font>
      <sz val="8"/>
      <color indexed="39"/>
      <name val="Helvetica"/>
      <family val="2"/>
    </font>
    <font>
      <b/>
      <sz val="7"/>
      <color indexed="10"/>
      <name val="Helvetica"/>
      <family val="2"/>
    </font>
    <font>
      <sz val="7"/>
      <color indexed="39"/>
      <name val="Arial"/>
      <family val="2"/>
    </font>
    <font>
      <sz val="8"/>
      <color indexed="12"/>
      <name val="Helvetica"/>
      <family val="2"/>
    </font>
    <font>
      <sz val="8"/>
      <color indexed="39"/>
      <name val="Arial"/>
      <family val="2"/>
    </font>
    <font>
      <sz val="7"/>
      <color indexed="47"/>
      <name val="Arial"/>
      <family val="2"/>
    </font>
    <font>
      <b/>
      <sz val="7"/>
      <color indexed="10"/>
      <name val="Arial"/>
      <family val="2"/>
    </font>
    <font>
      <b/>
      <sz val="10"/>
      <name val="Arial"/>
      <family val="2"/>
    </font>
    <font>
      <sz val="9"/>
      <color indexed="39"/>
      <name val="Helvetica"/>
      <family val="2"/>
    </font>
    <font>
      <b/>
      <sz val="10"/>
      <color indexed="37"/>
      <name val="Helvetica"/>
      <family val="2"/>
    </font>
    <font>
      <b/>
      <sz val="10"/>
      <color indexed="47"/>
      <name val="Helvetica"/>
      <family val="2"/>
    </font>
    <font>
      <sz val="7"/>
      <color indexed="47"/>
      <name val="Helvetica"/>
      <family val="2"/>
    </font>
    <font>
      <b/>
      <sz val="9"/>
      <color indexed="8"/>
      <name val="Arial Black"/>
      <family val="2"/>
    </font>
    <font>
      <b/>
      <sz val="12"/>
      <name val="Arial"/>
      <family val="2"/>
    </font>
    <font>
      <b/>
      <sz val="10"/>
      <color indexed="37"/>
      <name val="Arial"/>
      <family val="2"/>
    </font>
    <font>
      <u/>
      <sz val="10"/>
      <color indexed="36"/>
      <name val="Arial"/>
      <family val="2"/>
    </font>
    <font>
      <sz val="7"/>
      <color indexed="10"/>
      <name val="Helvetica"/>
      <family val="2"/>
    </font>
    <font>
      <sz val="11"/>
      <color indexed="9"/>
      <name val="Calibri"/>
      <family val="2"/>
    </font>
    <font>
      <sz val="10"/>
      <color indexed="9"/>
      <name val="Helvetica"/>
      <family val="2"/>
    </font>
    <font>
      <b/>
      <sz val="9"/>
      <color indexed="9"/>
      <name val="Helvetica"/>
      <family val="2"/>
    </font>
    <font>
      <sz val="7"/>
      <color indexed="8"/>
      <name val="Helvetica"/>
      <family val="2"/>
    </font>
    <font>
      <b/>
      <sz val="8"/>
      <color indexed="8"/>
      <name val="Helvetica"/>
      <family val="2"/>
    </font>
    <font>
      <sz val="7"/>
      <color indexed="8"/>
      <name val="Calibri"/>
      <family val="2"/>
    </font>
    <font>
      <b/>
      <sz val="7"/>
      <color indexed="8"/>
      <name val="Helvetica"/>
      <family val="2"/>
    </font>
    <font>
      <sz val="10"/>
      <color indexed="8"/>
      <name val="Arial"/>
      <family val="2"/>
    </font>
    <font>
      <sz val="10"/>
      <color indexed="8"/>
      <name val="Helvetica"/>
      <family val="2"/>
    </font>
    <font>
      <sz val="7"/>
      <color indexed="10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Helvetica"/>
      <family val="2"/>
    </font>
    <font>
      <b/>
      <sz val="12"/>
      <color indexed="8"/>
      <name val="Arial"/>
      <family val="2"/>
    </font>
    <font>
      <b/>
      <sz val="8"/>
      <color indexed="8"/>
      <name val="Helvetica"/>
      <family val="2"/>
    </font>
    <font>
      <b/>
      <sz val="7"/>
      <name val="Calibri"/>
      <family val="2"/>
    </font>
    <font>
      <u/>
      <sz val="10"/>
      <color indexed="12"/>
      <name val="Arial"/>
      <family val="2"/>
    </font>
    <font>
      <b/>
      <sz val="12"/>
      <color indexed="8"/>
      <name val="Helvetica"/>
      <family val="2"/>
    </font>
    <font>
      <b/>
      <sz val="11"/>
      <color indexed="8"/>
      <name val="Helvetica"/>
      <family val="2"/>
    </font>
    <font>
      <b/>
      <sz val="10"/>
      <color indexed="8"/>
      <name val="Helvetica"/>
      <family val="2"/>
    </font>
    <font>
      <u/>
      <sz val="8"/>
      <color indexed="12"/>
      <name val="Helvetica"/>
      <family val="2"/>
    </font>
    <font>
      <sz val="8"/>
      <color indexed="9"/>
      <name val="Helvetica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Helvetica"/>
      <family val="2"/>
    </font>
    <font>
      <sz val="7"/>
      <color indexed="16"/>
      <name val="Helvetica"/>
      <family val="2"/>
    </font>
    <font>
      <sz val="10"/>
      <color indexed="16"/>
      <name val="Cambria"/>
      <family val="1"/>
    </font>
    <font>
      <b/>
      <sz val="7"/>
      <color indexed="9"/>
      <name val="Helvetica"/>
      <family val="2"/>
    </font>
    <font>
      <b/>
      <vertAlign val="superscript"/>
      <sz val="7"/>
      <name val="Helvetica"/>
      <family val="2"/>
    </font>
    <font>
      <b/>
      <vertAlign val="superscript"/>
      <sz val="7"/>
      <name val="Calibri"/>
      <family val="2"/>
    </font>
    <font>
      <vertAlign val="superscript"/>
      <sz val="7"/>
      <name val="Helvetica"/>
      <family val="2"/>
    </font>
    <font>
      <sz val="8"/>
      <name val="Arial"/>
      <family val="2"/>
    </font>
    <font>
      <b/>
      <sz val="8"/>
      <name val="Arial"/>
      <family val="2"/>
    </font>
    <font>
      <sz val="7"/>
      <color indexed="10"/>
      <name val="Arial"/>
      <family val="2"/>
    </font>
    <font>
      <sz val="7"/>
      <color indexed="9"/>
      <name val="Arial"/>
      <family val="2"/>
    </font>
    <font>
      <sz val="10"/>
      <color indexed="39"/>
      <name val="Helvetica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4"/>
      <name val="Arial"/>
      <family val="2"/>
    </font>
    <font>
      <sz val="10"/>
      <color indexed="39"/>
      <name val="Arial"/>
      <family val="2"/>
    </font>
    <font>
      <sz val="6"/>
      <color indexed="10"/>
      <name val="Helvetica"/>
      <family val="2"/>
    </font>
    <font>
      <sz val="6"/>
      <color indexed="10"/>
      <name val="Arial"/>
      <family val="2"/>
    </font>
    <font>
      <b/>
      <sz val="8"/>
      <color indexed="25"/>
      <name val="Arial"/>
      <family val="2"/>
    </font>
    <font>
      <b/>
      <sz val="10"/>
      <color indexed="25"/>
      <name val="Arial"/>
      <family val="2"/>
    </font>
    <font>
      <sz val="7"/>
      <name val="Helvetica "/>
    </font>
    <font>
      <sz val="8"/>
      <color indexed="9"/>
      <name val="Helvetica"/>
      <family val="2"/>
    </font>
    <font>
      <sz val="8"/>
      <color indexed="9"/>
      <name val="Cambria"/>
      <family val="1"/>
    </font>
    <font>
      <sz val="10"/>
      <color indexed="9"/>
      <name val="Cambria"/>
      <family val="1"/>
    </font>
    <font>
      <sz val="7"/>
      <name val="Cambria"/>
      <family val="1"/>
    </font>
    <font>
      <u/>
      <sz val="10"/>
      <name val="Arial"/>
      <family val="2"/>
    </font>
    <font>
      <b/>
      <u/>
      <sz val="10"/>
      <color indexed="12"/>
      <name val="Arial"/>
      <family val="2"/>
    </font>
    <font>
      <sz val="6.5"/>
      <name val="Helvetica"/>
      <family val="2"/>
    </font>
    <font>
      <sz val="7"/>
      <name val="Helvetica"/>
      <family val="2"/>
    </font>
    <font>
      <b/>
      <u/>
      <sz val="9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7"/>
      <color rgb="FFFF0000"/>
      <name val="Helvetica"/>
      <family val="2"/>
    </font>
    <font>
      <sz val="7"/>
      <color rgb="FFFF0000"/>
      <name val="Arial"/>
      <family val="2"/>
    </font>
    <font>
      <sz val="8"/>
      <color rgb="FFFF0000"/>
      <name val="Arial"/>
      <family val="2"/>
    </font>
    <font>
      <sz val="8"/>
      <color rgb="FFFF0000"/>
      <name val="Helvetica"/>
      <family val="2"/>
    </font>
    <font>
      <b/>
      <sz val="11"/>
      <color theme="0"/>
      <name val="Arial"/>
      <family val="2"/>
    </font>
    <font>
      <sz val="7"/>
      <color theme="0"/>
      <name val="Helvetica"/>
      <family val="2"/>
    </font>
    <font>
      <sz val="7"/>
      <color theme="7" tint="0.59999389629810485"/>
      <name val="Helvetica"/>
      <family val="2"/>
    </font>
    <font>
      <sz val="7"/>
      <color rgb="FFFFFFCC"/>
      <name val="Helvetica"/>
      <family val="2"/>
    </font>
    <font>
      <sz val="10"/>
      <color rgb="FFFFFFCC"/>
      <name val="Arial"/>
      <family val="2"/>
    </font>
    <font>
      <sz val="2"/>
      <color theme="0"/>
      <name val="Helvetica"/>
      <family val="2"/>
    </font>
    <font>
      <sz val="8"/>
      <color theme="1"/>
      <name val="Helvetica"/>
      <family val="2"/>
    </font>
    <font>
      <b/>
      <sz val="7"/>
      <color theme="1"/>
      <name val="Helvetica"/>
      <family val="2"/>
    </font>
    <font>
      <b/>
      <sz val="8"/>
      <color theme="1"/>
      <name val="Helvetica"/>
      <family val="2"/>
    </font>
    <font>
      <sz val="8"/>
      <color rgb="FFFFFFCC"/>
      <name val="Helvetica"/>
      <family val="2"/>
    </font>
    <font>
      <b/>
      <sz val="7"/>
      <color rgb="FFFFFFCC"/>
      <name val="Helvetica"/>
      <family val="2"/>
    </font>
    <font>
      <sz val="7"/>
      <color rgb="FFFF0000"/>
      <name val="Helvetica"/>
    </font>
    <font>
      <sz val="7"/>
      <color indexed="10"/>
      <name val="Helvetica"/>
    </font>
    <font>
      <sz val="7"/>
      <name val="Helvetica"/>
    </font>
    <font>
      <b/>
      <sz val="7"/>
      <name val="Helvetica"/>
    </font>
    <font>
      <b/>
      <sz val="7"/>
      <color rgb="FFFFFFCC"/>
      <name val="Helvetica"/>
    </font>
    <font>
      <sz val="7"/>
      <color rgb="FFFFFFCC"/>
      <name val="Helvetica"/>
    </font>
    <font>
      <sz val="7"/>
      <color rgb="FFFFFFCC"/>
      <name val="Arial"/>
      <family val="2"/>
    </font>
    <font>
      <sz val="7"/>
      <color rgb="FFFFFFCC"/>
      <name val="Helvetia"/>
    </font>
    <font>
      <sz val="7"/>
      <name val="Helvetia"/>
    </font>
    <font>
      <sz val="8"/>
      <color theme="0"/>
      <name val="Arial"/>
      <family val="2"/>
    </font>
    <font>
      <b/>
      <sz val="12"/>
      <color theme="0"/>
      <name val="Helvetica"/>
      <family val="2"/>
    </font>
    <font>
      <sz val="8"/>
      <color theme="0"/>
      <name val="Helvetica"/>
      <family val="2"/>
    </font>
    <font>
      <b/>
      <sz val="26"/>
      <color indexed="8"/>
      <name val="Helvetica"/>
      <family val="2"/>
    </font>
    <font>
      <b/>
      <sz val="26"/>
      <name val="Helvetica"/>
      <family val="2"/>
    </font>
    <font>
      <b/>
      <sz val="26"/>
      <name val="Arial"/>
      <family val="2"/>
    </font>
    <font>
      <sz val="7"/>
      <color theme="0"/>
      <name val="Arial"/>
      <family val="2"/>
    </font>
    <font>
      <sz val="10"/>
      <color theme="0"/>
      <name val="Arial"/>
      <family val="2"/>
    </font>
    <font>
      <sz val="6"/>
      <color theme="0"/>
      <name val="Helvetica"/>
      <family val="2"/>
    </font>
    <font>
      <b/>
      <sz val="10"/>
      <color theme="0"/>
      <name val="Arial"/>
      <family val="2"/>
    </font>
    <font>
      <b/>
      <sz val="7"/>
      <color theme="0"/>
      <name val="Helvetica"/>
      <family val="2"/>
    </font>
    <font>
      <sz val="7"/>
      <color theme="0"/>
      <name val="Helvetica"/>
    </font>
    <font>
      <sz val="10"/>
      <color theme="0"/>
      <name val="Cambria"/>
      <family val="1"/>
    </font>
    <font>
      <b/>
      <sz val="10"/>
      <color theme="0"/>
      <name val="Helvetica"/>
      <family val="2"/>
    </font>
    <font>
      <b/>
      <sz val="7"/>
      <color theme="0"/>
      <name val="Arial"/>
      <family val="2"/>
    </font>
    <font>
      <sz val="7"/>
      <color theme="0"/>
      <name val="Calibri"/>
      <family val="2"/>
    </font>
    <font>
      <b/>
      <sz val="8"/>
      <color theme="0"/>
      <name val="Helvetica"/>
      <family val="2"/>
    </font>
    <font>
      <b/>
      <sz val="28"/>
      <name val="Helvetica"/>
    </font>
    <font>
      <b/>
      <sz val="12"/>
      <color rgb="FF0000D9"/>
      <name val="Arial"/>
      <family val="2"/>
    </font>
    <font>
      <b/>
      <sz val="8"/>
      <color theme="0"/>
      <name val="Arial"/>
      <family val="2"/>
    </font>
    <font>
      <sz val="7"/>
      <color theme="0"/>
      <name val="Cambria"/>
      <family val="1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22"/>
        <bgColor indexed="9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22"/>
      </patternFill>
    </fill>
    <fill>
      <patternFill patternType="solid">
        <fgColor indexed="56"/>
        <bgColor indexed="64"/>
      </patternFill>
    </fill>
    <fill>
      <patternFill patternType="lightGray">
        <fgColor indexed="22"/>
        <bgColor indexed="9"/>
      </patternFill>
    </fill>
    <fill>
      <patternFill patternType="lightGray">
        <fgColor indexed="40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31"/>
      </patternFill>
    </fill>
    <fill>
      <patternFill patternType="solid">
        <fgColor indexed="26"/>
        <bgColor indexed="55"/>
      </patternFill>
    </fill>
    <fill>
      <patternFill patternType="gray125">
        <fgColor indexed="22"/>
      </patternFill>
    </fill>
    <fill>
      <patternFill patternType="solid">
        <fgColor indexed="65"/>
        <bgColor indexed="64"/>
      </patternFill>
    </fill>
    <fill>
      <patternFill patternType="lightDown">
        <fgColor indexed="9"/>
        <bgColor indexed="26"/>
      </patternFill>
    </fill>
    <fill>
      <patternFill patternType="solid">
        <fgColor indexed="26"/>
        <bgColor indexed="22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2"/>
      </patternFill>
    </fill>
    <fill>
      <patternFill patternType="solid">
        <fgColor rgb="FFFFFFCC"/>
        <bgColor indexed="55"/>
      </patternFill>
    </fill>
    <fill>
      <patternFill patternType="solid">
        <fgColor rgb="FFFFFFCC"/>
        <bgColor indexed="31"/>
      </patternFill>
    </fill>
    <fill>
      <patternFill patternType="solid">
        <fgColor rgb="FFFFFFCC"/>
        <bgColor indexed="40"/>
      </patternFill>
    </fill>
    <fill>
      <patternFill patternType="gray125">
        <fgColor indexed="22"/>
        <bgColor rgb="FFFFFFFF"/>
      </patternFill>
    </fill>
    <fill>
      <patternFill patternType="lightGray">
        <fgColor indexed="40"/>
        <bgColor theme="0"/>
      </patternFill>
    </fill>
    <fill>
      <patternFill patternType="gray125">
        <fgColor indexed="2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22"/>
      </patternFill>
    </fill>
    <fill>
      <patternFill patternType="solid">
        <fgColor rgb="FFFFFFC0"/>
        <bgColor indexed="64"/>
      </patternFill>
    </fill>
  </fills>
  <borders count="2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39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39"/>
      </top>
      <bottom/>
      <diagonal/>
    </border>
    <border>
      <left style="hair">
        <color indexed="64"/>
      </left>
      <right style="medium">
        <color indexed="64"/>
      </right>
      <top style="thin">
        <color indexed="39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12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1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</borders>
  <cellStyleXfs count="21">
    <xf numFmtId="0" fontId="0" fillId="0" borderId="0"/>
    <xf numFmtId="0" fontId="123" fillId="17" borderId="229" applyNumberFormat="0" applyFont="0" applyAlignment="0" applyProtection="0"/>
    <xf numFmtId="0" fontId="123" fillId="17" borderId="229" applyNumberFormat="0" applyFont="0" applyAlignment="0" applyProtection="0"/>
    <xf numFmtId="0" fontId="124" fillId="18" borderId="0" applyNumberFormat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123" fillId="0" borderId="0"/>
    <xf numFmtId="0" fontId="123" fillId="0" borderId="0"/>
    <xf numFmtId="0" fontId="18" fillId="0" borderId="0"/>
    <xf numFmtId="0" fontId="34" fillId="0" borderId="0"/>
    <xf numFmtId="0" fontId="2" fillId="0" borderId="0"/>
    <xf numFmtId="9" fontId="33" fillId="0" borderId="0" applyFont="0" applyFill="0" applyBorder="0" applyAlignment="0" applyProtection="0"/>
    <xf numFmtId="9" fontId="23" fillId="0" borderId="0" applyFont="0" applyFill="0" applyBorder="0" applyAlignment="0" applyProtection="0"/>
    <xf numFmtId="38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1" fillId="17" borderId="229" applyNumberFormat="0" applyFont="0" applyAlignment="0" applyProtection="0"/>
    <xf numFmtId="0" fontId="1" fillId="17" borderId="229" applyNumberFormat="0" applyFont="0" applyAlignment="0" applyProtection="0"/>
    <xf numFmtId="0" fontId="1" fillId="0" borderId="0"/>
    <xf numFmtId="0" fontId="1" fillId="0" borderId="0"/>
  </cellStyleXfs>
  <cellXfs count="2814">
    <xf numFmtId="0" fontId="0" fillId="0" borderId="0" xfId="0"/>
    <xf numFmtId="0" fontId="2" fillId="0" borderId="0" xfId="0" applyFont="1" applyProtection="1"/>
    <xf numFmtId="0" fontId="19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right"/>
    </xf>
    <xf numFmtId="0" fontId="0" fillId="2" borderId="0" xfId="0" applyFill="1" applyProtection="1"/>
    <xf numFmtId="0" fontId="2" fillId="2" borderId="0" xfId="0" applyFont="1" applyFill="1" applyProtection="1"/>
    <xf numFmtId="49" fontId="4" fillId="2" borderId="0" xfId="0" applyNumberFormat="1" applyFont="1" applyFill="1" applyBorder="1" applyAlignment="1" applyProtection="1">
      <alignment horizontal="left"/>
    </xf>
    <xf numFmtId="1" fontId="4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3" fontId="2" fillId="2" borderId="0" xfId="0" applyNumberFormat="1" applyFont="1" applyFill="1" applyBorder="1" applyProtection="1"/>
    <xf numFmtId="0" fontId="8" fillId="2" borderId="0" xfId="0" applyFont="1" applyFill="1" applyBorder="1" applyProtection="1"/>
    <xf numFmtId="0" fontId="9" fillId="2" borderId="0" xfId="0" applyFont="1" applyFill="1" applyBorder="1" applyProtection="1"/>
    <xf numFmtId="0" fontId="2" fillId="2" borderId="0" xfId="0" applyFont="1" applyFill="1" applyBorder="1" applyProtection="1"/>
    <xf numFmtId="0" fontId="9" fillId="2" borderId="0" xfId="0" applyFont="1" applyFill="1" applyProtection="1"/>
    <xf numFmtId="3" fontId="5" fillId="2" borderId="0" xfId="0" applyNumberFormat="1" applyFont="1" applyFill="1" applyBorder="1" applyProtection="1"/>
    <xf numFmtId="0" fontId="14" fillId="2" borderId="0" xfId="0" applyFont="1" applyFill="1" applyBorder="1" applyAlignment="1" applyProtection="1">
      <alignment horizontal="left"/>
    </xf>
    <xf numFmtId="1" fontId="15" fillId="0" borderId="0" xfId="0" applyNumberFormat="1" applyFont="1" applyFill="1" applyBorder="1" applyAlignment="1" applyProtection="1">
      <alignment horizontal="center"/>
    </xf>
    <xf numFmtId="0" fontId="15" fillId="0" borderId="0" xfId="0" applyFont="1" applyFill="1" applyBorder="1" applyProtection="1"/>
    <xf numFmtId="3" fontId="14" fillId="0" borderId="0" xfId="0" applyNumberFormat="1" applyFont="1" applyFill="1" applyBorder="1" applyProtection="1"/>
    <xf numFmtId="3" fontId="14" fillId="2" borderId="2" xfId="0" applyNumberFormat="1" applyFont="1" applyFill="1" applyBorder="1" applyAlignment="1" applyProtection="1">
      <alignment horizontal="right"/>
      <protection locked="0"/>
    </xf>
    <xf numFmtId="3" fontId="14" fillId="2" borderId="3" xfId="0" applyNumberFormat="1" applyFont="1" applyFill="1" applyBorder="1" applyAlignment="1" applyProtection="1">
      <alignment horizontal="right"/>
      <protection locked="0"/>
    </xf>
    <xf numFmtId="3" fontId="14" fillId="2" borderId="4" xfId="0" applyNumberFormat="1" applyFont="1" applyFill="1" applyBorder="1" applyAlignment="1" applyProtection="1">
      <alignment horizontal="right"/>
      <protection locked="0"/>
    </xf>
    <xf numFmtId="3" fontId="14" fillId="2" borderId="5" xfId="0" applyNumberFormat="1" applyFont="1" applyFill="1" applyBorder="1" applyAlignment="1" applyProtection="1">
      <alignment horizontal="right"/>
      <protection locked="0"/>
    </xf>
    <xf numFmtId="3" fontId="14" fillId="2" borderId="6" xfId="0" applyNumberFormat="1" applyFont="1" applyFill="1" applyBorder="1" applyAlignment="1" applyProtection="1">
      <alignment horizontal="right"/>
      <protection locked="0"/>
    </xf>
    <xf numFmtId="3" fontId="14" fillId="2" borderId="7" xfId="0" applyNumberFormat="1" applyFont="1" applyFill="1" applyBorder="1" applyAlignment="1" applyProtection="1">
      <alignment horizontal="right"/>
      <protection locked="0"/>
    </xf>
    <xf numFmtId="3" fontId="14" fillId="3" borderId="6" xfId="0" applyNumberFormat="1" applyFont="1" applyFill="1" applyBorder="1" applyAlignment="1" applyProtection="1">
      <alignment horizontal="right"/>
    </xf>
    <xf numFmtId="3" fontId="14" fillId="2" borderId="8" xfId="0" applyNumberFormat="1" applyFont="1" applyFill="1" applyBorder="1" applyAlignment="1" applyProtection="1">
      <alignment horizontal="right"/>
      <protection locked="0"/>
    </xf>
    <xf numFmtId="3" fontId="14" fillId="2" borderId="9" xfId="0" applyNumberFormat="1" applyFont="1" applyFill="1" applyBorder="1" applyAlignment="1" applyProtection="1">
      <alignment horizontal="right"/>
      <protection locked="0"/>
    </xf>
    <xf numFmtId="3" fontId="14" fillId="2" borderId="10" xfId="0" applyNumberFormat="1" applyFont="1" applyFill="1" applyBorder="1" applyAlignment="1" applyProtection="1">
      <alignment horizontal="right"/>
      <protection locked="0"/>
    </xf>
    <xf numFmtId="3" fontId="14" fillId="2" borderId="0" xfId="0" applyNumberFormat="1" applyFont="1" applyFill="1" applyBorder="1" applyProtection="1"/>
    <xf numFmtId="3" fontId="14" fillId="2" borderId="0" xfId="0" applyNumberFormat="1" applyFont="1" applyFill="1" applyBorder="1" applyAlignment="1" applyProtection="1">
      <alignment horizontal="right"/>
    </xf>
    <xf numFmtId="0" fontId="24" fillId="2" borderId="0" xfId="0" applyFont="1" applyFill="1" applyBorder="1" applyProtection="1"/>
    <xf numFmtId="3" fontId="9" fillId="2" borderId="0" xfId="0" applyNumberFormat="1" applyFont="1" applyFill="1" applyBorder="1" applyProtection="1"/>
    <xf numFmtId="3" fontId="9" fillId="2" borderId="0" xfId="0" applyNumberFormat="1" applyFont="1" applyFill="1" applyBorder="1" applyAlignment="1" applyProtection="1"/>
    <xf numFmtId="0" fontId="24" fillId="2" borderId="0" xfId="0" applyFont="1" applyFill="1" applyProtection="1"/>
    <xf numFmtId="0" fontId="60" fillId="2" borderId="0" xfId="0" applyFont="1" applyFill="1" applyBorder="1" applyAlignment="1" applyProtection="1">
      <alignment vertical="top"/>
    </xf>
    <xf numFmtId="167" fontId="9" fillId="2" borderId="0" xfId="0" applyNumberFormat="1" applyFont="1" applyFill="1" applyBorder="1" applyProtection="1"/>
    <xf numFmtId="3" fontId="14" fillId="2" borderId="0" xfId="0" applyNumberFormat="1" applyFont="1" applyFill="1" applyBorder="1" applyAlignment="1" applyProtection="1">
      <alignment horizontal="left"/>
    </xf>
    <xf numFmtId="3" fontId="6" fillId="2" borderId="0" xfId="0" applyNumberFormat="1" applyFont="1" applyFill="1" applyBorder="1" applyProtection="1"/>
    <xf numFmtId="0" fontId="14" fillId="2" borderId="0" xfId="0" applyFont="1" applyFill="1" applyBorder="1" applyProtection="1"/>
    <xf numFmtId="1" fontId="39" fillId="2" borderId="0" xfId="0" applyNumberFormat="1" applyFont="1" applyFill="1" applyBorder="1" applyAlignment="1" applyProtection="1">
      <alignment horizontal="left"/>
    </xf>
    <xf numFmtId="166" fontId="48" fillId="2" borderId="0" xfId="0" applyNumberFormat="1" applyFont="1" applyFill="1" applyBorder="1" applyProtection="1"/>
    <xf numFmtId="3" fontId="36" fillId="2" borderId="0" xfId="0" applyNumberFormat="1" applyFont="1" applyFill="1" applyProtection="1"/>
    <xf numFmtId="0" fontId="8" fillId="2" borderId="0" xfId="0" applyFont="1" applyFill="1" applyProtection="1"/>
    <xf numFmtId="0" fontId="52" fillId="2" borderId="0" xfId="0" applyNumberFormat="1" applyFont="1" applyFill="1" applyProtection="1"/>
    <xf numFmtId="0" fontId="4" fillId="2" borderId="0" xfId="0" applyFont="1" applyFill="1" applyProtection="1"/>
    <xf numFmtId="3" fontId="53" fillId="2" borderId="0" xfId="0" applyNumberFormat="1" applyFont="1" applyFill="1" applyBorder="1" applyAlignment="1" applyProtection="1">
      <alignment horizontal="left"/>
    </xf>
    <xf numFmtId="3" fontId="8" fillId="2" borderId="0" xfId="0" applyNumberFormat="1" applyFont="1" applyFill="1" applyBorder="1" applyProtection="1"/>
    <xf numFmtId="3" fontId="9" fillId="4" borderId="0" xfId="0" applyNumberFormat="1" applyFont="1" applyFill="1" applyBorder="1" applyProtection="1"/>
    <xf numFmtId="3" fontId="14" fillId="5" borderId="0" xfId="0" applyNumberFormat="1" applyFont="1" applyFill="1" applyBorder="1" applyAlignment="1" applyProtection="1">
      <alignment horizontal="right"/>
    </xf>
    <xf numFmtId="3" fontId="14" fillId="4" borderId="0" xfId="0" applyNumberFormat="1" applyFont="1" applyFill="1" applyBorder="1" applyAlignment="1" applyProtection="1">
      <alignment horizontal="right"/>
    </xf>
    <xf numFmtId="3" fontId="14" fillId="4" borderId="0" xfId="0" applyNumberFormat="1" applyFont="1" applyFill="1" applyBorder="1" applyAlignment="1" applyProtection="1">
      <alignment horizontal="left"/>
    </xf>
    <xf numFmtId="3" fontId="14" fillId="5" borderId="0" xfId="0" applyNumberFormat="1" applyFont="1" applyFill="1" applyBorder="1" applyAlignment="1" applyProtection="1"/>
    <xf numFmtId="3" fontId="14" fillId="5" borderId="0" xfId="0" applyNumberFormat="1" applyFont="1" applyFill="1" applyBorder="1" applyProtection="1"/>
    <xf numFmtId="3" fontId="3" fillId="2" borderId="5" xfId="0" applyNumberFormat="1" applyFont="1" applyFill="1" applyBorder="1" applyAlignment="1" applyProtection="1">
      <alignment horizontal="right"/>
      <protection locked="0"/>
    </xf>
    <xf numFmtId="3" fontId="3" fillId="2" borderId="12" xfId="0" applyNumberFormat="1" applyFont="1" applyFill="1" applyBorder="1" applyAlignment="1" applyProtection="1">
      <alignment horizontal="right"/>
      <protection locked="0"/>
    </xf>
    <xf numFmtId="3" fontId="55" fillId="2" borderId="0" xfId="0" applyNumberFormat="1" applyFont="1" applyFill="1" applyBorder="1" applyProtection="1"/>
    <xf numFmtId="3" fontId="14" fillId="6" borderId="0" xfId="0" applyNumberFormat="1" applyFont="1" applyFill="1" applyBorder="1" applyAlignment="1" applyProtection="1">
      <alignment horizontal="right"/>
    </xf>
    <xf numFmtId="3" fontId="14" fillId="6" borderId="0" xfId="0" applyNumberFormat="1" applyFont="1" applyFill="1" applyBorder="1" applyAlignment="1" applyProtection="1"/>
    <xf numFmtId="0" fontId="66" fillId="2" borderId="0" xfId="0" applyFont="1" applyFill="1" applyProtection="1"/>
    <xf numFmtId="0" fontId="70" fillId="2" borderId="0" xfId="0" quotePrefix="1" applyFont="1" applyFill="1" applyBorder="1" applyAlignment="1" applyProtection="1"/>
    <xf numFmtId="0" fontId="71" fillId="2" borderId="0" xfId="0" applyNumberFormat="1" applyFont="1" applyFill="1" applyProtection="1">
      <protection hidden="1"/>
    </xf>
    <xf numFmtId="0" fontId="71" fillId="2" borderId="0" xfId="0" applyNumberFormat="1" applyFont="1" applyFill="1" applyProtection="1"/>
    <xf numFmtId="0" fontId="72" fillId="2" borderId="0" xfId="0" applyNumberFormat="1" applyFont="1" applyFill="1" applyProtection="1"/>
    <xf numFmtId="0" fontId="72" fillId="2" borderId="0" xfId="0" applyFont="1" applyFill="1" applyProtection="1"/>
    <xf numFmtId="3" fontId="4" fillId="2" borderId="0" xfId="0" applyNumberFormat="1" applyFont="1" applyFill="1" applyBorder="1" applyProtection="1"/>
    <xf numFmtId="3" fontId="3" fillId="2" borderId="2" xfId="0" applyNumberFormat="1" applyFont="1" applyFill="1" applyBorder="1" applyAlignment="1" applyProtection="1">
      <alignment horizontal="right"/>
      <protection locked="0"/>
    </xf>
    <xf numFmtId="3" fontId="17" fillId="2" borderId="0" xfId="0" applyNumberFormat="1" applyFont="1" applyFill="1" applyBorder="1" applyProtection="1"/>
    <xf numFmtId="3" fontId="37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167" fontId="10" fillId="2" borderId="0" xfId="0" applyNumberFormat="1" applyFont="1" applyFill="1" applyProtection="1"/>
    <xf numFmtId="0" fontId="37" fillId="2" borderId="0" xfId="0" applyFont="1" applyFill="1" applyProtection="1"/>
    <xf numFmtId="0" fontId="73" fillId="2" borderId="0" xfId="0" applyFont="1" applyFill="1" applyProtection="1"/>
    <xf numFmtId="0" fontId="36" fillId="2" borderId="0" xfId="0" applyFont="1" applyFill="1" applyBorder="1" applyAlignment="1" applyProtection="1">
      <alignment horizontal="left" vertical="top"/>
    </xf>
    <xf numFmtId="1" fontId="4" fillId="2" borderId="1" xfId="0" applyNumberFormat="1" applyFont="1" applyFill="1" applyBorder="1" applyAlignment="1" applyProtection="1">
      <alignment horizontal="left"/>
    </xf>
    <xf numFmtId="0" fontId="32" fillId="0" borderId="0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3" fontId="3" fillId="0" borderId="0" xfId="0" applyNumberFormat="1" applyFont="1" applyFill="1" applyBorder="1" applyAlignment="1" applyProtection="1">
      <alignment horizontal="right"/>
    </xf>
    <xf numFmtId="3" fontId="6" fillId="4" borderId="0" xfId="0" applyNumberFormat="1" applyFont="1" applyFill="1" applyBorder="1" applyProtection="1"/>
    <xf numFmtId="0" fontId="60" fillId="2" borderId="0" xfId="0" applyFont="1" applyFill="1" applyAlignment="1" applyProtection="1">
      <alignment vertical="top"/>
    </xf>
    <xf numFmtId="0" fontId="54" fillId="2" borderId="0" xfId="0" applyFont="1" applyFill="1" applyAlignment="1" applyProtection="1"/>
    <xf numFmtId="0" fontId="54" fillId="2" borderId="0" xfId="0" applyFont="1" applyFill="1" applyAlignment="1" applyProtection="1">
      <alignment vertical="top"/>
    </xf>
    <xf numFmtId="0" fontId="32" fillId="7" borderId="0" xfId="0" applyFont="1" applyFill="1" applyBorder="1" applyAlignment="1" applyProtection="1">
      <alignment horizontal="left"/>
    </xf>
    <xf numFmtId="0" fontId="29" fillId="7" borderId="0" xfId="0" applyFont="1" applyFill="1" applyBorder="1" applyAlignment="1" applyProtection="1">
      <alignment horizontal="left"/>
    </xf>
    <xf numFmtId="0" fontId="4" fillId="0" borderId="0" xfId="0" applyFont="1" applyFill="1" applyProtection="1"/>
    <xf numFmtId="3" fontId="3" fillId="8" borderId="13" xfId="0" applyNumberFormat="1" applyFont="1" applyFill="1" applyBorder="1" applyAlignment="1" applyProtection="1">
      <alignment horizontal="right"/>
    </xf>
    <xf numFmtId="3" fontId="3" fillId="9" borderId="14" xfId="0" applyNumberFormat="1" applyFont="1" applyFill="1" applyBorder="1" applyAlignment="1" applyProtection="1">
      <alignment horizontal="right"/>
    </xf>
    <xf numFmtId="3" fontId="3" fillId="9" borderId="9" xfId="0" applyNumberFormat="1" applyFont="1" applyFill="1" applyBorder="1" applyAlignment="1" applyProtection="1">
      <alignment horizontal="right"/>
    </xf>
    <xf numFmtId="3" fontId="3" fillId="9" borderId="7" xfId="0" applyNumberFormat="1" applyFont="1" applyFill="1" applyBorder="1" applyAlignment="1" applyProtection="1">
      <alignment horizontal="right"/>
    </xf>
    <xf numFmtId="3" fontId="3" fillId="9" borderId="15" xfId="0" applyNumberFormat="1" applyFont="1" applyFill="1" applyBorder="1" applyAlignment="1" applyProtection="1">
      <alignment horizontal="right"/>
    </xf>
    <xf numFmtId="3" fontId="3" fillId="9" borderId="16" xfId="0" applyNumberFormat="1" applyFont="1" applyFill="1" applyBorder="1" applyAlignment="1" applyProtection="1">
      <alignment horizontal="right"/>
    </xf>
    <xf numFmtId="3" fontId="3" fillId="9" borderId="17" xfId="0" applyNumberFormat="1" applyFont="1" applyFill="1" applyBorder="1" applyAlignment="1" applyProtection="1">
      <alignment horizontal="right"/>
    </xf>
    <xf numFmtId="3" fontId="3" fillId="9" borderId="5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32" fillId="7" borderId="0" xfId="0" applyFont="1" applyFill="1" applyAlignment="1" applyProtection="1">
      <alignment vertical="top"/>
    </xf>
    <xf numFmtId="0" fontId="30" fillId="7" borderId="0" xfId="0" applyFont="1" applyFill="1" applyProtection="1"/>
    <xf numFmtId="0" fontId="31" fillId="7" borderId="0" xfId="0" applyFont="1" applyFill="1" applyProtection="1"/>
    <xf numFmtId="0" fontId="32" fillId="7" borderId="0" xfId="0" quotePrefix="1" applyFont="1" applyFill="1" applyBorder="1" applyAlignment="1" applyProtection="1">
      <alignment horizontal="left"/>
    </xf>
    <xf numFmtId="0" fontId="65" fillId="7" borderId="0" xfId="0" applyFont="1" applyFill="1" applyProtection="1"/>
    <xf numFmtId="0" fontId="66" fillId="7" borderId="0" xfId="0" applyFont="1" applyFill="1" applyProtection="1"/>
    <xf numFmtId="167" fontId="66" fillId="7" borderId="0" xfId="0" applyNumberFormat="1" applyFont="1" applyFill="1" applyProtection="1"/>
    <xf numFmtId="3" fontId="3" fillId="9" borderId="9" xfId="0" applyNumberFormat="1" applyFont="1" applyFill="1" applyBorder="1" applyProtection="1"/>
    <xf numFmtId="3" fontId="3" fillId="9" borderId="5" xfId="0" applyNumberFormat="1" applyFont="1" applyFill="1" applyBorder="1" applyProtection="1"/>
    <xf numFmtId="3" fontId="3" fillId="2" borderId="18" xfId="0" applyNumberFormat="1" applyFont="1" applyFill="1" applyBorder="1" applyAlignment="1" applyProtection="1">
      <alignment horizontal="right"/>
      <protection locked="0"/>
    </xf>
    <xf numFmtId="3" fontId="14" fillId="2" borderId="18" xfId="0" applyNumberFormat="1" applyFont="1" applyFill="1" applyBorder="1" applyAlignment="1" applyProtection="1">
      <alignment horizontal="right"/>
      <protection locked="0"/>
    </xf>
    <xf numFmtId="3" fontId="14" fillId="2" borderId="19" xfId="0" applyNumberFormat="1" applyFont="1" applyFill="1" applyBorder="1" applyAlignment="1" applyProtection="1">
      <alignment horizontal="right"/>
      <protection locked="0"/>
    </xf>
    <xf numFmtId="3" fontId="14" fillId="2" borderId="20" xfId="0" applyNumberFormat="1" applyFont="1" applyFill="1" applyBorder="1" applyAlignment="1" applyProtection="1">
      <alignment horizontal="right"/>
      <protection locked="0"/>
    </xf>
    <xf numFmtId="3" fontId="14" fillId="2" borderId="21" xfId="0" applyNumberFormat="1" applyFont="1" applyFill="1" applyBorder="1" applyAlignment="1" applyProtection="1">
      <alignment horizontal="right"/>
      <protection locked="0"/>
    </xf>
    <xf numFmtId="3" fontId="14" fillId="2" borderId="22" xfId="0" applyNumberFormat="1" applyFont="1" applyFill="1" applyBorder="1" applyAlignment="1" applyProtection="1">
      <alignment horizontal="right"/>
      <protection locked="0"/>
    </xf>
    <xf numFmtId="3" fontId="14" fillId="3" borderId="19" xfId="0" applyNumberFormat="1" applyFont="1" applyFill="1" applyBorder="1" applyAlignment="1" applyProtection="1">
      <alignment horizontal="right"/>
    </xf>
    <xf numFmtId="3" fontId="14" fillId="2" borderId="23" xfId="0" applyNumberFormat="1" applyFont="1" applyFill="1" applyBorder="1" applyAlignment="1" applyProtection="1">
      <alignment horizontal="right"/>
      <protection locked="0"/>
    </xf>
    <xf numFmtId="3" fontId="14" fillId="2" borderId="24" xfId="0" applyNumberFormat="1" applyFont="1" applyFill="1" applyBorder="1" applyAlignment="1" applyProtection="1">
      <alignment horizontal="right"/>
      <protection locked="0"/>
    </xf>
    <xf numFmtId="3" fontId="14" fillId="2" borderId="25" xfId="0" applyNumberFormat="1" applyFont="1" applyFill="1" applyBorder="1" applyAlignment="1" applyProtection="1">
      <alignment horizontal="right"/>
      <protection locked="0"/>
    </xf>
    <xf numFmtId="3" fontId="14" fillId="2" borderId="26" xfId="0" applyNumberFormat="1" applyFont="1" applyFill="1" applyBorder="1" applyAlignment="1" applyProtection="1">
      <alignment horizontal="right"/>
      <protection locked="0"/>
    </xf>
    <xf numFmtId="0" fontId="6" fillId="2" borderId="0" xfId="0" applyFont="1" applyFill="1" applyBorder="1" applyProtection="1"/>
    <xf numFmtId="0" fontId="9" fillId="4" borderId="0" xfId="0" applyFont="1" applyFill="1" applyBorder="1" applyProtection="1"/>
    <xf numFmtId="3" fontId="14" fillId="5" borderId="27" xfId="0" applyNumberFormat="1" applyFont="1" applyFill="1" applyBorder="1" applyAlignment="1" applyProtection="1">
      <alignment horizontal="right"/>
    </xf>
    <xf numFmtId="3" fontId="14" fillId="2" borderId="28" xfId="0" applyNumberFormat="1" applyFont="1" applyFill="1" applyBorder="1" applyAlignment="1" applyProtection="1">
      <alignment horizontal="right"/>
      <protection locked="0"/>
    </xf>
    <xf numFmtId="3" fontId="14" fillId="2" borderId="29" xfId="0" applyNumberFormat="1" applyFont="1" applyFill="1" applyBorder="1" applyAlignment="1" applyProtection="1">
      <alignment horizontal="right"/>
      <protection locked="0"/>
    </xf>
    <xf numFmtId="3" fontId="14" fillId="2" borderId="30" xfId="0" applyNumberFormat="1" applyFont="1" applyFill="1" applyBorder="1" applyAlignment="1" applyProtection="1">
      <alignment horizontal="right"/>
      <protection locked="0"/>
    </xf>
    <xf numFmtId="3" fontId="14" fillId="3" borderId="31" xfId="0" applyNumberFormat="1" applyFont="1" applyFill="1" applyBorder="1" applyAlignment="1" applyProtection="1">
      <alignment horizontal="right"/>
    </xf>
    <xf numFmtId="3" fontId="14" fillId="3" borderId="29" xfId="0" applyNumberFormat="1" applyFont="1" applyFill="1" applyBorder="1" applyAlignment="1" applyProtection="1">
      <alignment horizontal="right"/>
    </xf>
    <xf numFmtId="3" fontId="14" fillId="3" borderId="32" xfId="0" applyNumberFormat="1" applyFont="1" applyFill="1" applyBorder="1" applyAlignment="1" applyProtection="1">
      <alignment horizontal="right"/>
    </xf>
    <xf numFmtId="3" fontId="14" fillId="2" borderId="32" xfId="0" applyNumberFormat="1" applyFont="1" applyFill="1" applyBorder="1" applyAlignment="1" applyProtection="1">
      <alignment horizontal="right"/>
      <protection locked="0"/>
    </xf>
    <xf numFmtId="3" fontId="3" fillId="9" borderId="33" xfId="0" applyNumberFormat="1" applyFont="1" applyFill="1" applyBorder="1" applyProtection="1"/>
    <xf numFmtId="3" fontId="3" fillId="9" borderId="34" xfId="0" applyNumberFormat="1" applyFont="1" applyFill="1" applyBorder="1" applyAlignment="1" applyProtection="1">
      <alignment horizontal="right"/>
    </xf>
    <xf numFmtId="3" fontId="3" fillId="9" borderId="35" xfId="0" applyNumberFormat="1" applyFont="1" applyFill="1" applyBorder="1" applyAlignment="1" applyProtection="1">
      <alignment horizontal="right"/>
    </xf>
    <xf numFmtId="0" fontId="4" fillId="10" borderId="36" xfId="0" applyFont="1" applyFill="1" applyBorder="1" applyAlignment="1" applyProtection="1">
      <alignment horizontal="center"/>
    </xf>
    <xf numFmtId="0" fontId="4" fillId="10" borderId="37" xfId="0" applyFont="1" applyFill="1" applyBorder="1" applyAlignment="1" applyProtection="1">
      <alignment horizontal="center"/>
    </xf>
    <xf numFmtId="0" fontId="4" fillId="10" borderId="38" xfId="0" applyFont="1" applyFill="1" applyBorder="1" applyAlignment="1" applyProtection="1">
      <alignment horizontal="center"/>
    </xf>
    <xf numFmtId="0" fontId="36" fillId="2" borderId="0" xfId="0" applyFont="1" applyFill="1" applyBorder="1" applyProtection="1"/>
    <xf numFmtId="0" fontId="52" fillId="2" borderId="0" xfId="0" applyNumberFormat="1" applyFont="1" applyFill="1" applyBorder="1" applyProtection="1"/>
    <xf numFmtId="165" fontId="10" fillId="2" borderId="1" xfId="0" applyNumberFormat="1" applyFont="1" applyFill="1" applyBorder="1" applyAlignment="1" applyProtection="1">
      <alignment horizontal="center" vertical="center"/>
    </xf>
    <xf numFmtId="3" fontId="3" fillId="9" borderId="40" xfId="0" applyNumberFormat="1" applyFont="1" applyFill="1" applyBorder="1" applyAlignment="1" applyProtection="1">
      <alignment horizontal="right"/>
    </xf>
    <xf numFmtId="3" fontId="3" fillId="9" borderId="20" xfId="0" applyNumberFormat="1" applyFont="1" applyFill="1" applyBorder="1" applyAlignment="1" applyProtection="1">
      <alignment horizontal="right"/>
    </xf>
    <xf numFmtId="3" fontId="3" fillId="9" borderId="41" xfId="0" applyNumberFormat="1" applyFont="1" applyFill="1" applyBorder="1" applyAlignment="1" applyProtection="1">
      <alignment horizontal="right"/>
    </xf>
    <xf numFmtId="0" fontId="32" fillId="7" borderId="0" xfId="6" applyFont="1" applyFill="1" applyBorder="1" applyAlignment="1" applyProtection="1">
      <alignment horizontal="left"/>
    </xf>
    <xf numFmtId="0" fontId="29" fillId="7" borderId="0" xfId="6" applyFont="1" applyFill="1" applyBorder="1" applyAlignment="1" applyProtection="1">
      <alignment horizontal="left"/>
    </xf>
    <xf numFmtId="0" fontId="4" fillId="0" borderId="0" xfId="6" applyFont="1" applyFill="1" applyProtection="1"/>
    <xf numFmtId="3" fontId="3" fillId="2" borderId="5" xfId="6" applyNumberFormat="1" applyFont="1" applyFill="1" applyBorder="1" applyAlignment="1" applyProtection="1">
      <alignment horizontal="right"/>
      <protection locked="0"/>
    </xf>
    <xf numFmtId="3" fontId="3" fillId="8" borderId="2" xfId="6" applyNumberFormat="1" applyFont="1" applyFill="1" applyBorder="1" applyAlignment="1" applyProtection="1">
      <alignment horizontal="right"/>
    </xf>
    <xf numFmtId="3" fontId="3" fillId="9" borderId="5" xfId="6" applyNumberFormat="1" applyFont="1" applyFill="1" applyBorder="1" applyAlignment="1" applyProtection="1">
      <alignment horizontal="right"/>
    </xf>
    <xf numFmtId="0" fontId="85" fillId="7" borderId="0" xfId="0" applyFont="1" applyFill="1" applyBorder="1" applyAlignment="1" applyProtection="1">
      <alignment horizontal="left"/>
    </xf>
    <xf numFmtId="3" fontId="36" fillId="0" borderId="0" xfId="0" applyNumberFormat="1" applyFont="1" applyFill="1" applyBorder="1" applyProtection="1"/>
    <xf numFmtId="49" fontId="6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0" fontId="8" fillId="0" borderId="0" xfId="0" applyFont="1" applyFill="1" applyBorder="1" applyProtection="1"/>
    <xf numFmtId="3" fontId="4" fillId="0" borderId="0" xfId="0" applyNumberFormat="1" applyFont="1" applyFill="1" applyBorder="1" applyProtection="1"/>
    <xf numFmtId="0" fontId="4" fillId="0" borderId="0" xfId="0" applyFont="1" applyFill="1" applyBorder="1" applyProtection="1"/>
    <xf numFmtId="3" fontId="14" fillId="0" borderId="0" xfId="0" applyNumberFormat="1" applyFont="1" applyFill="1" applyBorder="1" applyAlignment="1" applyProtection="1">
      <alignment horizontal="right"/>
    </xf>
    <xf numFmtId="3" fontId="14" fillId="0" borderId="0" xfId="0" applyNumberFormat="1" applyFont="1" applyFill="1" applyBorder="1" applyAlignment="1" applyProtection="1"/>
    <xf numFmtId="49" fontId="3" fillId="10" borderId="44" xfId="0" applyNumberFormat="1" applyFont="1" applyFill="1" applyBorder="1" applyAlignment="1" applyProtection="1"/>
    <xf numFmtId="49" fontId="3" fillId="10" borderId="28" xfId="0" applyNumberFormat="1" applyFont="1" applyFill="1" applyBorder="1" applyAlignment="1" applyProtection="1"/>
    <xf numFmtId="49" fontId="3" fillId="10" borderId="29" xfId="0" applyNumberFormat="1" applyFont="1" applyFill="1" applyBorder="1" applyAlignment="1" applyProtection="1"/>
    <xf numFmtId="49" fontId="3" fillId="10" borderId="45" xfId="0" applyNumberFormat="1" applyFont="1" applyFill="1" applyBorder="1" applyAlignment="1" applyProtection="1"/>
    <xf numFmtId="49" fontId="3" fillId="10" borderId="46" xfId="0" applyNumberFormat="1" applyFont="1" applyFill="1" applyBorder="1" applyAlignment="1" applyProtection="1"/>
    <xf numFmtId="49" fontId="3" fillId="10" borderId="47" xfId="0" applyNumberFormat="1" applyFont="1" applyFill="1" applyBorder="1" applyAlignment="1" applyProtection="1"/>
    <xf numFmtId="49" fontId="3" fillId="10" borderId="30" xfId="0" applyNumberFormat="1" applyFont="1" applyFill="1" applyBorder="1" applyAlignment="1" applyProtection="1"/>
    <xf numFmtId="0" fontId="67" fillId="2" borderId="0" xfId="0" applyFont="1" applyFill="1" applyProtection="1"/>
    <xf numFmtId="0" fontId="91" fillId="7" borderId="0" xfId="0" applyFont="1" applyFill="1" applyProtection="1"/>
    <xf numFmtId="0" fontId="91" fillId="2" borderId="0" xfId="0" applyFont="1" applyFill="1" applyProtection="1"/>
    <xf numFmtId="0" fontId="67" fillId="2" borderId="0" xfId="0" applyNumberFormat="1" applyFont="1" applyFill="1" applyBorder="1" applyProtection="1"/>
    <xf numFmtId="0" fontId="89" fillId="2" borderId="0" xfId="0" applyFont="1" applyFill="1" applyProtection="1"/>
    <xf numFmtId="3" fontId="3" fillId="9" borderId="48" xfId="0" applyNumberFormat="1" applyFont="1" applyFill="1" applyBorder="1" applyAlignment="1" applyProtection="1">
      <alignment horizontal="right"/>
    </xf>
    <xf numFmtId="3" fontId="3" fillId="9" borderId="49" xfId="0" applyNumberFormat="1" applyFont="1" applyFill="1" applyBorder="1" applyAlignment="1" applyProtection="1">
      <alignment horizontal="right"/>
    </xf>
    <xf numFmtId="49" fontId="3" fillId="10" borderId="0" xfId="0" applyNumberFormat="1" applyFont="1" applyFill="1" applyBorder="1" applyAlignment="1" applyProtection="1"/>
    <xf numFmtId="49" fontId="3" fillId="10" borderId="50" xfId="0" applyNumberFormat="1" applyFont="1" applyFill="1" applyBorder="1" applyAlignment="1" applyProtection="1"/>
    <xf numFmtId="49" fontId="3" fillId="10" borderId="51" xfId="0" applyNumberFormat="1" applyFont="1" applyFill="1" applyBorder="1" applyAlignment="1" applyProtection="1"/>
    <xf numFmtId="3" fontId="53" fillId="2" borderId="0" xfId="0" applyNumberFormat="1" applyFont="1" applyFill="1" applyBorder="1" applyProtection="1"/>
    <xf numFmtId="3" fontId="8" fillId="0" borderId="0" xfId="0" applyNumberFormat="1" applyFont="1" applyFill="1" applyBorder="1" applyProtection="1"/>
    <xf numFmtId="3" fontId="38" fillId="2" borderId="0" xfId="0" applyNumberFormat="1" applyFont="1" applyFill="1" applyBorder="1" applyAlignment="1" applyProtection="1">
      <alignment horizontal="left"/>
    </xf>
    <xf numFmtId="0" fontId="0" fillId="7" borderId="0" xfId="0" applyFill="1" applyProtection="1"/>
    <xf numFmtId="0" fontId="0" fillId="0" borderId="0" xfId="0" applyFill="1" applyBorder="1" applyProtection="1"/>
    <xf numFmtId="0" fontId="0" fillId="0" borderId="0" xfId="0" applyProtection="1"/>
    <xf numFmtId="0" fontId="0" fillId="2" borderId="0" xfId="0" applyFill="1" applyBorder="1" applyProtection="1"/>
    <xf numFmtId="0" fontId="3" fillId="2" borderId="0" xfId="0" applyFont="1" applyFill="1" applyBorder="1" applyProtection="1"/>
    <xf numFmtId="0" fontId="0" fillId="0" borderId="0" xfId="0" applyBorder="1" applyAlignment="1" applyProtection="1"/>
    <xf numFmtId="3" fontId="3" fillId="0" borderId="5" xfId="0" applyNumberFormat="1" applyFont="1" applyFill="1" applyBorder="1" applyAlignment="1" applyProtection="1">
      <alignment horizontal="right"/>
      <protection locked="0"/>
    </xf>
    <xf numFmtId="3" fontId="3" fillId="0" borderId="52" xfId="0" applyNumberFormat="1" applyFont="1" applyFill="1" applyBorder="1" applyAlignment="1" applyProtection="1">
      <alignment horizontal="right"/>
      <protection locked="0"/>
    </xf>
    <xf numFmtId="3" fontId="3" fillId="2" borderId="53" xfId="0" applyNumberFormat="1" applyFont="1" applyFill="1" applyBorder="1" applyAlignment="1" applyProtection="1">
      <alignment horizontal="right"/>
      <protection locked="0"/>
    </xf>
    <xf numFmtId="3" fontId="3" fillId="2" borderId="19" xfId="0" applyNumberFormat="1" applyFont="1" applyFill="1" applyBorder="1" applyAlignment="1" applyProtection="1">
      <alignment horizontal="right"/>
      <protection locked="0"/>
    </xf>
    <xf numFmtId="0" fontId="36" fillId="2" borderId="0" xfId="0" applyFont="1" applyFill="1" applyProtection="1"/>
    <xf numFmtId="0" fontId="4" fillId="2" borderId="0" xfId="0" applyFont="1" applyFill="1" applyAlignment="1" applyProtection="1"/>
    <xf numFmtId="0" fontId="54" fillId="2" borderId="0" xfId="0" applyFont="1" applyFill="1" applyProtection="1"/>
    <xf numFmtId="0" fontId="54" fillId="0" borderId="0" xfId="0" applyFont="1" applyFill="1" applyBorder="1" applyProtection="1"/>
    <xf numFmtId="49" fontId="0" fillId="2" borderId="0" xfId="0" applyNumberFormat="1" applyFill="1" applyProtection="1"/>
    <xf numFmtId="0" fontId="90" fillId="2" borderId="0" xfId="0" applyFont="1" applyFill="1" applyProtection="1"/>
    <xf numFmtId="0" fontId="23" fillId="2" borderId="0" xfId="0" applyFont="1" applyFill="1" applyProtection="1"/>
    <xf numFmtId="3" fontId="3" fillId="2" borderId="54" xfId="0" applyNumberFormat="1" applyFont="1" applyFill="1" applyBorder="1" applyAlignment="1" applyProtection="1">
      <alignment horizontal="right"/>
      <protection locked="0"/>
    </xf>
    <xf numFmtId="3" fontId="3" fillId="6" borderId="18" xfId="0" applyNumberFormat="1" applyFont="1" applyFill="1" applyBorder="1" applyAlignment="1" applyProtection="1">
      <alignment horizontal="right"/>
      <protection locked="0"/>
    </xf>
    <xf numFmtId="3" fontId="3" fillId="2" borderId="55" xfId="0" applyNumberFormat="1" applyFont="1" applyFill="1" applyBorder="1" applyAlignment="1" applyProtection="1">
      <alignment horizontal="right"/>
      <protection locked="0"/>
    </xf>
    <xf numFmtId="3" fontId="3" fillId="6" borderId="19" xfId="0" applyNumberFormat="1" applyFont="1" applyFill="1" applyBorder="1" applyAlignment="1" applyProtection="1">
      <alignment horizontal="right"/>
      <protection locked="0"/>
    </xf>
    <xf numFmtId="3" fontId="3" fillId="11" borderId="18" xfId="0" applyNumberFormat="1" applyFont="1" applyFill="1" applyBorder="1" applyAlignment="1" applyProtection="1">
      <alignment horizontal="right"/>
      <protection locked="0"/>
    </xf>
    <xf numFmtId="3" fontId="3" fillId="2" borderId="26" xfId="0" applyNumberFormat="1" applyFont="1" applyFill="1" applyBorder="1" applyAlignment="1" applyProtection="1">
      <alignment horizontal="right"/>
      <protection locked="0"/>
    </xf>
    <xf numFmtId="3" fontId="3" fillId="6" borderId="54" xfId="0" applyNumberFormat="1" applyFont="1" applyFill="1" applyBorder="1" applyAlignment="1" applyProtection="1">
      <alignment horizontal="right"/>
      <protection locked="0"/>
    </xf>
    <xf numFmtId="3" fontId="3" fillId="6" borderId="12" xfId="0" applyNumberFormat="1" applyFont="1" applyFill="1" applyBorder="1" applyAlignment="1" applyProtection="1">
      <alignment horizontal="right"/>
      <protection locked="0"/>
    </xf>
    <xf numFmtId="3" fontId="3" fillId="6" borderId="56" xfId="0" applyNumberFormat="1" applyFont="1" applyFill="1" applyBorder="1" applyAlignment="1" applyProtection="1">
      <alignment horizontal="right"/>
      <protection locked="0"/>
    </xf>
    <xf numFmtId="3" fontId="3" fillId="2" borderId="20" xfId="0" applyNumberFormat="1" applyFont="1" applyFill="1" applyBorder="1" applyAlignment="1" applyProtection="1">
      <alignment horizontal="right"/>
      <protection locked="0"/>
    </xf>
    <xf numFmtId="3" fontId="3" fillId="2" borderId="57" xfId="0" applyNumberFormat="1" applyFont="1" applyFill="1" applyBorder="1" applyAlignment="1" applyProtection="1">
      <alignment horizontal="right"/>
      <protection locked="0"/>
    </xf>
    <xf numFmtId="0" fontId="0" fillId="7" borderId="0" xfId="0" applyFill="1" applyBorder="1" applyProtection="1"/>
    <xf numFmtId="0" fontId="23" fillId="2" borderId="0" xfId="0" applyFont="1" applyFill="1" applyBorder="1" applyProtection="1"/>
    <xf numFmtId="0" fontId="59" fillId="2" borderId="0" xfId="0" quotePrefix="1" applyFont="1" applyFill="1" applyAlignment="1" applyProtection="1">
      <alignment horizontal="left"/>
    </xf>
    <xf numFmtId="0" fontId="41" fillId="2" borderId="0" xfId="0" applyFont="1" applyFill="1" applyAlignment="1" applyProtection="1">
      <alignment horizontal="center"/>
    </xf>
    <xf numFmtId="0" fontId="41" fillId="2" borderId="0" xfId="0" applyFont="1" applyFill="1" applyBorder="1" applyAlignment="1" applyProtection="1">
      <alignment horizontal="center"/>
    </xf>
    <xf numFmtId="0" fontId="42" fillId="2" borderId="0" xfId="0" applyFont="1" applyFill="1" applyBorder="1" applyAlignment="1" applyProtection="1">
      <alignment horizontal="center"/>
    </xf>
    <xf numFmtId="0" fontId="40" fillId="0" borderId="0" xfId="0" applyFont="1" applyFill="1" applyBorder="1" applyProtection="1"/>
    <xf numFmtId="0" fontId="54" fillId="0" borderId="0" xfId="0" applyFont="1" applyFill="1" applyProtection="1"/>
    <xf numFmtId="0" fontId="0" fillId="0" borderId="0" xfId="0" applyFill="1" applyProtection="1"/>
    <xf numFmtId="0" fontId="12" fillId="4" borderId="0" xfId="0" applyFont="1" applyFill="1" applyBorder="1" applyProtection="1"/>
    <xf numFmtId="49" fontId="12" fillId="0" borderId="58" xfId="0" applyNumberFormat="1" applyFont="1" applyFill="1" applyBorder="1" applyProtection="1"/>
    <xf numFmtId="0" fontId="23" fillId="0" borderId="0" xfId="0" applyFont="1" applyFill="1" applyBorder="1" applyProtection="1"/>
    <xf numFmtId="0" fontId="24" fillId="4" borderId="0" xfId="0" applyFont="1" applyFill="1" applyBorder="1" applyProtection="1"/>
    <xf numFmtId="3" fontId="14" fillId="4" borderId="0" xfId="0" applyNumberFormat="1" applyFont="1" applyFill="1" applyBorder="1" applyProtection="1"/>
    <xf numFmtId="0" fontId="54" fillId="2" borderId="0" xfId="0" applyFont="1" applyFill="1" applyBorder="1" applyProtection="1"/>
    <xf numFmtId="0" fontId="20" fillId="2" borderId="0" xfId="0" applyFont="1" applyFill="1" applyBorder="1" applyProtection="1"/>
    <xf numFmtId="0" fontId="12" fillId="2" borderId="0" xfId="0" applyFont="1" applyFill="1" applyBorder="1" applyProtection="1"/>
    <xf numFmtId="49" fontId="12" fillId="2" borderId="0" xfId="0" applyNumberFormat="1" applyFont="1" applyFill="1" applyBorder="1" applyAlignment="1" applyProtection="1">
      <alignment horizontal="center"/>
    </xf>
    <xf numFmtId="0" fontId="0" fillId="2" borderId="0" xfId="0" applyFill="1" applyBorder="1" applyAlignment="1" applyProtection="1"/>
    <xf numFmtId="3" fontId="17" fillId="0" borderId="0" xfId="0" applyNumberFormat="1" applyFont="1" applyFill="1" applyBorder="1" applyProtection="1"/>
    <xf numFmtId="0" fontId="23" fillId="0" borderId="0" xfId="0" applyFont="1" applyProtection="1"/>
    <xf numFmtId="0" fontId="23" fillId="0" borderId="0" xfId="0" applyFont="1" applyBorder="1" applyProtection="1"/>
    <xf numFmtId="0" fontId="87" fillId="0" borderId="0" xfId="0" applyFont="1" applyFill="1" applyBorder="1" applyProtection="1"/>
    <xf numFmtId="3" fontId="3" fillId="0" borderId="32" xfId="0" applyNumberFormat="1" applyFont="1" applyFill="1" applyBorder="1" applyAlignment="1" applyProtection="1">
      <alignment horizontal="right"/>
      <protection locked="0"/>
    </xf>
    <xf numFmtId="0" fontId="10" fillId="2" borderId="1" xfId="0" applyFont="1" applyFill="1" applyBorder="1" applyProtection="1"/>
    <xf numFmtId="0" fontId="20" fillId="2" borderId="0" xfId="0" applyFont="1" applyFill="1" applyProtection="1"/>
    <xf numFmtId="0" fontId="12" fillId="2" borderId="1" xfId="0" applyFont="1" applyFill="1" applyBorder="1" applyProtection="1"/>
    <xf numFmtId="0" fontId="10" fillId="0" borderId="0" xfId="0" applyFont="1" applyFill="1" applyBorder="1" applyProtection="1"/>
    <xf numFmtId="3" fontId="3" fillId="2" borderId="59" xfId="0" applyNumberFormat="1" applyFont="1" applyFill="1" applyBorder="1" applyAlignment="1" applyProtection="1">
      <alignment horizontal="right"/>
      <protection locked="0"/>
    </xf>
    <xf numFmtId="3" fontId="14" fillId="2" borderId="53" xfId="0" applyNumberFormat="1" applyFont="1" applyFill="1" applyBorder="1" applyAlignment="1" applyProtection="1">
      <alignment horizontal="right"/>
      <protection locked="0"/>
    </xf>
    <xf numFmtId="3" fontId="14" fillId="0" borderId="20" xfId="0" applyNumberFormat="1" applyFont="1" applyFill="1" applyBorder="1" applyAlignment="1" applyProtection="1">
      <alignment horizontal="right"/>
      <protection locked="0"/>
    </xf>
    <xf numFmtId="3" fontId="14" fillId="0" borderId="19" xfId="0" applyNumberFormat="1" applyFont="1" applyFill="1" applyBorder="1" applyAlignment="1" applyProtection="1">
      <alignment horizontal="right"/>
      <protection locked="0"/>
    </xf>
    <xf numFmtId="3" fontId="3" fillId="2" borderId="60" xfId="0" applyNumberFormat="1" applyFont="1" applyFill="1" applyBorder="1" applyAlignment="1" applyProtection="1">
      <alignment horizontal="right"/>
      <protection locked="0"/>
    </xf>
    <xf numFmtId="3" fontId="11" fillId="2" borderId="18" xfId="0" applyNumberFormat="1" applyFont="1" applyFill="1" applyBorder="1" applyAlignment="1" applyProtection="1">
      <alignment horizontal="right"/>
      <protection locked="0"/>
    </xf>
    <xf numFmtId="3" fontId="14" fillId="0" borderId="18" xfId="0" applyNumberFormat="1" applyFont="1" applyFill="1" applyBorder="1" applyAlignment="1" applyProtection="1">
      <alignment horizontal="right"/>
      <protection locked="0"/>
    </xf>
    <xf numFmtId="3" fontId="14" fillId="0" borderId="26" xfId="0" applyNumberFormat="1" applyFont="1" applyFill="1" applyBorder="1" applyAlignment="1" applyProtection="1">
      <alignment horizontal="right"/>
      <protection locked="0"/>
    </xf>
    <xf numFmtId="3" fontId="14" fillId="2" borderId="61" xfId="0" applyNumberFormat="1" applyFont="1" applyFill="1" applyBorder="1" applyAlignment="1" applyProtection="1">
      <alignment horizontal="right"/>
      <protection locked="0"/>
    </xf>
    <xf numFmtId="3" fontId="14" fillId="0" borderId="62" xfId="0" applyNumberFormat="1" applyFont="1" applyFill="1" applyBorder="1" applyAlignment="1" applyProtection="1">
      <alignment horizontal="right"/>
      <protection locked="0"/>
    </xf>
    <xf numFmtId="0" fontId="36" fillId="0" borderId="0" xfId="0" applyFont="1" applyProtection="1"/>
    <xf numFmtId="0" fontId="12" fillId="0" borderId="0" xfId="0" applyFont="1" applyFill="1" applyBorder="1" applyAlignment="1" applyProtection="1">
      <alignment horizontal="center"/>
    </xf>
    <xf numFmtId="3" fontId="14" fillId="0" borderId="63" xfId="0" applyNumberFormat="1" applyFont="1" applyFill="1" applyBorder="1" applyAlignment="1" applyProtection="1">
      <alignment horizontal="right"/>
      <protection locked="0"/>
    </xf>
    <xf numFmtId="0" fontId="64" fillId="0" borderId="0" xfId="0" applyFont="1" applyFill="1" applyBorder="1" applyProtection="1"/>
    <xf numFmtId="0" fontId="64" fillId="0" borderId="0" xfId="0" applyFont="1" applyFill="1" applyProtection="1"/>
    <xf numFmtId="0" fontId="64" fillId="2" borderId="0" xfId="0" applyFont="1" applyFill="1" applyProtection="1"/>
    <xf numFmtId="0" fontId="69" fillId="2" borderId="0" xfId="0" applyFont="1" applyFill="1" applyAlignment="1" applyProtection="1"/>
    <xf numFmtId="0" fontId="69" fillId="0" borderId="0" xfId="0" applyFont="1" applyFill="1" applyBorder="1" applyAlignment="1" applyProtection="1"/>
    <xf numFmtId="0" fontId="0" fillId="2" borderId="0" xfId="0" applyFont="1" applyFill="1" applyProtection="1"/>
    <xf numFmtId="0" fontId="0" fillId="0" borderId="0" xfId="0" applyFont="1" applyFill="1" applyBorder="1" applyProtection="1"/>
    <xf numFmtId="0" fontId="0" fillId="2" borderId="0" xfId="0" applyFill="1" applyBorder="1" applyAlignment="1" applyProtection="1">
      <alignment horizontal="left"/>
    </xf>
    <xf numFmtId="49" fontId="4" fillId="0" borderId="0" xfId="0" applyNumberFormat="1" applyFont="1" applyFill="1" applyBorder="1" applyProtection="1"/>
    <xf numFmtId="3" fontId="11" fillId="2" borderId="8" xfId="0" applyNumberFormat="1" applyFont="1" applyFill="1" applyBorder="1" applyAlignment="1" applyProtection="1">
      <alignment horizontal="right"/>
      <protection locked="0"/>
    </xf>
    <xf numFmtId="3" fontId="11" fillId="2" borderId="5" xfId="0" applyNumberFormat="1" applyFont="1" applyFill="1" applyBorder="1" applyAlignment="1" applyProtection="1">
      <alignment horizontal="right"/>
      <protection locked="0"/>
    </xf>
    <xf numFmtId="3" fontId="11" fillId="2" borderId="5" xfId="0" quotePrefix="1" applyNumberFormat="1" applyFont="1" applyFill="1" applyBorder="1" applyAlignment="1" applyProtection="1">
      <alignment horizontal="right"/>
      <protection locked="0"/>
    </xf>
    <xf numFmtId="3" fontId="11" fillId="0" borderId="8" xfId="0" applyNumberFormat="1" applyFont="1" applyFill="1" applyBorder="1" applyAlignment="1" applyProtection="1">
      <alignment horizontal="right"/>
      <protection locked="0"/>
    </xf>
    <xf numFmtId="3" fontId="11" fillId="0" borderId="5" xfId="0" applyNumberFormat="1" applyFont="1" applyFill="1" applyBorder="1" applyAlignment="1" applyProtection="1">
      <alignment horizontal="right"/>
      <protection locked="0"/>
    </xf>
    <xf numFmtId="3" fontId="14" fillId="2" borderId="42" xfId="0" applyNumberFormat="1" applyFont="1" applyFill="1" applyBorder="1" applyAlignment="1" applyProtection="1">
      <alignment horizontal="right"/>
      <protection locked="0"/>
    </xf>
    <xf numFmtId="3" fontId="14" fillId="6" borderId="42" xfId="0" applyNumberFormat="1" applyFont="1" applyFill="1" applyBorder="1" applyAlignment="1" applyProtection="1">
      <alignment horizontal="right"/>
      <protection locked="0"/>
    </xf>
    <xf numFmtId="3" fontId="14" fillId="2" borderId="13" xfId="0" applyNumberFormat="1" applyFont="1" applyFill="1" applyBorder="1" applyAlignment="1" applyProtection="1">
      <alignment horizontal="right"/>
      <protection locked="0"/>
    </xf>
    <xf numFmtId="0" fontId="88" fillId="0" borderId="0" xfId="12" applyFont="1" applyFill="1" applyBorder="1" applyProtection="1"/>
    <xf numFmtId="49" fontId="8" fillId="2" borderId="0" xfId="0" applyNumberFormat="1" applyFont="1" applyFill="1" applyBorder="1" applyAlignment="1" applyProtection="1">
      <alignment vertical="top" wrapText="1"/>
    </xf>
    <xf numFmtId="49" fontId="23" fillId="7" borderId="0" xfId="0" applyNumberFormat="1" applyFont="1" applyFill="1" applyProtection="1"/>
    <xf numFmtId="49" fontId="23" fillId="2" borderId="0" xfId="0" applyNumberFormat="1" applyFont="1" applyFill="1" applyAlignment="1" applyProtection="1">
      <alignment horizontal="left"/>
    </xf>
    <xf numFmtId="0" fontId="35" fillId="2" borderId="0" xfId="0" applyNumberFormat="1" applyFont="1" applyFill="1" applyAlignment="1" applyProtection="1">
      <alignment horizontal="center"/>
    </xf>
    <xf numFmtId="49" fontId="23" fillId="2" borderId="0" xfId="0" applyNumberFormat="1" applyFont="1" applyFill="1" applyAlignment="1" applyProtection="1">
      <alignment horizontal="center"/>
    </xf>
    <xf numFmtId="0" fontId="35" fillId="2" borderId="39" xfId="0" applyNumberFormat="1" applyFont="1" applyFill="1" applyBorder="1" applyAlignment="1" applyProtection="1">
      <alignment horizontal="center"/>
    </xf>
    <xf numFmtId="49" fontId="4" fillId="10" borderId="47" xfId="0" applyNumberFormat="1" applyFont="1" applyFill="1" applyBorder="1" applyAlignment="1" applyProtection="1">
      <alignment vertical="top" wrapText="1"/>
    </xf>
    <xf numFmtId="0" fontId="4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0" fontId="6" fillId="0" borderId="0" xfId="0" applyFont="1" applyFill="1" applyBorder="1" applyAlignment="1" applyProtection="1">
      <alignment vertical="top"/>
    </xf>
    <xf numFmtId="49" fontId="6" fillId="0" borderId="0" xfId="0" applyNumberFormat="1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/>
    </xf>
    <xf numFmtId="0" fontId="63" fillId="0" borderId="0" xfId="0" applyFont="1" applyFill="1" applyBorder="1" applyAlignment="1" applyProtection="1">
      <alignment vertical="top"/>
    </xf>
    <xf numFmtId="169" fontId="4" fillId="0" borderId="0" xfId="12" applyNumberFormat="1" applyFont="1" applyFill="1" applyBorder="1" applyAlignment="1" applyProtection="1">
      <alignment horizontal="left"/>
    </xf>
    <xf numFmtId="49" fontId="23" fillId="0" borderId="0" xfId="0" applyNumberFormat="1" applyFont="1" applyAlignment="1" applyProtection="1">
      <alignment horizontal="left"/>
    </xf>
    <xf numFmtId="49" fontId="23" fillId="0" borderId="0" xfId="0" applyNumberFormat="1" applyFont="1" applyProtection="1"/>
    <xf numFmtId="0" fontId="86" fillId="0" borderId="0" xfId="0" applyFont="1" applyProtection="1"/>
    <xf numFmtId="3" fontId="11" fillId="0" borderId="19" xfId="0" applyNumberFormat="1" applyFont="1" applyFill="1" applyBorder="1" applyAlignment="1" applyProtection="1">
      <alignment horizontal="right"/>
      <protection locked="0"/>
    </xf>
    <xf numFmtId="3" fontId="11" fillId="0" borderId="4" xfId="0" applyNumberFormat="1" applyFont="1" applyFill="1" applyBorder="1" applyAlignment="1" applyProtection="1">
      <alignment horizontal="right"/>
      <protection locked="0"/>
    </xf>
    <xf numFmtId="0" fontId="23" fillId="7" borderId="0" xfId="6" applyFill="1" applyProtection="1"/>
    <xf numFmtId="1" fontId="23" fillId="7" borderId="0" xfId="6" applyNumberFormat="1" applyFill="1" applyProtection="1"/>
    <xf numFmtId="0" fontId="23" fillId="0" borderId="0" xfId="6" applyFill="1" applyBorder="1" applyProtection="1"/>
    <xf numFmtId="0" fontId="23" fillId="0" borderId="0" xfId="6" applyFill="1" applyProtection="1"/>
    <xf numFmtId="0" fontId="23" fillId="2" borderId="0" xfId="6" applyFill="1" applyProtection="1"/>
    <xf numFmtId="0" fontId="42" fillId="2" borderId="0" xfId="6" applyFont="1" applyFill="1" applyBorder="1" applyAlignment="1" applyProtection="1">
      <alignment horizontal="center"/>
    </xf>
    <xf numFmtId="0" fontId="23" fillId="0" borderId="0" xfId="6" applyProtection="1"/>
    <xf numFmtId="1" fontId="56" fillId="2" borderId="0" xfId="6" applyNumberFormat="1" applyFont="1" applyFill="1" applyAlignment="1" applyProtection="1">
      <alignment horizontal="left"/>
    </xf>
    <xf numFmtId="0" fontId="23" fillId="0" borderId="0" xfId="6" applyBorder="1" applyProtection="1"/>
    <xf numFmtId="1" fontId="56" fillId="2" borderId="0" xfId="12" applyNumberFormat="1" applyFont="1" applyFill="1" applyBorder="1" applyAlignment="1" applyProtection="1">
      <alignment horizontal="left"/>
    </xf>
    <xf numFmtId="0" fontId="23" fillId="2" borderId="0" xfId="6" applyFont="1" applyFill="1" applyProtection="1"/>
    <xf numFmtId="0" fontId="54" fillId="2" borderId="0" xfId="6" applyFont="1" applyFill="1" applyProtection="1"/>
    <xf numFmtId="1" fontId="23" fillId="0" borderId="0" xfId="6" applyNumberFormat="1" applyProtection="1"/>
    <xf numFmtId="0" fontId="23" fillId="0" borderId="0" xfId="6" applyFont="1" applyProtection="1"/>
    <xf numFmtId="3" fontId="3" fillId="2" borderId="2" xfId="6" applyNumberFormat="1" applyFont="1" applyFill="1" applyBorder="1" applyAlignment="1" applyProtection="1">
      <alignment horizontal="right"/>
      <protection locked="0"/>
    </xf>
    <xf numFmtId="3" fontId="3" fillId="2" borderId="15" xfId="6" applyNumberFormat="1" applyFont="1" applyFill="1" applyBorder="1" applyAlignment="1" applyProtection="1">
      <alignment horizontal="right"/>
      <protection locked="0"/>
    </xf>
    <xf numFmtId="0" fontId="4" fillId="0" borderId="0" xfId="6" applyFont="1" applyBorder="1" applyProtection="1"/>
    <xf numFmtId="0" fontId="23" fillId="0" borderId="0" xfId="0" applyFont="1" applyFill="1" applyProtection="1"/>
    <xf numFmtId="49" fontId="23" fillId="0" borderId="0" xfId="0" applyNumberFormat="1" applyFont="1" applyFill="1" applyBorder="1" applyAlignment="1" applyProtection="1">
      <alignment horizontal="left"/>
    </xf>
    <xf numFmtId="0" fontId="0" fillId="7" borderId="0" xfId="0" applyFill="1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Alignment="1" applyProtection="1"/>
    <xf numFmtId="3" fontId="3" fillId="2" borderId="61" xfId="0" applyNumberFormat="1" applyFont="1" applyFill="1" applyBorder="1" applyAlignment="1" applyProtection="1">
      <alignment horizontal="right"/>
      <protection locked="0"/>
    </xf>
    <xf numFmtId="3" fontId="3" fillId="2" borderId="62" xfId="0" applyNumberFormat="1" applyFont="1" applyFill="1" applyBorder="1" applyAlignment="1" applyProtection="1">
      <alignment horizontal="right"/>
      <protection locked="0"/>
    </xf>
    <xf numFmtId="3" fontId="3" fillId="2" borderId="64" xfId="0" applyNumberFormat="1" applyFont="1" applyFill="1" applyBorder="1" applyAlignment="1" applyProtection="1">
      <alignment horizontal="right"/>
      <protection locked="0"/>
    </xf>
    <xf numFmtId="3" fontId="3" fillId="2" borderId="65" xfId="0" applyNumberFormat="1" applyFont="1" applyFill="1" applyBorder="1" applyAlignment="1" applyProtection="1">
      <alignment horizontal="right"/>
      <protection locked="0"/>
    </xf>
    <xf numFmtId="3" fontId="14" fillId="2" borderId="62" xfId="0" applyNumberFormat="1" applyFont="1" applyFill="1" applyBorder="1" applyAlignment="1" applyProtection="1">
      <alignment horizontal="right"/>
      <protection locked="0"/>
    </xf>
    <xf numFmtId="3" fontId="3" fillId="6" borderId="63" xfId="0" applyNumberFormat="1" applyFont="1" applyFill="1" applyBorder="1" applyAlignment="1" applyProtection="1">
      <alignment horizontal="right"/>
      <protection locked="0"/>
    </xf>
    <xf numFmtId="171" fontId="36" fillId="0" borderId="0" xfId="6" applyNumberFormat="1" applyFont="1" applyFill="1" applyBorder="1" applyAlignment="1" applyProtection="1">
      <alignment vertical="top" wrapText="1"/>
    </xf>
    <xf numFmtId="3" fontId="3" fillId="9" borderId="66" xfId="0" applyNumberFormat="1" applyFont="1" applyFill="1" applyBorder="1" applyAlignment="1" applyProtection="1"/>
    <xf numFmtId="3" fontId="3" fillId="9" borderId="13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alignment horizontal="center"/>
    </xf>
    <xf numFmtId="3" fontId="14" fillId="0" borderId="69" xfId="0" applyNumberFormat="1" applyFont="1" applyFill="1" applyBorder="1" applyAlignment="1" applyProtection="1">
      <alignment horizontal="right"/>
      <protection locked="0"/>
    </xf>
    <xf numFmtId="3" fontId="14" fillId="9" borderId="26" xfId="0" applyNumberFormat="1" applyFont="1" applyFill="1" applyBorder="1" applyProtection="1"/>
    <xf numFmtId="0" fontId="11" fillId="0" borderId="0" xfId="6" applyFont="1" applyFill="1" applyBorder="1" applyProtection="1"/>
    <xf numFmtId="3" fontId="37" fillId="0" borderId="0" xfId="6" applyNumberFormat="1" applyFont="1" applyFill="1" applyBorder="1" applyProtection="1"/>
    <xf numFmtId="0" fontId="23" fillId="0" borderId="0" xfId="6" applyFont="1" applyFill="1" applyProtection="1"/>
    <xf numFmtId="0" fontId="36" fillId="0" borderId="0" xfId="0" applyFont="1" applyFill="1" applyBorder="1" applyProtection="1"/>
    <xf numFmtId="0" fontId="0" fillId="0" borderId="1" xfId="0" applyBorder="1"/>
    <xf numFmtId="3" fontId="14" fillId="2" borderId="19" xfId="0" applyNumberFormat="1" applyFont="1" applyFill="1" applyBorder="1" applyAlignment="1" applyProtection="1">
      <protection locked="0"/>
    </xf>
    <xf numFmtId="171" fontId="36" fillId="2" borderId="0" xfId="0" applyNumberFormat="1" applyFont="1" applyFill="1" applyProtection="1"/>
    <xf numFmtId="0" fontId="36" fillId="2" borderId="0" xfId="0" applyFont="1" applyFill="1" applyBorder="1" applyAlignment="1" applyProtection="1">
      <alignment horizontal="left" vertical="top" wrapText="1"/>
    </xf>
    <xf numFmtId="3" fontId="3" fillId="2" borderId="8" xfId="0" applyNumberFormat="1" applyFont="1" applyFill="1" applyBorder="1" applyAlignment="1" applyProtection="1">
      <alignment horizontal="right"/>
      <protection locked="0"/>
    </xf>
    <xf numFmtId="3" fontId="3" fillId="2" borderId="70" xfId="6" applyNumberFormat="1" applyFont="1" applyFill="1" applyBorder="1" applyAlignment="1" applyProtection="1">
      <alignment horizontal="right"/>
      <protection locked="0"/>
    </xf>
    <xf numFmtId="3" fontId="3" fillId="2" borderId="6" xfId="6" applyNumberFormat="1" applyFont="1" applyFill="1" applyBorder="1" applyAlignment="1" applyProtection="1">
      <alignment horizontal="right"/>
      <protection locked="0"/>
    </xf>
    <xf numFmtId="3" fontId="3" fillId="2" borderId="71" xfId="6" applyNumberFormat="1" applyFont="1" applyFill="1" applyBorder="1" applyAlignment="1" applyProtection="1">
      <alignment horizontal="right"/>
      <protection locked="0"/>
    </xf>
    <xf numFmtId="3" fontId="3" fillId="2" borderId="25" xfId="6" applyNumberFormat="1" applyFont="1" applyFill="1" applyBorder="1" applyAlignment="1" applyProtection="1">
      <alignment horizontal="right"/>
      <protection locked="0"/>
    </xf>
    <xf numFmtId="3" fontId="3" fillId="2" borderId="72" xfId="6" applyNumberFormat="1" applyFont="1" applyFill="1" applyBorder="1" applyAlignment="1" applyProtection="1">
      <alignment horizontal="right"/>
      <protection locked="0"/>
    </xf>
    <xf numFmtId="0" fontId="38" fillId="0" borderId="0" xfId="6" applyFont="1" applyProtection="1"/>
    <xf numFmtId="0" fontId="53" fillId="2" borderId="0" xfId="6" applyFont="1" applyFill="1" applyProtection="1"/>
    <xf numFmtId="0" fontId="36" fillId="0" borderId="0" xfId="6" quotePrefix="1" applyNumberFormat="1" applyFont="1" applyProtection="1"/>
    <xf numFmtId="3" fontId="0" fillId="0" borderId="0" xfId="0" applyNumberFormat="1"/>
    <xf numFmtId="3" fontId="98" fillId="2" borderId="0" xfId="0" applyNumberFormat="1" applyFont="1" applyFill="1" applyBorder="1" applyAlignment="1" applyProtection="1">
      <alignment horizontal="left"/>
    </xf>
    <xf numFmtId="3" fontId="3" fillId="8" borderId="5" xfId="6" applyNumberFormat="1" applyFont="1" applyFill="1" applyBorder="1" applyAlignment="1" applyProtection="1"/>
    <xf numFmtId="3" fontId="3" fillId="8" borderId="12" xfId="6" applyNumberFormat="1" applyFont="1" applyFill="1" applyBorder="1" applyAlignment="1" applyProtection="1"/>
    <xf numFmtId="3" fontId="3" fillId="8" borderId="5" xfId="0" applyNumberFormat="1" applyFont="1" applyFill="1" applyBorder="1" applyAlignment="1" applyProtection="1">
      <alignment horizontal="right"/>
    </xf>
    <xf numFmtId="0" fontId="37" fillId="2" borderId="0" xfId="0" applyFont="1" applyFill="1" applyAlignment="1" applyProtection="1">
      <alignment horizontal="right"/>
    </xf>
    <xf numFmtId="3" fontId="3" fillId="2" borderId="3" xfId="6" applyNumberFormat="1" applyFont="1" applyFill="1" applyBorder="1" applyAlignment="1" applyProtection="1">
      <alignment horizontal="right"/>
      <protection locked="0"/>
    </xf>
    <xf numFmtId="3" fontId="36" fillId="0" borderId="74" xfId="6" quotePrefix="1" applyNumberFormat="1" applyFont="1" applyFill="1" applyBorder="1" applyAlignment="1" applyProtection="1">
      <alignment horizontal="left"/>
    </xf>
    <xf numFmtId="0" fontId="38" fillId="0" borderId="76" xfId="6" applyFont="1" applyBorder="1" applyProtection="1"/>
    <xf numFmtId="0" fontId="97" fillId="0" borderId="76" xfId="6" applyFont="1" applyBorder="1" applyProtection="1"/>
    <xf numFmtId="3" fontId="36" fillId="0" borderId="78" xfId="6" quotePrefix="1" applyNumberFormat="1" applyFont="1" applyFill="1" applyBorder="1" applyAlignment="1" applyProtection="1">
      <alignment horizontal="left"/>
    </xf>
    <xf numFmtId="0" fontId="23" fillId="0" borderId="79" xfId="6" applyBorder="1" applyProtection="1"/>
    <xf numFmtId="0" fontId="23" fillId="0" borderId="52" xfId="6" applyBorder="1" applyProtection="1"/>
    <xf numFmtId="0" fontId="23" fillId="0" borderId="80" xfId="6" applyBorder="1" applyProtection="1"/>
    <xf numFmtId="0" fontId="36" fillId="0" borderId="0" xfId="6" applyFont="1" applyProtection="1"/>
    <xf numFmtId="3" fontId="36" fillId="0" borderId="0" xfId="6" quotePrefix="1" applyNumberFormat="1" applyFont="1" applyFill="1" applyBorder="1" applyAlignment="1" applyProtection="1">
      <alignment horizontal="left"/>
    </xf>
    <xf numFmtId="3" fontId="36" fillId="0" borderId="0" xfId="0" applyNumberFormat="1" applyFont="1" applyFill="1" applyBorder="1" applyAlignment="1" applyProtection="1">
      <alignment horizontal="left"/>
    </xf>
    <xf numFmtId="3" fontId="3" fillId="9" borderId="82" xfId="6" applyNumberFormat="1" applyFont="1" applyFill="1" applyBorder="1" applyProtection="1"/>
    <xf numFmtId="3" fontId="3" fillId="12" borderId="5" xfId="0" applyNumberFormat="1" applyFont="1" applyFill="1" applyBorder="1" applyProtection="1"/>
    <xf numFmtId="3" fontId="3" fillId="3" borderId="13" xfId="0" applyNumberFormat="1" applyFont="1" applyFill="1" applyBorder="1" applyProtection="1"/>
    <xf numFmtId="3" fontId="3" fillId="3" borderId="26" xfId="0" applyNumberFormat="1" applyFont="1" applyFill="1" applyBorder="1" applyProtection="1"/>
    <xf numFmtId="3" fontId="3" fillId="3" borderId="59" xfId="0" applyNumberFormat="1" applyFont="1" applyFill="1" applyBorder="1" applyProtection="1"/>
    <xf numFmtId="3" fontId="3" fillId="3" borderId="20" xfId="0" applyNumberFormat="1" applyFont="1" applyFill="1" applyBorder="1" applyProtection="1"/>
    <xf numFmtId="3" fontId="3" fillId="3" borderId="83" xfId="0" applyNumberFormat="1" applyFont="1" applyFill="1" applyBorder="1" applyProtection="1"/>
    <xf numFmtId="3" fontId="3" fillId="3" borderId="54" xfId="0" applyNumberFormat="1" applyFont="1" applyFill="1" applyBorder="1" applyProtection="1"/>
    <xf numFmtId="3" fontId="3" fillId="3" borderId="56" xfId="0" applyNumberFormat="1" applyFont="1" applyFill="1" applyBorder="1" applyProtection="1"/>
    <xf numFmtId="3" fontId="3" fillId="3" borderId="69" xfId="0" applyNumberFormat="1" applyFont="1" applyFill="1" applyBorder="1" applyProtection="1"/>
    <xf numFmtId="3" fontId="3" fillId="3" borderId="25" xfId="0" applyNumberFormat="1" applyFont="1" applyFill="1" applyBorder="1" applyProtection="1"/>
    <xf numFmtId="3" fontId="3" fillId="3" borderId="19" xfId="0" applyNumberFormat="1" applyFont="1" applyFill="1" applyBorder="1" applyProtection="1"/>
    <xf numFmtId="3" fontId="3" fillId="3" borderId="63" xfId="0" applyNumberFormat="1" applyFont="1" applyFill="1" applyBorder="1" applyProtection="1"/>
    <xf numFmtId="3" fontId="3" fillId="3" borderId="84" xfId="0" applyNumberFormat="1" applyFont="1" applyFill="1" applyBorder="1" applyProtection="1"/>
    <xf numFmtId="3" fontId="3" fillId="3" borderId="5" xfId="0" applyNumberFormat="1" applyFont="1" applyFill="1" applyBorder="1" applyProtection="1"/>
    <xf numFmtId="3" fontId="3" fillId="3" borderId="85" xfId="0" applyNumberFormat="1" applyFont="1" applyFill="1" applyBorder="1" applyProtection="1"/>
    <xf numFmtId="3" fontId="3" fillId="3" borderId="86" xfId="0" applyNumberFormat="1" applyFont="1" applyFill="1" applyBorder="1" applyProtection="1"/>
    <xf numFmtId="3" fontId="3" fillId="3" borderId="80" xfId="0" applyNumberFormat="1" applyFont="1" applyFill="1" applyBorder="1" applyProtection="1"/>
    <xf numFmtId="3" fontId="14" fillId="3" borderId="59" xfId="0" applyNumberFormat="1" applyFont="1" applyFill="1" applyBorder="1" applyProtection="1"/>
    <xf numFmtId="3" fontId="14" fillId="3" borderId="87" xfId="0" applyNumberFormat="1" applyFont="1" applyFill="1" applyBorder="1" applyProtection="1"/>
    <xf numFmtId="3" fontId="14" fillId="3" borderId="88" xfId="0" applyNumberFormat="1" applyFont="1" applyFill="1" applyBorder="1" applyProtection="1"/>
    <xf numFmtId="3" fontId="14" fillId="3" borderId="85" xfId="0" applyNumberFormat="1" applyFont="1" applyFill="1" applyBorder="1" applyProtection="1"/>
    <xf numFmtId="3" fontId="14" fillId="3" borderId="26" xfId="0" applyNumberFormat="1" applyFont="1" applyFill="1" applyBorder="1" applyProtection="1"/>
    <xf numFmtId="3" fontId="14" fillId="3" borderId="20" xfId="0" applyNumberFormat="1" applyFont="1" applyFill="1" applyBorder="1" applyProtection="1"/>
    <xf numFmtId="3" fontId="14" fillId="3" borderId="18" xfId="0" applyNumberFormat="1" applyFont="1" applyFill="1" applyBorder="1" applyProtection="1"/>
    <xf numFmtId="3" fontId="14" fillId="3" borderId="19" xfId="0" applyNumberFormat="1" applyFont="1" applyFill="1" applyBorder="1" applyProtection="1"/>
    <xf numFmtId="3" fontId="14" fillId="3" borderId="5" xfId="0" applyNumberFormat="1" applyFont="1" applyFill="1" applyBorder="1" applyAlignment="1" applyProtection="1">
      <alignment horizontal="right"/>
    </xf>
    <xf numFmtId="3" fontId="3" fillId="13" borderId="7" xfId="0" applyNumberFormat="1" applyFont="1" applyFill="1" applyBorder="1" applyAlignment="1" applyProtection="1">
      <alignment horizontal="right"/>
    </xf>
    <xf numFmtId="3" fontId="3" fillId="3" borderId="42" xfId="0" applyNumberFormat="1" applyFont="1" applyFill="1" applyBorder="1" applyAlignment="1" applyProtection="1">
      <alignment horizontal="right"/>
    </xf>
    <xf numFmtId="3" fontId="3" fillId="3" borderId="83" xfId="0" applyNumberFormat="1" applyFont="1" applyFill="1" applyBorder="1" applyAlignment="1" applyProtection="1">
      <alignment horizontal="right"/>
    </xf>
    <xf numFmtId="3" fontId="3" fillId="3" borderId="13" xfId="0" applyNumberFormat="1" applyFont="1" applyFill="1" applyBorder="1" applyAlignment="1" applyProtection="1">
      <alignment horizontal="right"/>
    </xf>
    <xf numFmtId="3" fontId="14" fillId="3" borderId="18" xfId="0" applyNumberFormat="1" applyFont="1" applyFill="1" applyBorder="1" applyAlignment="1" applyProtection="1">
      <alignment horizontal="right"/>
    </xf>
    <xf numFmtId="3" fontId="14" fillId="3" borderId="3" xfId="0" applyNumberFormat="1" applyFont="1" applyFill="1" applyBorder="1" applyAlignment="1" applyProtection="1">
      <alignment horizontal="right"/>
    </xf>
    <xf numFmtId="3" fontId="14" fillId="3" borderId="22" xfId="0" applyNumberFormat="1" applyFont="1" applyFill="1" applyBorder="1" applyAlignment="1" applyProtection="1">
      <alignment horizontal="right"/>
    </xf>
    <xf numFmtId="3" fontId="14" fillId="3" borderId="7" xfId="0" applyNumberFormat="1" applyFont="1" applyFill="1" applyBorder="1" applyAlignment="1" applyProtection="1">
      <alignment horizontal="right"/>
    </xf>
    <xf numFmtId="3" fontId="14" fillId="3" borderId="91" xfId="0" applyNumberFormat="1" applyFont="1" applyFill="1" applyBorder="1" applyAlignment="1" applyProtection="1">
      <alignment horizontal="right"/>
    </xf>
    <xf numFmtId="3" fontId="14" fillId="3" borderId="92" xfId="0" applyNumberFormat="1" applyFont="1" applyFill="1" applyBorder="1" applyAlignment="1" applyProtection="1">
      <alignment horizontal="right"/>
    </xf>
    <xf numFmtId="3" fontId="14" fillId="3" borderId="93" xfId="0" applyNumberFormat="1" applyFont="1" applyFill="1" applyBorder="1" applyAlignment="1" applyProtection="1">
      <alignment horizontal="right"/>
    </xf>
    <xf numFmtId="3" fontId="14" fillId="3" borderId="25" xfId="0" applyNumberFormat="1" applyFont="1" applyFill="1" applyBorder="1" applyAlignment="1" applyProtection="1">
      <alignment horizontal="right"/>
    </xf>
    <xf numFmtId="3" fontId="14" fillId="3" borderId="72" xfId="0" applyNumberFormat="1" applyFont="1" applyFill="1" applyBorder="1" applyAlignment="1" applyProtection="1">
      <alignment horizontal="right"/>
    </xf>
    <xf numFmtId="3" fontId="14" fillId="3" borderId="26" xfId="0" applyNumberFormat="1" applyFont="1" applyFill="1" applyBorder="1" applyAlignment="1" applyProtection="1">
      <alignment horizontal="right"/>
    </xf>
    <xf numFmtId="3" fontId="14" fillId="3" borderId="24" xfId="0" applyNumberFormat="1" applyFont="1" applyFill="1" applyBorder="1" applyAlignment="1" applyProtection="1">
      <alignment horizontal="right"/>
    </xf>
    <xf numFmtId="3" fontId="14" fillId="3" borderId="65" xfId="0" applyNumberFormat="1" applyFont="1" applyFill="1" applyBorder="1" applyAlignment="1" applyProtection="1">
      <alignment horizontal="right"/>
    </xf>
    <xf numFmtId="3" fontId="14" fillId="3" borderId="24" xfId="0" applyNumberFormat="1" applyFont="1" applyFill="1" applyBorder="1" applyAlignment="1" applyProtection="1"/>
    <xf numFmtId="3" fontId="14" fillId="3" borderId="25" xfId="0" applyNumberFormat="1" applyFont="1" applyFill="1" applyBorder="1" applyAlignment="1" applyProtection="1"/>
    <xf numFmtId="3" fontId="14" fillId="3" borderId="72" xfId="0" applyNumberFormat="1" applyFont="1" applyFill="1" applyBorder="1" applyAlignment="1" applyProtection="1"/>
    <xf numFmtId="3" fontId="14" fillId="3" borderId="26" xfId="0" applyNumberFormat="1" applyFont="1" applyFill="1" applyBorder="1" applyAlignment="1" applyProtection="1"/>
    <xf numFmtId="3" fontId="14" fillId="3" borderId="94" xfId="0" applyNumberFormat="1" applyFont="1" applyFill="1" applyBorder="1" applyAlignment="1" applyProtection="1">
      <alignment horizontal="right"/>
    </xf>
    <xf numFmtId="3" fontId="14" fillId="10" borderId="95" xfId="0" applyNumberFormat="1" applyFont="1" applyFill="1" applyBorder="1" applyAlignment="1" applyProtection="1">
      <alignment horizontal="right"/>
    </xf>
    <xf numFmtId="3" fontId="14" fillId="10" borderId="96" xfId="0" applyNumberFormat="1" applyFont="1" applyFill="1" applyBorder="1" applyAlignment="1" applyProtection="1">
      <alignment horizontal="right"/>
    </xf>
    <xf numFmtId="3" fontId="14" fillId="10" borderId="86" xfId="0" applyNumberFormat="1" applyFont="1" applyFill="1" applyBorder="1" applyAlignment="1" applyProtection="1">
      <alignment horizontal="right"/>
    </xf>
    <xf numFmtId="3" fontId="14" fillId="10" borderId="97" xfId="0" applyNumberFormat="1" applyFont="1" applyFill="1" applyBorder="1" applyAlignment="1" applyProtection="1">
      <alignment horizontal="right"/>
    </xf>
    <xf numFmtId="3" fontId="14" fillId="3" borderId="53" xfId="0" applyNumberFormat="1" applyFont="1" applyFill="1" applyBorder="1" applyAlignment="1" applyProtection="1">
      <alignment horizontal="right"/>
    </xf>
    <xf numFmtId="3" fontId="14" fillId="3" borderId="98" xfId="0" applyNumberFormat="1" applyFont="1" applyFill="1" applyBorder="1" applyAlignment="1" applyProtection="1">
      <alignment horizontal="right"/>
    </xf>
    <xf numFmtId="3" fontId="14" fillId="3" borderId="84" xfId="0" applyNumberFormat="1" applyFont="1" applyFill="1" applyBorder="1" applyAlignment="1" applyProtection="1">
      <alignment horizontal="right"/>
    </xf>
    <xf numFmtId="3" fontId="14" fillId="3" borderId="99" xfId="0" applyNumberFormat="1" applyFont="1" applyFill="1" applyBorder="1" applyAlignment="1" applyProtection="1">
      <alignment horizontal="right"/>
    </xf>
    <xf numFmtId="3" fontId="14" fillId="3" borderId="100" xfId="0" applyNumberFormat="1" applyFont="1" applyFill="1" applyBorder="1" applyAlignment="1" applyProtection="1">
      <alignment horizontal="right"/>
    </xf>
    <xf numFmtId="3" fontId="14" fillId="3" borderId="101" xfId="0" applyNumberFormat="1" applyFont="1" applyFill="1" applyBorder="1" applyAlignment="1" applyProtection="1">
      <alignment horizontal="right"/>
    </xf>
    <xf numFmtId="3" fontId="14" fillId="3" borderId="88" xfId="0" applyNumberFormat="1" applyFont="1" applyFill="1" applyBorder="1" applyAlignment="1" applyProtection="1">
      <alignment horizontal="right"/>
    </xf>
    <xf numFmtId="3" fontId="3" fillId="3" borderId="102" xfId="0" applyNumberFormat="1" applyFont="1" applyFill="1" applyBorder="1" applyProtection="1"/>
    <xf numFmtId="3" fontId="3" fillId="3" borderId="31" xfId="0" applyNumberFormat="1" applyFont="1" applyFill="1" applyBorder="1" applyProtection="1"/>
    <xf numFmtId="3" fontId="3" fillId="3" borderId="103" xfId="0" applyNumberFormat="1" applyFont="1" applyFill="1" applyBorder="1" applyProtection="1"/>
    <xf numFmtId="3" fontId="14" fillId="3" borderId="31" xfId="0" applyNumberFormat="1" applyFont="1" applyFill="1" applyBorder="1" applyProtection="1"/>
    <xf numFmtId="3" fontId="14" fillId="3" borderId="32" xfId="0" applyNumberFormat="1" applyFont="1" applyFill="1" applyBorder="1" applyProtection="1"/>
    <xf numFmtId="3" fontId="14" fillId="3" borderId="80" xfId="0" applyNumberFormat="1" applyFont="1" applyFill="1" applyBorder="1" applyProtection="1"/>
    <xf numFmtId="3" fontId="3" fillId="3" borderId="104" xfId="0" applyNumberFormat="1" applyFont="1" applyFill="1" applyBorder="1" applyProtection="1"/>
    <xf numFmtId="3" fontId="14" fillId="3" borderId="103" xfId="0" applyNumberFormat="1" applyFont="1" applyFill="1" applyBorder="1" applyAlignment="1" applyProtection="1">
      <alignment horizontal="right"/>
    </xf>
    <xf numFmtId="3" fontId="14" fillId="3" borderId="33" xfId="0" applyNumberFormat="1" applyFont="1" applyFill="1" applyBorder="1" applyAlignment="1" applyProtection="1">
      <alignment horizontal="right"/>
    </xf>
    <xf numFmtId="3" fontId="14" fillId="3" borderId="45" xfId="0" applyNumberFormat="1" applyFont="1" applyFill="1" applyBorder="1" applyAlignment="1" applyProtection="1">
      <alignment horizontal="right"/>
    </xf>
    <xf numFmtId="3" fontId="14" fillId="3" borderId="33" xfId="0" applyNumberFormat="1" applyFont="1" applyFill="1" applyBorder="1" applyAlignment="1" applyProtection="1"/>
    <xf numFmtId="3" fontId="14" fillId="3" borderId="45" xfId="0" applyNumberFormat="1" applyFont="1" applyFill="1" applyBorder="1" applyAlignment="1" applyProtection="1"/>
    <xf numFmtId="3" fontId="14" fillId="3" borderId="105" xfId="0" applyNumberFormat="1" applyFont="1" applyFill="1" applyBorder="1" applyAlignment="1" applyProtection="1">
      <alignment horizontal="right"/>
    </xf>
    <xf numFmtId="3" fontId="3" fillId="3" borderId="106" xfId="0" applyNumberFormat="1" applyFont="1" applyFill="1" applyBorder="1" applyAlignment="1" applyProtection="1">
      <alignment horizontal="right"/>
    </xf>
    <xf numFmtId="0" fontId="2" fillId="7" borderId="0" xfId="0" applyFont="1" applyFill="1" applyProtection="1"/>
    <xf numFmtId="3" fontId="2" fillId="2" borderId="0" xfId="0" applyNumberFormat="1" applyFont="1" applyFill="1" applyProtection="1"/>
    <xf numFmtId="3" fontId="2" fillId="0" borderId="0" xfId="0" applyNumberFormat="1" applyFont="1" applyProtection="1"/>
    <xf numFmtId="3" fontId="2" fillId="0" borderId="0" xfId="0" applyNumberFormat="1" applyFont="1" applyFill="1" applyBorder="1" applyProtection="1"/>
    <xf numFmtId="0" fontId="0" fillId="10" borderId="0" xfId="0" applyFill="1" applyBorder="1"/>
    <xf numFmtId="2" fontId="79" fillId="10" borderId="27" xfId="5" applyNumberFormat="1" applyFill="1" applyBorder="1" applyAlignment="1" applyProtection="1">
      <alignment horizontal="left"/>
    </xf>
    <xf numFmtId="0" fontId="0" fillId="0" borderId="0" xfId="0" applyBorder="1"/>
    <xf numFmtId="0" fontId="0" fillId="0" borderId="67" xfId="0" applyBorder="1"/>
    <xf numFmtId="49" fontId="3" fillId="10" borderId="11" xfId="0" applyNumberFormat="1" applyFont="1" applyFill="1" applyBorder="1" applyAlignment="1" applyProtection="1"/>
    <xf numFmtId="49" fontId="3" fillId="10" borderId="76" xfId="0" applyNumberFormat="1" applyFont="1" applyFill="1" applyBorder="1" applyAlignment="1" applyProtection="1"/>
    <xf numFmtId="49" fontId="3" fillId="10" borderId="39" xfId="0" applyNumberFormat="1" applyFont="1" applyFill="1" applyBorder="1" applyAlignment="1" applyProtection="1"/>
    <xf numFmtId="49" fontId="3" fillId="10" borderId="78" xfId="0" applyNumberFormat="1" applyFont="1" applyFill="1" applyBorder="1" applyAlignment="1" applyProtection="1"/>
    <xf numFmtId="49" fontId="3" fillId="10" borderId="36" xfId="0" applyNumberFormat="1" applyFont="1" applyFill="1" applyBorder="1" applyAlignment="1" applyProtection="1"/>
    <xf numFmtId="0" fontId="16" fillId="0" borderId="0" xfId="0" applyFont="1" applyFill="1" applyBorder="1" applyAlignment="1" applyProtection="1">
      <alignment horizontal="center"/>
    </xf>
    <xf numFmtId="0" fontId="101" fillId="0" borderId="0" xfId="6" applyFont="1" applyProtection="1"/>
    <xf numFmtId="3" fontId="3" fillId="9" borderId="113" xfId="6" applyNumberFormat="1" applyFont="1" applyFill="1" applyBorder="1" applyProtection="1"/>
    <xf numFmtId="3" fontId="3" fillId="9" borderId="7" xfId="6" applyNumberFormat="1" applyFont="1" applyFill="1" applyBorder="1" applyProtection="1"/>
    <xf numFmtId="3" fontId="3" fillId="9" borderId="106" xfId="6" applyNumberFormat="1" applyFont="1" applyFill="1" applyBorder="1" applyProtection="1"/>
    <xf numFmtId="3" fontId="3" fillId="9" borderId="91" xfId="6" applyNumberFormat="1" applyFont="1" applyFill="1" applyBorder="1" applyProtection="1"/>
    <xf numFmtId="3" fontId="3" fillId="9" borderId="114" xfId="6" applyNumberFormat="1" applyFont="1" applyFill="1" applyBorder="1" applyProtection="1"/>
    <xf numFmtId="0" fontId="23" fillId="0" borderId="0" xfId="0" applyFont="1"/>
    <xf numFmtId="0" fontId="102" fillId="0" borderId="0" xfId="6" applyFont="1" applyProtection="1"/>
    <xf numFmtId="3" fontId="3" fillId="3" borderId="18" xfId="0" applyNumberFormat="1" applyFont="1" applyFill="1" applyBorder="1" applyAlignment="1" applyProtection="1">
      <alignment horizontal="right"/>
    </xf>
    <xf numFmtId="3" fontId="3" fillId="9" borderId="22" xfId="0" applyNumberFormat="1" applyFont="1" applyFill="1" applyBorder="1" applyAlignment="1" applyProtection="1">
      <alignment horizontal="right"/>
    </xf>
    <xf numFmtId="3" fontId="3" fillId="3" borderId="115" xfId="0" applyNumberFormat="1" applyFont="1" applyFill="1" applyBorder="1" applyAlignment="1" applyProtection="1">
      <alignment horizontal="right"/>
    </xf>
    <xf numFmtId="3" fontId="3" fillId="2" borderId="21" xfId="0" applyNumberFormat="1" applyFont="1" applyFill="1" applyBorder="1" applyAlignment="1" applyProtection="1">
      <alignment horizontal="right"/>
      <protection locked="0"/>
    </xf>
    <xf numFmtId="3" fontId="3" fillId="2" borderId="22" xfId="0" applyNumberFormat="1" applyFont="1" applyFill="1" applyBorder="1" applyAlignment="1" applyProtection="1">
      <alignment horizontal="right"/>
      <protection locked="0"/>
    </xf>
    <xf numFmtId="3" fontId="3" fillId="14" borderId="18" xfId="0" applyNumberFormat="1" applyFont="1" applyFill="1" applyBorder="1" applyAlignment="1" applyProtection="1">
      <alignment horizontal="right"/>
      <protection locked="0"/>
    </xf>
    <xf numFmtId="3" fontId="14" fillId="3" borderId="108" xfId="0" applyNumberFormat="1" applyFont="1" applyFill="1" applyBorder="1" applyAlignment="1" applyProtection="1">
      <alignment horizontal="right"/>
    </xf>
    <xf numFmtId="3" fontId="14" fillId="10" borderId="30" xfId="0" applyNumberFormat="1" applyFont="1" applyFill="1" applyBorder="1" applyAlignment="1" applyProtection="1">
      <alignment horizontal="right"/>
    </xf>
    <xf numFmtId="3" fontId="14" fillId="10" borderId="31" xfId="0" applyNumberFormat="1" applyFont="1" applyFill="1" applyBorder="1" applyAlignment="1" applyProtection="1">
      <alignment horizontal="right"/>
    </xf>
    <xf numFmtId="3" fontId="14" fillId="10" borderId="23" xfId="0" applyNumberFormat="1" applyFont="1" applyFill="1" applyBorder="1" applyAlignment="1" applyProtection="1">
      <alignment horizontal="right"/>
    </xf>
    <xf numFmtId="3" fontId="14" fillId="10" borderId="9" xfId="0" applyNumberFormat="1" applyFont="1" applyFill="1" applyBorder="1" applyAlignment="1" applyProtection="1">
      <alignment horizontal="right"/>
    </xf>
    <xf numFmtId="3" fontId="14" fillId="10" borderId="20" xfId="0" applyNumberFormat="1" applyFont="1" applyFill="1" applyBorder="1" applyAlignment="1" applyProtection="1">
      <alignment horizontal="right"/>
    </xf>
    <xf numFmtId="3" fontId="14" fillId="10" borderId="10" xfId="0" applyNumberFormat="1" applyFont="1" applyFill="1" applyBorder="1" applyAlignment="1" applyProtection="1">
      <alignment horizontal="right"/>
    </xf>
    <xf numFmtId="3" fontId="14" fillId="10" borderId="14" xfId="0" applyNumberFormat="1" applyFont="1" applyFill="1" applyBorder="1" applyAlignment="1" applyProtection="1">
      <alignment horizontal="right"/>
    </xf>
    <xf numFmtId="3" fontId="14" fillId="2" borderId="55" xfId="0" applyNumberFormat="1" applyFont="1" applyFill="1" applyBorder="1" applyAlignment="1" applyProtection="1">
      <alignment horizontal="right"/>
      <protection locked="0"/>
    </xf>
    <xf numFmtId="3" fontId="14" fillId="2" borderId="54" xfId="0" applyNumberFormat="1" applyFont="1" applyFill="1" applyBorder="1" applyAlignment="1" applyProtection="1">
      <alignment horizontal="right"/>
      <protection locked="0"/>
    </xf>
    <xf numFmtId="3" fontId="14" fillId="2" borderId="65" xfId="0" applyNumberFormat="1" applyFont="1" applyFill="1" applyBorder="1" applyAlignment="1" applyProtection="1">
      <alignment horizontal="right"/>
      <protection locked="0"/>
    </xf>
    <xf numFmtId="3" fontId="14" fillId="10" borderId="101" xfId="0" applyNumberFormat="1" applyFont="1" applyFill="1" applyBorder="1" applyAlignment="1" applyProtection="1">
      <alignment horizontal="right"/>
    </xf>
    <xf numFmtId="3" fontId="14" fillId="10" borderId="117" xfId="0" applyNumberFormat="1" applyFont="1" applyFill="1" applyBorder="1" applyAlignment="1" applyProtection="1">
      <alignment horizontal="right"/>
    </xf>
    <xf numFmtId="3" fontId="14" fillId="10" borderId="118" xfId="0" applyNumberFormat="1" applyFont="1" applyFill="1" applyBorder="1" applyAlignment="1" applyProtection="1">
      <alignment horizontal="right"/>
    </xf>
    <xf numFmtId="3" fontId="14" fillId="10" borderId="88" xfId="0" applyNumberFormat="1" applyFont="1" applyFill="1" applyBorder="1" applyAlignment="1" applyProtection="1">
      <alignment horizontal="right"/>
    </xf>
    <xf numFmtId="3" fontId="14" fillId="10" borderId="4" xfId="0" applyNumberFormat="1" applyFont="1" applyFill="1" applyBorder="1" applyAlignment="1" applyProtection="1">
      <alignment horizontal="right"/>
    </xf>
    <xf numFmtId="3" fontId="14" fillId="10" borderId="3" xfId="0" applyNumberFormat="1" applyFont="1" applyFill="1" applyBorder="1" applyAlignment="1" applyProtection="1">
      <alignment horizontal="right"/>
    </xf>
    <xf numFmtId="3" fontId="14" fillId="10" borderId="2" xfId="0" applyNumberFormat="1" applyFont="1" applyFill="1" applyBorder="1" applyAlignment="1" applyProtection="1">
      <alignment horizontal="right"/>
    </xf>
    <xf numFmtId="3" fontId="14" fillId="10" borderId="18" xfId="0" applyNumberFormat="1" applyFont="1" applyFill="1" applyBorder="1" applyAlignment="1" applyProtection="1">
      <alignment horizontal="right"/>
    </xf>
    <xf numFmtId="3" fontId="14" fillId="10" borderId="98" xfId="0" applyNumberFormat="1" applyFont="1" applyFill="1" applyBorder="1" applyAlignment="1" applyProtection="1">
      <alignment horizontal="right"/>
    </xf>
    <xf numFmtId="3" fontId="14" fillId="10" borderId="21" xfId="0" applyNumberFormat="1" applyFont="1" applyFill="1" applyBorder="1" applyAlignment="1" applyProtection="1">
      <alignment horizontal="right"/>
    </xf>
    <xf numFmtId="3" fontId="14" fillId="10" borderId="47" xfId="0" applyNumberFormat="1" applyFont="1" applyFill="1" applyBorder="1" applyAlignment="1" applyProtection="1">
      <alignment horizontal="right"/>
    </xf>
    <xf numFmtId="3" fontId="14" fillId="10" borderId="119" xfId="0" applyNumberFormat="1" applyFont="1" applyFill="1" applyBorder="1" applyAlignment="1" applyProtection="1">
      <alignment horizontal="right"/>
    </xf>
    <xf numFmtId="3" fontId="14" fillId="10" borderId="28" xfId="0" applyNumberFormat="1" applyFont="1" applyFill="1" applyBorder="1" applyAlignment="1" applyProtection="1">
      <alignment horizontal="right"/>
    </xf>
    <xf numFmtId="3" fontId="14" fillId="10" borderId="103" xfId="0" applyNumberFormat="1" applyFont="1" applyFill="1" applyBorder="1" applyAlignment="1" applyProtection="1">
      <alignment horizontal="right"/>
    </xf>
    <xf numFmtId="3" fontId="14" fillId="10" borderId="29" xfId="0" applyNumberFormat="1" applyFont="1" applyFill="1" applyBorder="1" applyAlignment="1" applyProtection="1">
      <alignment horizontal="right"/>
    </xf>
    <xf numFmtId="3" fontId="14" fillId="10" borderId="32" xfId="0" applyNumberFormat="1" applyFont="1" applyFill="1" applyBorder="1" applyAlignment="1" applyProtection="1">
      <alignment horizontal="right"/>
    </xf>
    <xf numFmtId="3" fontId="14" fillId="10" borderId="22" xfId="0" applyNumberFormat="1" applyFont="1" applyFill="1" applyBorder="1" applyAlignment="1" applyProtection="1">
      <alignment horizontal="right"/>
    </xf>
    <xf numFmtId="3" fontId="14" fillId="10" borderId="5" xfId="0" applyNumberFormat="1" applyFont="1" applyFill="1" applyBorder="1" applyAlignment="1" applyProtection="1">
      <alignment horizontal="right"/>
    </xf>
    <xf numFmtId="3" fontId="14" fillId="10" borderId="19" xfId="0" applyNumberFormat="1" applyFont="1" applyFill="1" applyBorder="1" applyAlignment="1" applyProtection="1">
      <alignment horizontal="right"/>
    </xf>
    <xf numFmtId="3" fontId="14" fillId="10" borderId="6" xfId="0" applyNumberFormat="1" applyFont="1" applyFill="1" applyBorder="1" applyAlignment="1" applyProtection="1">
      <alignment horizontal="right"/>
    </xf>
    <xf numFmtId="3" fontId="14" fillId="10" borderId="7" xfId="0" applyNumberFormat="1" applyFont="1" applyFill="1" applyBorder="1" applyAlignment="1" applyProtection="1">
      <alignment horizontal="right"/>
    </xf>
    <xf numFmtId="0" fontId="24" fillId="10" borderId="96" xfId="0" applyFont="1" applyFill="1" applyBorder="1" applyProtection="1"/>
    <xf numFmtId="0" fontId="24" fillId="10" borderId="120" xfId="0" applyFont="1" applyFill="1" applyBorder="1" applyProtection="1"/>
    <xf numFmtId="0" fontId="24" fillId="10" borderId="121" xfId="0" applyFont="1" applyFill="1" applyBorder="1" applyProtection="1"/>
    <xf numFmtId="0" fontId="24" fillId="10" borderId="65" xfId="0" applyFont="1" applyFill="1" applyBorder="1" applyProtection="1"/>
    <xf numFmtId="0" fontId="24" fillId="10" borderId="82" xfId="0" applyFont="1" applyFill="1" applyBorder="1" applyProtection="1"/>
    <xf numFmtId="0" fontId="24" fillId="10" borderId="53" xfId="0" applyFont="1" applyFill="1" applyBorder="1" applyProtection="1"/>
    <xf numFmtId="0" fontId="24" fillId="10" borderId="98" xfId="0" applyFont="1" applyFill="1" applyBorder="1" applyProtection="1"/>
    <xf numFmtId="0" fontId="24" fillId="10" borderId="118" xfId="0" applyFont="1" applyFill="1" applyBorder="1" applyProtection="1"/>
    <xf numFmtId="0" fontId="24" fillId="10" borderId="21" xfId="0" applyFont="1" applyFill="1" applyBorder="1" applyProtection="1"/>
    <xf numFmtId="0" fontId="24" fillId="10" borderId="2" xfId="0" applyFont="1" applyFill="1" applyBorder="1" applyProtection="1"/>
    <xf numFmtId="0" fontId="24" fillId="10" borderId="47" xfId="0" applyFont="1" applyFill="1" applyBorder="1" applyProtection="1"/>
    <xf numFmtId="0" fontId="24" fillId="10" borderId="119" xfId="0" applyFont="1" applyFill="1" applyBorder="1" applyProtection="1"/>
    <xf numFmtId="0" fontId="24" fillId="10" borderId="28" xfId="0" applyFont="1" applyFill="1" applyBorder="1" applyProtection="1"/>
    <xf numFmtId="0" fontId="24" fillId="10" borderId="103" xfId="0" applyFont="1" applyFill="1" applyBorder="1" applyProtection="1"/>
    <xf numFmtId="3" fontId="14" fillId="10" borderId="109" xfId="0" applyNumberFormat="1" applyFont="1" applyFill="1" applyBorder="1" applyAlignment="1" applyProtection="1">
      <alignment horizontal="right"/>
    </xf>
    <xf numFmtId="3" fontId="14" fillId="2" borderId="82" xfId="0" applyNumberFormat="1" applyFont="1" applyFill="1" applyBorder="1" applyAlignment="1" applyProtection="1">
      <alignment horizontal="right"/>
      <protection locked="0"/>
    </xf>
    <xf numFmtId="0" fontId="24" fillId="10" borderId="7" xfId="0" applyFont="1" applyFill="1" applyBorder="1" applyProtection="1"/>
    <xf numFmtId="0" fontId="24" fillId="10" borderId="6" xfId="0" applyFont="1" applyFill="1" applyBorder="1" applyProtection="1"/>
    <xf numFmtId="0" fontId="24" fillId="10" borderId="5" xfId="0" applyFont="1" applyFill="1" applyBorder="1" applyProtection="1"/>
    <xf numFmtId="3" fontId="14" fillId="15" borderId="5" xfId="0" applyNumberFormat="1" applyFont="1" applyFill="1" applyBorder="1" applyAlignment="1" applyProtection="1">
      <alignment horizontal="right"/>
    </xf>
    <xf numFmtId="3" fontId="14" fillId="15" borderId="6" xfId="0" applyNumberFormat="1" applyFont="1" applyFill="1" applyBorder="1" applyAlignment="1" applyProtection="1">
      <alignment horizontal="right"/>
    </xf>
    <xf numFmtId="0" fontId="24" fillId="10" borderId="19" xfId="0" applyFont="1" applyFill="1" applyBorder="1" applyProtection="1"/>
    <xf numFmtId="0" fontId="24" fillId="10" borderId="22" xfId="0" applyFont="1" applyFill="1" applyBorder="1" applyProtection="1"/>
    <xf numFmtId="0" fontId="24" fillId="10" borderId="29" xfId="0" applyFont="1" applyFill="1" applyBorder="1" applyProtection="1"/>
    <xf numFmtId="0" fontId="24" fillId="10" borderId="32" xfId="0" applyFont="1" applyFill="1" applyBorder="1" applyProtection="1"/>
    <xf numFmtId="3" fontId="14" fillId="2" borderId="122" xfId="0" applyNumberFormat="1" applyFont="1" applyFill="1" applyBorder="1" applyAlignment="1" applyProtection="1">
      <alignment horizontal="right"/>
    </xf>
    <xf numFmtId="3" fontId="14" fillId="10" borderId="14" xfId="0" applyNumberFormat="1" applyFont="1" applyFill="1" applyBorder="1" applyAlignment="1" applyProtection="1">
      <alignment horizontal="left"/>
    </xf>
    <xf numFmtId="3" fontId="14" fillId="10" borderId="10" xfId="0" applyNumberFormat="1" applyFont="1" applyFill="1" applyBorder="1" applyAlignment="1" applyProtection="1">
      <alignment horizontal="left"/>
    </xf>
    <xf numFmtId="3" fontId="14" fillId="10" borderId="9" xfId="0" applyNumberFormat="1" applyFont="1" applyFill="1" applyBorder="1" applyAlignment="1" applyProtection="1">
      <alignment horizontal="left"/>
    </xf>
    <xf numFmtId="3" fontId="14" fillId="10" borderId="20" xfId="0" applyNumberFormat="1" applyFont="1" applyFill="1" applyBorder="1" applyAlignment="1" applyProtection="1">
      <alignment horizontal="left"/>
    </xf>
    <xf numFmtId="3" fontId="14" fillId="10" borderId="23" xfId="0" applyNumberFormat="1" applyFont="1" applyFill="1" applyBorder="1" applyAlignment="1" applyProtection="1">
      <alignment horizontal="left"/>
    </xf>
    <xf numFmtId="3" fontId="14" fillId="16" borderId="20" xfId="0" applyNumberFormat="1" applyFont="1" applyFill="1" applyBorder="1" applyAlignment="1" applyProtection="1">
      <alignment horizontal="left"/>
    </xf>
    <xf numFmtId="3" fontId="14" fillId="10" borderId="30" xfId="0" applyNumberFormat="1" applyFont="1" applyFill="1" applyBorder="1" applyAlignment="1" applyProtection="1">
      <alignment horizontal="left"/>
    </xf>
    <xf numFmtId="3" fontId="14" fillId="10" borderId="31" xfId="0" applyNumberFormat="1" applyFont="1" applyFill="1" applyBorder="1" applyAlignment="1" applyProtection="1">
      <alignment horizontal="left"/>
    </xf>
    <xf numFmtId="0" fontId="97" fillId="0" borderId="11" xfId="6" applyFont="1" applyBorder="1" applyProtection="1"/>
    <xf numFmtId="0" fontId="23" fillId="0" borderId="87" xfId="6" applyBorder="1" applyProtection="1"/>
    <xf numFmtId="0" fontId="97" fillId="0" borderId="74" xfId="6" applyFont="1" applyBorder="1" applyProtection="1"/>
    <xf numFmtId="0" fontId="103" fillId="7" borderId="0" xfId="0" applyFont="1" applyFill="1" applyProtection="1"/>
    <xf numFmtId="49" fontId="105" fillId="7" borderId="0" xfId="0" applyNumberFormat="1" applyFont="1" applyFill="1" applyProtection="1"/>
    <xf numFmtId="0" fontId="105" fillId="7" borderId="0" xfId="0" applyFont="1" applyFill="1" applyProtection="1"/>
    <xf numFmtId="0" fontId="0" fillId="7" borderId="0" xfId="0" applyFill="1" applyAlignment="1" applyProtection="1">
      <alignment horizontal="right"/>
    </xf>
    <xf numFmtId="0" fontId="106" fillId="7" borderId="0" xfId="0" applyFont="1" applyFill="1" applyProtection="1"/>
    <xf numFmtId="49" fontId="105" fillId="7" borderId="0" xfId="0" applyNumberFormat="1" applyFont="1" applyFill="1" applyAlignment="1" applyProtection="1">
      <alignment horizontal="right"/>
    </xf>
    <xf numFmtId="49" fontId="104" fillId="7" borderId="0" xfId="0" applyNumberFormat="1" applyFont="1" applyFill="1" applyAlignment="1" applyProtection="1">
      <alignment horizontal="right"/>
    </xf>
    <xf numFmtId="49" fontId="105" fillId="7" borderId="0" xfId="6" applyNumberFormat="1" applyFont="1" applyFill="1" applyBorder="1" applyAlignment="1" applyProtection="1">
      <alignment horizontal="left"/>
    </xf>
    <xf numFmtId="0" fontId="105" fillId="7" borderId="0" xfId="6" applyFont="1" applyFill="1" applyProtection="1"/>
    <xf numFmtId="49" fontId="105" fillId="7" borderId="0" xfId="0" applyNumberFormat="1" applyFont="1" applyFill="1" applyAlignment="1" applyProtection="1"/>
    <xf numFmtId="0" fontId="105" fillId="7" borderId="0" xfId="0" applyFont="1" applyFill="1" applyAlignment="1" applyProtection="1"/>
    <xf numFmtId="3" fontId="3" fillId="0" borderId="18" xfId="0" applyNumberFormat="1" applyFont="1" applyFill="1" applyBorder="1" applyAlignment="1" applyProtection="1">
      <alignment horizontal="right"/>
      <protection locked="0"/>
    </xf>
    <xf numFmtId="0" fontId="108" fillId="0" borderId="0" xfId="0" applyFont="1" applyFill="1" applyBorder="1" applyProtection="1"/>
    <xf numFmtId="0" fontId="109" fillId="0" borderId="0" xfId="0" applyFont="1" applyFill="1" applyBorder="1" applyProtection="1"/>
    <xf numFmtId="3" fontId="14" fillId="3" borderId="8" xfId="0" applyNumberFormat="1" applyFont="1" applyFill="1" applyBorder="1" applyAlignment="1" applyProtection="1">
      <alignment horizontal="right"/>
    </xf>
    <xf numFmtId="3" fontId="36" fillId="0" borderId="0" xfId="6" quotePrefix="1" applyNumberFormat="1" applyFont="1" applyFill="1" applyBorder="1" applyAlignment="1" applyProtection="1"/>
    <xf numFmtId="3" fontId="63" fillId="0" borderId="0" xfId="6" quotePrefix="1" applyNumberFormat="1" applyFont="1" applyFill="1" applyBorder="1" applyAlignment="1" applyProtection="1"/>
    <xf numFmtId="3" fontId="114" fillId="2" borderId="0" xfId="0" applyNumberFormat="1" applyFont="1" applyFill="1" applyBorder="1" applyAlignment="1" applyProtection="1">
      <alignment horizontal="right"/>
    </xf>
    <xf numFmtId="3" fontId="114" fillId="5" borderId="0" xfId="0" applyNumberFormat="1" applyFont="1" applyFill="1" applyBorder="1" applyAlignment="1" applyProtection="1">
      <alignment horizontal="right"/>
    </xf>
    <xf numFmtId="3" fontId="114" fillId="4" borderId="0" xfId="0" applyNumberFormat="1" applyFont="1" applyFill="1" applyBorder="1" applyAlignment="1" applyProtection="1">
      <alignment horizontal="right"/>
    </xf>
    <xf numFmtId="3" fontId="114" fillId="6" borderId="0" xfId="0" applyNumberFormat="1" applyFont="1" applyFill="1" applyBorder="1" applyAlignment="1" applyProtection="1">
      <alignment horizontal="right"/>
    </xf>
    <xf numFmtId="0" fontId="115" fillId="0" borderId="0" xfId="0" applyFont="1" applyFill="1" applyBorder="1" applyProtection="1"/>
    <xf numFmtId="49" fontId="4" fillId="19" borderId="127" xfId="0" applyNumberFormat="1" applyFont="1" applyFill="1" applyBorder="1" applyAlignment="1" applyProtection="1">
      <alignment horizontal="center"/>
    </xf>
    <xf numFmtId="49" fontId="4" fillId="19" borderId="13" xfId="0" applyNumberFormat="1" applyFont="1" applyFill="1" applyBorder="1" applyAlignment="1" applyProtection="1">
      <alignment horizontal="center"/>
    </xf>
    <xf numFmtId="0" fontId="6" fillId="19" borderId="13" xfId="0" applyFont="1" applyFill="1" applyBorder="1" applyProtection="1"/>
    <xf numFmtId="49" fontId="4" fillId="19" borderId="1" xfId="0" applyNumberFormat="1" applyFont="1" applyFill="1" applyBorder="1" applyAlignment="1" applyProtection="1">
      <alignment horizontal="left"/>
    </xf>
    <xf numFmtId="49" fontId="4" fillId="19" borderId="5" xfId="0" applyNumberFormat="1" applyFont="1" applyFill="1" applyBorder="1" applyAlignment="1" applyProtection="1">
      <alignment horizontal="center" wrapText="1"/>
    </xf>
    <xf numFmtId="49" fontId="4" fillId="19" borderId="84" xfId="0" applyNumberFormat="1" applyFont="1" applyFill="1" applyBorder="1" applyAlignment="1" applyProtection="1">
      <alignment horizontal="center" wrapText="1"/>
    </xf>
    <xf numFmtId="0" fontId="9" fillId="19" borderId="9" xfId="0" applyFont="1" applyFill="1" applyBorder="1" applyAlignment="1" applyProtection="1">
      <alignment horizontal="center" wrapText="1"/>
    </xf>
    <xf numFmtId="49" fontId="4" fillId="19" borderId="2" xfId="0" applyNumberFormat="1" applyFont="1" applyFill="1" applyBorder="1" applyAlignment="1" applyProtection="1">
      <alignment horizontal="center" wrapText="1"/>
    </xf>
    <xf numFmtId="0" fontId="4" fillId="19" borderId="9" xfId="0" applyFont="1" applyFill="1" applyBorder="1" applyAlignment="1" applyProtection="1">
      <alignment horizontal="center" wrapText="1"/>
    </xf>
    <xf numFmtId="0" fontId="9" fillId="19" borderId="5" xfId="0" applyFont="1" applyFill="1" applyBorder="1" applyAlignment="1" applyProtection="1">
      <alignment horizontal="center"/>
    </xf>
    <xf numFmtId="0" fontId="4" fillId="19" borderId="68" xfId="0" applyFont="1" applyFill="1" applyBorder="1" applyAlignment="1" applyProtection="1">
      <alignment horizontal="center"/>
    </xf>
    <xf numFmtId="3" fontId="4" fillId="19" borderId="128" xfId="0" applyNumberFormat="1" applyFont="1" applyFill="1" applyBorder="1" applyAlignment="1" applyProtection="1"/>
    <xf numFmtId="0" fontId="4" fillId="19" borderId="23" xfId="0" applyFont="1" applyFill="1" applyBorder="1" applyAlignment="1" applyProtection="1">
      <alignment horizontal="center"/>
    </xf>
    <xf numFmtId="0" fontId="4" fillId="19" borderId="9" xfId="0" applyFont="1" applyFill="1" applyBorder="1" applyAlignment="1" applyProtection="1">
      <alignment horizontal="center"/>
    </xf>
    <xf numFmtId="0" fontId="6" fillId="19" borderId="9" xfId="0" applyFont="1" applyFill="1" applyBorder="1" applyAlignment="1" applyProtection="1">
      <alignment horizontal="left"/>
    </xf>
    <xf numFmtId="0" fontId="4" fillId="19" borderId="129" xfId="0" applyFont="1" applyFill="1" applyBorder="1" applyAlignment="1" applyProtection="1">
      <alignment horizontal="center"/>
    </xf>
    <xf numFmtId="0" fontId="9" fillId="19" borderId="13" xfId="0" applyFont="1" applyFill="1" applyBorder="1" applyAlignment="1" applyProtection="1">
      <alignment horizontal="center"/>
    </xf>
    <xf numFmtId="0" fontId="15" fillId="19" borderId="13" xfId="0" applyFont="1" applyFill="1" applyBorder="1" applyAlignment="1" applyProtection="1">
      <alignment horizontal="left"/>
    </xf>
    <xf numFmtId="0" fontId="4" fillId="19" borderId="22" xfId="0" applyFont="1" applyFill="1" applyBorder="1" applyAlignment="1" applyProtection="1">
      <alignment horizontal="center"/>
    </xf>
    <xf numFmtId="0" fontId="4" fillId="19" borderId="8" xfId="0" applyFont="1" applyFill="1" applyBorder="1" applyAlignment="1" applyProtection="1">
      <alignment horizontal="center" wrapText="1"/>
    </xf>
    <xf numFmtId="0" fontId="9" fillId="19" borderId="5" xfId="0" applyFont="1" applyFill="1" applyBorder="1" applyAlignment="1" applyProtection="1">
      <alignment wrapText="1"/>
    </xf>
    <xf numFmtId="0" fontId="4" fillId="19" borderId="21" xfId="0" applyFont="1" applyFill="1" applyBorder="1" applyAlignment="1" applyProtection="1">
      <alignment horizontal="center"/>
    </xf>
    <xf numFmtId="0" fontId="4" fillId="19" borderId="55" xfId="0" applyFont="1" applyFill="1" applyBorder="1" applyAlignment="1" applyProtection="1">
      <alignment horizontal="center"/>
    </xf>
    <xf numFmtId="0" fontId="4" fillId="19" borderId="2" xfId="0" applyFont="1" applyFill="1" applyBorder="1" applyProtection="1"/>
    <xf numFmtId="0" fontId="4" fillId="19" borderId="130" xfId="0" applyFont="1" applyFill="1" applyBorder="1" applyAlignment="1" applyProtection="1">
      <alignment horizontal="center"/>
    </xf>
    <xf numFmtId="1" fontId="4" fillId="19" borderId="15" xfId="0" applyNumberFormat="1" applyFont="1" applyFill="1" applyBorder="1" applyAlignment="1" applyProtection="1">
      <alignment horizontal="center"/>
    </xf>
    <xf numFmtId="0" fontId="4" fillId="19" borderId="15" xfId="0" applyFont="1" applyFill="1" applyBorder="1" applyProtection="1"/>
    <xf numFmtId="1" fontId="4" fillId="19" borderId="5" xfId="0" applyNumberFormat="1" applyFont="1" applyFill="1" applyBorder="1" applyAlignment="1" applyProtection="1">
      <alignment horizontal="center"/>
    </xf>
    <xf numFmtId="0" fontId="4" fillId="19" borderId="5" xfId="0" applyFont="1" applyFill="1" applyBorder="1" applyProtection="1"/>
    <xf numFmtId="0" fontId="4" fillId="19" borderId="50" xfId="0" applyFont="1" applyFill="1" applyBorder="1" applyAlignment="1" applyProtection="1">
      <alignment horizontal="center"/>
    </xf>
    <xf numFmtId="1" fontId="4" fillId="19" borderId="2" xfId="0" applyNumberFormat="1" applyFont="1" applyFill="1" applyBorder="1" applyAlignment="1" applyProtection="1">
      <alignment horizontal="center"/>
    </xf>
    <xf numFmtId="0" fontId="4" fillId="19" borderId="24" xfId="0" applyFont="1" applyFill="1" applyBorder="1" applyAlignment="1" applyProtection="1">
      <alignment horizontal="center"/>
    </xf>
    <xf numFmtId="1" fontId="6" fillId="19" borderId="13" xfId="0" applyNumberFormat="1" applyFont="1" applyFill="1" applyBorder="1" applyAlignment="1" applyProtection="1">
      <alignment horizontal="center"/>
    </xf>
    <xf numFmtId="0" fontId="9" fillId="19" borderId="131" xfId="0" applyFont="1" applyFill="1" applyBorder="1" applyAlignment="1" applyProtection="1">
      <alignment horizontal="center"/>
    </xf>
    <xf numFmtId="1" fontId="9" fillId="19" borderId="2" xfId="0" applyNumberFormat="1" applyFont="1" applyFill="1" applyBorder="1" applyAlignment="1" applyProtection="1">
      <alignment horizontal="center"/>
    </xf>
    <xf numFmtId="0" fontId="9" fillId="19" borderId="2" xfId="0" applyFont="1" applyFill="1" applyBorder="1" applyProtection="1"/>
    <xf numFmtId="1" fontId="15" fillId="19" borderId="13" xfId="0" applyNumberFormat="1" applyFont="1" applyFill="1" applyBorder="1" applyAlignment="1" applyProtection="1">
      <alignment horizontal="center"/>
    </xf>
    <xf numFmtId="0" fontId="15" fillId="19" borderId="13" xfId="0" applyFont="1" applyFill="1" applyBorder="1" applyProtection="1"/>
    <xf numFmtId="0" fontId="4" fillId="19" borderId="51" xfId="0" applyFont="1" applyFill="1" applyBorder="1" applyAlignment="1" applyProtection="1">
      <alignment horizontal="center"/>
    </xf>
    <xf numFmtId="1" fontId="6" fillId="19" borderId="25" xfId="0" applyNumberFormat="1" applyFont="1" applyFill="1" applyBorder="1" applyAlignment="1" applyProtection="1">
      <alignment horizontal="center"/>
    </xf>
    <xf numFmtId="0" fontId="6" fillId="19" borderId="25" xfId="0" applyFont="1" applyFill="1" applyBorder="1" applyProtection="1"/>
    <xf numFmtId="0" fontId="4" fillId="19" borderId="131" xfId="0" applyFont="1" applyFill="1" applyBorder="1" applyAlignment="1" applyProtection="1">
      <alignment horizontal="center"/>
    </xf>
    <xf numFmtId="0" fontId="4" fillId="19" borderId="25" xfId="0" applyFont="1" applyFill="1" applyBorder="1" applyAlignment="1" applyProtection="1">
      <alignment horizontal="center"/>
    </xf>
    <xf numFmtId="0" fontId="4" fillId="19" borderId="25" xfId="0" applyFont="1" applyFill="1" applyBorder="1" applyProtection="1"/>
    <xf numFmtId="0" fontId="6" fillId="19" borderId="2" xfId="0" applyFont="1" applyFill="1" applyBorder="1" applyProtection="1"/>
    <xf numFmtId="49" fontId="4" fillId="19" borderId="129" xfId="0" applyNumberFormat="1" applyFont="1" applyFill="1" applyBorder="1" applyAlignment="1" applyProtection="1">
      <alignment horizontal="center"/>
    </xf>
    <xf numFmtId="0" fontId="4" fillId="19" borderId="106" xfId="0" applyFont="1" applyFill="1" applyBorder="1" applyAlignment="1" applyProtection="1">
      <alignment horizontal="center"/>
    </xf>
    <xf numFmtId="1" fontId="4" fillId="19" borderId="42" xfId="0" applyNumberFormat="1" applyFont="1" applyFill="1" applyBorder="1" applyAlignment="1" applyProtection="1">
      <alignment horizontal="left"/>
    </xf>
    <xf numFmtId="0" fontId="4" fillId="19" borderId="132" xfId="0" applyFont="1" applyFill="1" applyBorder="1" applyAlignment="1" applyProtection="1">
      <alignment horizontal="center"/>
    </xf>
    <xf numFmtId="1" fontId="4" fillId="19" borderId="133" xfId="0" applyNumberFormat="1" applyFont="1" applyFill="1" applyBorder="1" applyAlignment="1" applyProtection="1">
      <alignment horizontal="left"/>
    </xf>
    <xf numFmtId="49" fontId="4" fillId="19" borderId="134" xfId="0" applyNumberFormat="1" applyFont="1" applyFill="1" applyBorder="1" applyAlignment="1" applyProtection="1">
      <alignment horizontal="center"/>
    </xf>
    <xf numFmtId="0" fontId="70" fillId="19" borderId="81" xfId="0" applyFont="1" applyFill="1" applyBorder="1" applyAlignment="1" applyProtection="1">
      <alignment horizontal="center"/>
    </xf>
    <xf numFmtId="49" fontId="4" fillId="19" borderId="21" xfId="0" applyNumberFormat="1" applyFont="1" applyFill="1" applyBorder="1" applyAlignment="1" applyProtection="1">
      <alignment horizontal="center"/>
    </xf>
    <xf numFmtId="49" fontId="17" fillId="19" borderId="8" xfId="0" applyNumberFormat="1" applyFont="1" applyFill="1" applyBorder="1" applyAlignment="1" applyProtection="1">
      <alignment horizontal="left"/>
    </xf>
    <xf numFmtId="49" fontId="4" fillId="19" borderId="22" xfId="0" applyNumberFormat="1" applyFont="1" applyFill="1" applyBorder="1" applyAlignment="1" applyProtection="1">
      <alignment horizontal="center"/>
    </xf>
    <xf numFmtId="49" fontId="4" fillId="19" borderId="130" xfId="0" applyNumberFormat="1" applyFont="1" applyFill="1" applyBorder="1" applyAlignment="1" applyProtection="1">
      <alignment horizontal="center"/>
    </xf>
    <xf numFmtId="49" fontId="4" fillId="19" borderId="24" xfId="0" applyNumberFormat="1" applyFont="1" applyFill="1" applyBorder="1" applyAlignment="1" applyProtection="1">
      <alignment horizontal="center"/>
    </xf>
    <xf numFmtId="49" fontId="70" fillId="19" borderId="66" xfId="0" applyNumberFormat="1" applyFont="1" applyFill="1" applyBorder="1" applyAlignment="1" applyProtection="1">
      <alignment horizontal="center"/>
    </xf>
    <xf numFmtId="49" fontId="9" fillId="19" borderId="135" xfId="0" applyNumberFormat="1" applyFont="1" applyFill="1" applyBorder="1" applyAlignment="1" applyProtection="1">
      <alignment horizontal="center"/>
    </xf>
    <xf numFmtId="0" fontId="15" fillId="19" borderId="136" xfId="0" applyFont="1" applyFill="1" applyBorder="1" applyAlignment="1" applyProtection="1">
      <alignment wrapText="1"/>
    </xf>
    <xf numFmtId="0" fontId="4" fillId="19" borderId="2" xfId="0" applyFont="1" applyFill="1" applyBorder="1" applyAlignment="1" applyProtection="1">
      <alignment wrapText="1"/>
    </xf>
    <xf numFmtId="49" fontId="4" fillId="19" borderId="131" xfId="0" applyNumberFormat="1" applyFont="1" applyFill="1" applyBorder="1" applyAlignment="1" applyProtection="1">
      <alignment horizontal="center"/>
    </xf>
    <xf numFmtId="0" fontId="6" fillId="19" borderId="42" xfId="0" applyFont="1" applyFill="1" applyBorder="1" applyProtection="1"/>
    <xf numFmtId="49" fontId="9" fillId="19" borderId="125" xfId="0" applyNumberFormat="1" applyFont="1" applyFill="1" applyBorder="1" applyAlignment="1" applyProtection="1">
      <alignment horizontal="center"/>
    </xf>
    <xf numFmtId="0" fontId="15" fillId="19" borderId="42" xfId="0" applyFont="1" applyFill="1" applyBorder="1" applyProtection="1"/>
    <xf numFmtId="0" fontId="6" fillId="19" borderId="2" xfId="0" applyFont="1" applyFill="1" applyBorder="1" applyAlignment="1" applyProtection="1">
      <alignment wrapText="1"/>
    </xf>
    <xf numFmtId="49" fontId="9" fillId="19" borderId="22" xfId="0" applyNumberFormat="1" applyFont="1" applyFill="1" applyBorder="1" applyAlignment="1" applyProtection="1">
      <alignment horizontal="center"/>
    </xf>
    <xf numFmtId="0" fontId="4" fillId="19" borderId="5" xfId="0" applyFont="1" applyFill="1" applyBorder="1" applyAlignment="1" applyProtection="1">
      <alignment wrapText="1"/>
    </xf>
    <xf numFmtId="0" fontId="6" fillId="19" borderId="120" xfId="0" applyFont="1" applyFill="1" applyBorder="1" applyAlignment="1" applyProtection="1">
      <alignment horizontal="right"/>
    </xf>
    <xf numFmtId="0" fontId="4" fillId="19" borderId="98" xfId="0" applyFont="1" applyFill="1" applyBorder="1" applyAlignment="1" applyProtection="1">
      <alignment horizontal="left"/>
    </xf>
    <xf numFmtId="0" fontId="6" fillId="19" borderId="118" xfId="0" applyFont="1" applyFill="1" applyBorder="1" applyAlignment="1" applyProtection="1">
      <alignment horizontal="right"/>
    </xf>
    <xf numFmtId="0" fontId="4" fillId="19" borderId="127" xfId="0" applyFont="1" applyFill="1" applyBorder="1" applyAlignment="1" applyProtection="1">
      <alignment horizontal="left"/>
    </xf>
    <xf numFmtId="0" fontId="6" fillId="19" borderId="15" xfId="0" applyFont="1" applyFill="1" applyBorder="1" applyAlignment="1" applyProtection="1">
      <alignment horizontal="right"/>
    </xf>
    <xf numFmtId="0" fontId="6" fillId="19" borderId="2" xfId="0" applyFont="1" applyFill="1" applyBorder="1" applyAlignment="1" applyProtection="1">
      <alignment horizontal="left"/>
    </xf>
    <xf numFmtId="0" fontId="4" fillId="19" borderId="2" xfId="0" applyFont="1" applyFill="1" applyBorder="1" applyAlignment="1" applyProtection="1">
      <alignment horizontal="left"/>
    </xf>
    <xf numFmtId="0" fontId="6" fillId="19" borderId="13" xfId="0" applyFont="1" applyFill="1" applyBorder="1" applyAlignment="1" applyProtection="1">
      <alignment horizontal="left"/>
    </xf>
    <xf numFmtId="49" fontId="4" fillId="19" borderId="23" xfId="0" applyNumberFormat="1" applyFont="1" applyFill="1" applyBorder="1" applyAlignment="1" applyProtection="1">
      <alignment horizontal="center"/>
    </xf>
    <xf numFmtId="0" fontId="4" fillId="19" borderId="9" xfId="0" applyFont="1" applyFill="1" applyBorder="1" applyAlignment="1" applyProtection="1">
      <alignment horizontal="left"/>
    </xf>
    <xf numFmtId="0" fontId="4" fillId="19" borderId="2" xfId="0" applyFont="1" applyFill="1" applyBorder="1" applyAlignment="1" applyProtection="1">
      <alignment horizontal="left" vertical="top" wrapText="1"/>
    </xf>
    <xf numFmtId="0" fontId="4" fillId="19" borderId="5" xfId="0" applyFont="1" applyFill="1" applyBorder="1" applyAlignment="1" applyProtection="1">
      <alignment horizontal="left"/>
    </xf>
    <xf numFmtId="0" fontId="6" fillId="19" borderId="15" xfId="0" applyFont="1" applyFill="1" applyBorder="1" applyAlignment="1" applyProtection="1">
      <alignment horizontal="left"/>
    </xf>
    <xf numFmtId="0" fontId="6" fillId="19" borderId="118" xfId="0" applyFont="1" applyFill="1" applyBorder="1" applyAlignment="1" applyProtection="1">
      <alignment horizontal="left"/>
    </xf>
    <xf numFmtId="0" fontId="6" fillId="19" borderId="121" xfId="0" applyFont="1" applyFill="1" applyBorder="1" applyAlignment="1" applyProtection="1">
      <alignment horizontal="left"/>
    </xf>
    <xf numFmtId="0" fontId="4" fillId="19" borderId="15" xfId="0" applyFont="1" applyFill="1" applyBorder="1" applyAlignment="1" applyProtection="1">
      <alignment horizontal="left"/>
    </xf>
    <xf numFmtId="0" fontId="4" fillId="19" borderId="57" xfId="0" applyFont="1" applyFill="1" applyBorder="1" applyAlignment="1" applyProtection="1">
      <alignment horizontal="left"/>
    </xf>
    <xf numFmtId="0" fontId="6" fillId="19" borderId="57" xfId="0" applyFont="1" applyFill="1" applyBorder="1" applyAlignment="1" applyProtection="1">
      <alignment horizontal="right"/>
    </xf>
    <xf numFmtId="0" fontId="4" fillId="19" borderId="54" xfId="0" applyFont="1" applyFill="1" applyBorder="1" applyAlignment="1" applyProtection="1">
      <alignment horizontal="left"/>
    </xf>
    <xf numFmtId="0" fontId="6" fillId="19" borderId="127" xfId="0" applyFont="1" applyFill="1" applyBorder="1" applyAlignment="1" applyProtection="1">
      <alignment horizontal="left" vertical="top"/>
    </xf>
    <xf numFmtId="0" fontId="6" fillId="19" borderId="57" xfId="0" applyFont="1" applyFill="1" applyBorder="1" applyAlignment="1" applyProtection="1">
      <alignment horizontal="left" vertical="top"/>
    </xf>
    <xf numFmtId="0" fontId="6" fillId="19" borderId="21" xfId="0" applyFont="1" applyFill="1" applyBorder="1" applyAlignment="1" applyProtection="1">
      <alignment horizontal="right"/>
    </xf>
    <xf numFmtId="0" fontId="6" fillId="19" borderId="53" xfId="0" applyFont="1" applyFill="1" applyBorder="1" applyAlignment="1" applyProtection="1">
      <alignment horizontal="right"/>
    </xf>
    <xf numFmtId="3" fontId="47" fillId="20" borderId="22" xfId="0" applyNumberFormat="1" applyFont="1" applyFill="1" applyBorder="1" applyProtection="1"/>
    <xf numFmtId="3" fontId="47" fillId="20" borderId="19" xfId="0" applyNumberFormat="1" applyFont="1" applyFill="1" applyBorder="1" applyProtection="1"/>
    <xf numFmtId="3" fontId="47" fillId="20" borderId="22" xfId="0" applyNumberFormat="1" applyFont="1" applyFill="1" applyBorder="1" applyAlignment="1" applyProtection="1">
      <alignment horizontal="right"/>
    </xf>
    <xf numFmtId="3" fontId="47" fillId="20" borderId="24" xfId="0" applyNumberFormat="1" applyFont="1" applyFill="1" applyBorder="1" applyProtection="1"/>
    <xf numFmtId="3" fontId="47" fillId="20" borderId="23" xfId="0" applyNumberFormat="1" applyFont="1" applyFill="1" applyBorder="1" applyProtection="1"/>
    <xf numFmtId="3" fontId="47" fillId="20" borderId="41" xfId="0" applyNumberFormat="1" applyFont="1" applyFill="1" applyBorder="1" applyProtection="1"/>
    <xf numFmtId="3" fontId="47" fillId="20" borderId="53" xfId="0" applyNumberFormat="1" applyFont="1" applyFill="1" applyBorder="1" applyProtection="1"/>
    <xf numFmtId="3" fontId="47" fillId="20" borderId="52" xfId="0" applyNumberFormat="1" applyFont="1" applyFill="1" applyBorder="1" applyProtection="1"/>
    <xf numFmtId="3" fontId="47" fillId="21" borderId="22" xfId="0" applyNumberFormat="1" applyFont="1" applyFill="1" applyBorder="1" applyProtection="1"/>
    <xf numFmtId="3" fontId="47" fillId="21" borderId="52" xfId="0" applyNumberFormat="1" applyFont="1" applyFill="1" applyBorder="1" applyProtection="1"/>
    <xf numFmtId="3" fontId="47" fillId="20" borderId="80" xfId="0" applyNumberFormat="1" applyFont="1" applyFill="1" applyBorder="1" applyProtection="1"/>
    <xf numFmtId="0" fontId="6" fillId="19" borderId="137" xfId="0" applyFont="1" applyFill="1" applyBorder="1" applyAlignment="1" applyProtection="1">
      <alignment horizontal="center" vertical="center" wrapText="1"/>
    </xf>
    <xf numFmtId="3" fontId="47" fillId="20" borderId="138" xfId="0" applyNumberFormat="1" applyFont="1" applyFill="1" applyBorder="1" applyProtection="1"/>
    <xf numFmtId="3" fontId="47" fillId="21" borderId="139" xfId="0" applyNumberFormat="1" applyFont="1" applyFill="1" applyBorder="1" applyProtection="1"/>
    <xf numFmtId="3" fontId="47" fillId="21" borderId="140" xfId="0" applyNumberFormat="1" applyFont="1" applyFill="1" applyBorder="1" applyProtection="1"/>
    <xf numFmtId="3" fontId="47" fillId="21" borderId="122" xfId="0" applyNumberFormat="1" applyFont="1" applyFill="1" applyBorder="1" applyProtection="1"/>
    <xf numFmtId="3" fontId="47" fillId="20" borderId="141" xfId="0" applyNumberFormat="1" applyFont="1" applyFill="1" applyBorder="1" applyProtection="1"/>
    <xf numFmtId="0" fontId="6" fillId="19" borderId="36" xfId="0" applyFont="1" applyFill="1" applyBorder="1" applyProtection="1"/>
    <xf numFmtId="166" fontId="5" fillId="19" borderId="121" xfId="0" applyNumberFormat="1" applyFont="1" applyFill="1" applyBorder="1" applyProtection="1"/>
    <xf numFmtId="0" fontId="6" fillId="19" borderId="142" xfId="0" applyFont="1" applyFill="1" applyBorder="1" applyProtection="1"/>
    <xf numFmtId="166" fontId="7" fillId="19" borderId="143" xfId="0" applyNumberFormat="1" applyFont="1" applyFill="1" applyBorder="1" applyProtection="1"/>
    <xf numFmtId="0" fontId="6" fillId="19" borderId="21" xfId="0" applyFont="1" applyFill="1" applyBorder="1" applyAlignment="1" applyProtection="1">
      <alignment horizontal="left" vertical="top"/>
    </xf>
    <xf numFmtId="0" fontId="6" fillId="19" borderId="53" xfId="0" applyFont="1" applyFill="1" applyBorder="1" applyAlignment="1" applyProtection="1">
      <alignment horizontal="left" vertical="top"/>
    </xf>
    <xf numFmtId="3" fontId="47" fillId="20" borderId="19" xfId="0" applyNumberFormat="1" applyFont="1" applyFill="1" applyBorder="1" applyAlignment="1" applyProtection="1">
      <alignment horizontal="right"/>
    </xf>
    <xf numFmtId="0" fontId="4" fillId="19" borderId="131" xfId="0" applyFont="1" applyFill="1" applyBorder="1" applyProtection="1"/>
    <xf numFmtId="166" fontId="7" fillId="19" borderId="53" xfId="0" applyNumberFormat="1" applyFont="1" applyFill="1" applyBorder="1" applyProtection="1"/>
    <xf numFmtId="0" fontId="4" fillId="19" borderId="50" xfId="0" applyFont="1" applyFill="1" applyBorder="1" applyProtection="1"/>
    <xf numFmtId="166" fontId="47" fillId="19" borderId="52" xfId="0" applyNumberFormat="1" applyFont="1" applyFill="1" applyBorder="1" applyProtection="1"/>
    <xf numFmtId="166" fontId="7" fillId="19" borderId="52" xfId="0" applyNumberFormat="1" applyFont="1" applyFill="1" applyBorder="1" applyProtection="1"/>
    <xf numFmtId="3" fontId="47" fillId="21" borderId="69" xfId="0" applyNumberFormat="1" applyFont="1" applyFill="1" applyBorder="1" applyProtection="1"/>
    <xf numFmtId="3" fontId="47" fillId="21" borderId="60" xfId="0" applyNumberFormat="1" applyFont="1" applyFill="1" applyBorder="1" applyProtection="1"/>
    <xf numFmtId="0" fontId="4" fillId="19" borderId="144" xfId="0" applyFont="1" applyFill="1" applyBorder="1" applyProtection="1"/>
    <xf numFmtId="166" fontId="47" fillId="19" borderId="59" xfId="0" applyNumberFormat="1" applyFont="1" applyFill="1" applyBorder="1" applyProtection="1"/>
    <xf numFmtId="3" fontId="47" fillId="20" borderId="24" xfId="0" applyNumberFormat="1" applyFont="1" applyFill="1" applyBorder="1" applyAlignment="1" applyProtection="1">
      <alignment horizontal="right"/>
    </xf>
    <xf numFmtId="3" fontId="47" fillId="21" borderId="85" xfId="0" applyNumberFormat="1" applyFont="1" applyFill="1" applyBorder="1" applyProtection="1"/>
    <xf numFmtId="49" fontId="4" fillId="19" borderId="36" xfId="0" applyNumberFormat="1" applyFont="1" applyFill="1" applyBorder="1" applyAlignment="1" applyProtection="1">
      <alignment horizontal="left"/>
    </xf>
    <xf numFmtId="0" fontId="6" fillId="19" borderId="118" xfId="0" applyFont="1" applyFill="1" applyBorder="1" applyAlignment="1" applyProtection="1"/>
    <xf numFmtId="49" fontId="4" fillId="19" borderId="58" xfId="0" applyNumberFormat="1" applyFont="1" applyFill="1" applyBorder="1" applyAlignment="1" applyProtection="1">
      <alignment horizontal="left"/>
    </xf>
    <xf numFmtId="0" fontId="26" fillId="19" borderId="15" xfId="0" applyFont="1" applyFill="1" applyBorder="1" applyProtection="1"/>
    <xf numFmtId="49" fontId="4" fillId="19" borderId="142" xfId="0" applyNumberFormat="1" applyFont="1" applyFill="1" applyBorder="1" applyAlignment="1" applyProtection="1">
      <alignment horizontal="left"/>
    </xf>
    <xf numFmtId="0" fontId="26" fillId="19" borderId="42" xfId="0" applyFont="1" applyFill="1" applyBorder="1" applyProtection="1"/>
    <xf numFmtId="49" fontId="4" fillId="19" borderId="127" xfId="0" applyNumberFormat="1" applyFont="1" applyFill="1" applyBorder="1" applyProtection="1"/>
    <xf numFmtId="165" fontId="4" fillId="19" borderId="15" xfId="0" applyNumberFormat="1" applyFont="1" applyFill="1" applyBorder="1" applyProtection="1"/>
    <xf numFmtId="0" fontId="25" fillId="19" borderId="145" xfId="0" applyFont="1" applyFill="1" applyBorder="1" applyProtection="1"/>
    <xf numFmtId="0" fontId="25" fillId="19" borderId="15" xfId="0" applyFont="1" applyFill="1" applyBorder="1" applyProtection="1"/>
    <xf numFmtId="0" fontId="6" fillId="19" borderId="2" xfId="0" applyNumberFormat="1" applyFont="1" applyFill="1" applyBorder="1" applyAlignment="1" applyProtection="1">
      <alignment horizontal="center"/>
    </xf>
    <xf numFmtId="0" fontId="15" fillId="19" borderId="2" xfId="0" applyFont="1" applyFill="1" applyBorder="1" applyProtection="1"/>
    <xf numFmtId="49" fontId="4" fillId="19" borderId="2" xfId="0" applyNumberFormat="1" applyFont="1" applyFill="1" applyBorder="1" applyAlignment="1" applyProtection="1">
      <alignment horizontal="center"/>
    </xf>
    <xf numFmtId="49" fontId="6" fillId="19" borderId="15" xfId="0" applyNumberFormat="1" applyFont="1" applyFill="1" applyBorder="1" applyAlignment="1" applyProtection="1">
      <alignment horizontal="center"/>
    </xf>
    <xf numFmtId="0" fontId="15" fillId="19" borderId="15" xfId="0" applyFont="1" applyFill="1" applyBorder="1" applyProtection="1"/>
    <xf numFmtId="0" fontId="4" fillId="19" borderId="5" xfId="0" applyFont="1" applyFill="1" applyBorder="1" applyAlignment="1" applyProtection="1">
      <alignment horizontal="center"/>
    </xf>
    <xf numFmtId="49" fontId="9" fillId="19" borderId="2" xfId="0" applyNumberFormat="1" applyFont="1" applyFill="1" applyBorder="1" applyAlignment="1" applyProtection="1">
      <alignment horizontal="center"/>
    </xf>
    <xf numFmtId="49" fontId="15" fillId="19" borderId="2" xfId="0" applyNumberFormat="1" applyFont="1" applyFill="1" applyBorder="1" applyAlignment="1" applyProtection="1">
      <alignment horizontal="center"/>
    </xf>
    <xf numFmtId="49" fontId="15" fillId="19" borderId="13" xfId="0" applyNumberFormat="1" applyFont="1" applyFill="1" applyBorder="1" applyAlignment="1" applyProtection="1">
      <alignment horizontal="center"/>
    </xf>
    <xf numFmtId="49" fontId="9" fillId="19" borderId="98" xfId="0" applyNumberFormat="1" applyFont="1" applyFill="1" applyBorder="1" applyAlignment="1" applyProtection="1">
      <alignment horizontal="center"/>
    </xf>
    <xf numFmtId="49" fontId="9" fillId="19" borderId="118" xfId="0" applyNumberFormat="1" applyFont="1" applyFill="1" applyBorder="1" applyAlignment="1" applyProtection="1">
      <alignment horizontal="center"/>
    </xf>
    <xf numFmtId="0" fontId="25" fillId="19" borderId="118" xfId="0" applyFont="1" applyFill="1" applyBorder="1" applyProtection="1"/>
    <xf numFmtId="49" fontId="6" fillId="19" borderId="2" xfId="0" applyNumberFormat="1" applyFont="1" applyFill="1" applyBorder="1" applyAlignment="1" applyProtection="1">
      <alignment horizontal="center"/>
    </xf>
    <xf numFmtId="49" fontId="6" fillId="19" borderId="13" xfId="0" applyNumberFormat="1" applyFont="1" applyFill="1" applyBorder="1" applyAlignment="1" applyProtection="1">
      <alignment horizontal="center"/>
    </xf>
    <xf numFmtId="49" fontId="4" fillId="19" borderId="146" xfId="0" applyNumberFormat="1" applyFont="1" applyFill="1" applyBorder="1" applyAlignment="1" applyProtection="1">
      <alignment horizontal="center"/>
    </xf>
    <xf numFmtId="49" fontId="6" fillId="19" borderId="84" xfId="0" applyNumberFormat="1" applyFont="1" applyFill="1" applyBorder="1" applyAlignment="1" applyProtection="1">
      <alignment horizontal="center"/>
    </xf>
    <xf numFmtId="0" fontId="15" fillId="19" borderId="84" xfId="0" applyFont="1" applyFill="1" applyBorder="1" applyProtection="1"/>
    <xf numFmtId="3" fontId="6" fillId="19" borderId="95" xfId="0" applyNumberFormat="1" applyFont="1" applyFill="1" applyBorder="1" applyProtection="1"/>
    <xf numFmtId="3" fontId="6" fillId="19" borderId="88" xfId="0" applyNumberFormat="1" applyFont="1" applyFill="1" applyBorder="1" applyProtection="1"/>
    <xf numFmtId="166" fontId="27" fillId="19" borderId="56" xfId="0" applyNumberFormat="1" applyFont="1" applyFill="1" applyBorder="1" applyAlignment="1" applyProtection="1">
      <alignment horizontal="center"/>
    </xf>
    <xf numFmtId="166" fontId="27" fillId="19" borderId="60" xfId="0" applyNumberFormat="1" applyFont="1" applyFill="1" applyBorder="1" applyAlignment="1" applyProtection="1">
      <alignment horizontal="center"/>
    </xf>
    <xf numFmtId="166" fontId="28" fillId="19" borderId="147" xfId="0" applyNumberFormat="1" applyFont="1" applyFill="1" applyBorder="1" applyProtection="1"/>
    <xf numFmtId="166" fontId="28" fillId="19" borderId="90" xfId="0" applyNumberFormat="1" applyFont="1" applyFill="1" applyBorder="1" applyProtection="1"/>
    <xf numFmtId="166" fontId="7" fillId="19" borderId="148" xfId="0" applyNumberFormat="1" applyFont="1" applyFill="1" applyBorder="1" applyProtection="1"/>
    <xf numFmtId="166" fontId="7" fillId="19" borderId="149" xfId="0" applyNumberFormat="1" applyFont="1" applyFill="1" applyBorder="1" applyProtection="1"/>
    <xf numFmtId="166" fontId="7" fillId="19" borderId="54" xfId="0" applyNumberFormat="1" applyFont="1" applyFill="1" applyBorder="1" applyProtection="1"/>
    <xf numFmtId="166" fontId="7" fillId="19" borderId="18" xfId="0" applyNumberFormat="1" applyFont="1" applyFill="1" applyBorder="1" applyProtection="1"/>
    <xf numFmtId="0" fontId="8" fillId="19" borderId="19" xfId="0" applyFont="1" applyFill="1" applyBorder="1" applyProtection="1"/>
    <xf numFmtId="0" fontId="6" fillId="19" borderId="58" xfId="0" applyFont="1" applyFill="1" applyBorder="1" applyAlignment="1" applyProtection="1">
      <alignment horizontal="center"/>
    </xf>
    <xf numFmtId="0" fontId="6" fillId="19" borderId="57" xfId="0" applyFont="1" applyFill="1" applyBorder="1" applyAlignment="1" applyProtection="1"/>
    <xf numFmtId="0" fontId="6" fillId="19" borderId="142" xfId="0" applyFont="1" applyFill="1" applyBorder="1" applyAlignment="1" applyProtection="1">
      <alignment horizontal="right"/>
    </xf>
    <xf numFmtId="0" fontId="6" fillId="19" borderId="143" xfId="0" applyFont="1" applyFill="1" applyBorder="1" applyAlignment="1" applyProtection="1">
      <alignment horizontal="right"/>
    </xf>
    <xf numFmtId="3" fontId="3" fillId="21" borderId="58" xfId="0" applyNumberFormat="1" applyFont="1" applyFill="1" applyBorder="1" applyAlignment="1" applyProtection="1">
      <alignment horizontal="right"/>
    </xf>
    <xf numFmtId="3" fontId="3" fillId="21" borderId="57" xfId="0" applyNumberFormat="1" applyFont="1" applyFill="1" applyBorder="1" applyAlignment="1" applyProtection="1">
      <alignment horizontal="right"/>
    </xf>
    <xf numFmtId="3" fontId="3" fillId="21" borderId="58" xfId="0" applyNumberFormat="1" applyFont="1" applyFill="1" applyBorder="1" applyProtection="1"/>
    <xf numFmtId="3" fontId="3" fillId="21" borderId="57" xfId="0" applyNumberFormat="1" applyFont="1" applyFill="1" applyBorder="1" applyProtection="1"/>
    <xf numFmtId="3" fontId="3" fillId="20" borderId="58" xfId="0" applyNumberFormat="1" applyFont="1" applyFill="1" applyBorder="1" applyProtection="1"/>
    <xf numFmtId="3" fontId="3" fillId="20" borderId="57" xfId="0" applyNumberFormat="1" applyFont="1" applyFill="1" applyBorder="1" applyProtection="1"/>
    <xf numFmtId="3" fontId="47" fillId="21" borderId="58" xfId="0" applyNumberFormat="1" applyFont="1" applyFill="1" applyBorder="1" applyProtection="1"/>
    <xf numFmtId="3" fontId="47" fillId="21" borderId="57" xfId="0" applyNumberFormat="1" applyFont="1" applyFill="1" applyBorder="1" applyProtection="1"/>
    <xf numFmtId="3" fontId="47" fillId="20" borderId="58" xfId="0" applyNumberFormat="1" applyFont="1" applyFill="1" applyBorder="1" applyProtection="1"/>
    <xf numFmtId="3" fontId="47" fillId="20" borderId="57" xfId="0" applyNumberFormat="1" applyFont="1" applyFill="1" applyBorder="1" applyProtection="1"/>
    <xf numFmtId="0" fontId="107" fillId="19" borderId="58" xfId="0" applyFont="1" applyFill="1" applyBorder="1" applyProtection="1"/>
    <xf numFmtId="0" fontId="107" fillId="19" borderId="57" xfId="0" applyFont="1" applyFill="1" applyBorder="1" applyProtection="1"/>
    <xf numFmtId="49" fontId="9" fillId="19" borderId="132" xfId="0" applyNumberFormat="1" applyFont="1" applyFill="1" applyBorder="1" applyAlignment="1" applyProtection="1">
      <alignment horizontal="center"/>
    </xf>
    <xf numFmtId="49" fontId="9" fillId="19" borderId="133" xfId="0" applyNumberFormat="1" applyFont="1" applyFill="1" applyBorder="1" applyAlignment="1" applyProtection="1">
      <alignment horizontal="center"/>
    </xf>
    <xf numFmtId="49" fontId="9" fillId="19" borderId="133" xfId="0" applyNumberFormat="1" applyFont="1" applyFill="1" applyBorder="1" applyAlignment="1" applyProtection="1">
      <alignment horizontal="left"/>
    </xf>
    <xf numFmtId="49" fontId="9" fillId="19" borderId="34" xfId="0" applyNumberFormat="1" applyFont="1" applyFill="1" applyBorder="1" applyAlignment="1" applyProtection="1">
      <alignment horizontal="center"/>
    </xf>
    <xf numFmtId="49" fontId="9" fillId="19" borderId="35" xfId="0" applyNumberFormat="1" applyFont="1" applyFill="1" applyBorder="1" applyAlignment="1" applyProtection="1">
      <alignment horizontal="center"/>
    </xf>
    <xf numFmtId="49" fontId="9" fillId="19" borderId="35" xfId="0" applyNumberFormat="1" applyFont="1" applyFill="1" applyBorder="1" applyAlignment="1" applyProtection="1">
      <alignment horizontal="left"/>
    </xf>
    <xf numFmtId="49" fontId="9" fillId="19" borderId="7" xfId="0" applyNumberFormat="1" applyFont="1" applyFill="1" applyBorder="1" applyAlignment="1" applyProtection="1">
      <alignment horizontal="center"/>
    </xf>
    <xf numFmtId="49" fontId="9" fillId="19" borderId="5" xfId="0" applyNumberFormat="1" applyFont="1" applyFill="1" applyBorder="1" applyAlignment="1" applyProtection="1">
      <alignment horizontal="center"/>
    </xf>
    <xf numFmtId="49" fontId="9" fillId="19" borderId="150" xfId="0" applyNumberFormat="1" applyFont="1" applyFill="1" applyBorder="1" applyAlignment="1" applyProtection="1">
      <alignment horizontal="center"/>
    </xf>
    <xf numFmtId="49" fontId="9" fillId="19" borderId="42" xfId="0" applyNumberFormat="1" applyFont="1" applyFill="1" applyBorder="1" applyAlignment="1" applyProtection="1">
      <alignment horizontal="left"/>
    </xf>
    <xf numFmtId="166" fontId="7" fillId="19" borderId="9" xfId="0" applyNumberFormat="1" applyFont="1" applyFill="1" applyBorder="1" applyProtection="1"/>
    <xf numFmtId="3" fontId="10" fillId="22" borderId="20" xfId="0" applyNumberFormat="1" applyFont="1" applyFill="1" applyBorder="1" applyProtection="1"/>
    <xf numFmtId="0" fontId="6" fillId="19" borderId="124" xfId="0" applyFont="1" applyFill="1" applyBorder="1" applyAlignment="1" applyProtection="1">
      <alignment horizontal="left"/>
    </xf>
    <xf numFmtId="1" fontId="6" fillId="19" borderId="42" xfId="0" applyNumberFormat="1" applyFont="1" applyFill="1" applyBorder="1" applyAlignment="1" applyProtection="1">
      <alignment horizontal="left"/>
    </xf>
    <xf numFmtId="0" fontId="6" fillId="19" borderId="1" xfId="0" applyFont="1" applyFill="1" applyBorder="1" applyProtection="1"/>
    <xf numFmtId="3" fontId="16" fillId="19" borderId="147" xfId="0" applyNumberFormat="1" applyFont="1" applyFill="1" applyBorder="1" applyProtection="1"/>
    <xf numFmtId="3" fontId="16" fillId="19" borderId="90" xfId="0" applyNumberFormat="1" applyFont="1" applyFill="1" applyBorder="1" applyProtection="1"/>
    <xf numFmtId="3" fontId="3" fillId="19" borderId="18" xfId="0" applyNumberFormat="1" applyFont="1" applyFill="1" applyBorder="1" applyProtection="1"/>
    <xf numFmtId="49" fontId="4" fillId="19" borderId="151" xfId="0" applyNumberFormat="1" applyFont="1" applyFill="1" applyBorder="1" applyAlignment="1" applyProtection="1">
      <alignment horizontal="center"/>
    </xf>
    <xf numFmtId="0" fontId="4" fillId="19" borderId="151" xfId="0" applyFont="1" applyFill="1" applyBorder="1" applyProtection="1"/>
    <xf numFmtId="49" fontId="4" fillId="19" borderId="5" xfId="0" applyNumberFormat="1" applyFont="1" applyFill="1" applyBorder="1" applyAlignment="1" applyProtection="1">
      <alignment horizontal="center"/>
    </xf>
    <xf numFmtId="166" fontId="4" fillId="19" borderId="2" xfId="0" applyNumberFormat="1" applyFont="1" applyFill="1" applyBorder="1" applyAlignment="1" applyProtection="1">
      <alignment horizontal="left"/>
    </xf>
    <xf numFmtId="49" fontId="6" fillId="19" borderId="25" xfId="0" applyNumberFormat="1" applyFont="1" applyFill="1" applyBorder="1" applyAlignment="1" applyProtection="1">
      <alignment horizontal="center"/>
    </xf>
    <xf numFmtId="0" fontId="4" fillId="19" borderId="2" xfId="0" applyFont="1" applyFill="1" applyBorder="1" applyAlignment="1" applyProtection="1">
      <alignment horizontal="center"/>
    </xf>
    <xf numFmtId="49" fontId="6" fillId="19" borderId="5" xfId="0" applyNumberFormat="1" applyFont="1" applyFill="1" applyBorder="1" applyAlignment="1" applyProtection="1">
      <alignment horizontal="center"/>
    </xf>
    <xf numFmtId="0" fontId="6" fillId="19" borderId="5" xfId="0" applyFont="1" applyFill="1" applyBorder="1" applyProtection="1"/>
    <xf numFmtId="3" fontId="9" fillId="19" borderId="146" xfId="0" applyNumberFormat="1" applyFont="1" applyFill="1" applyBorder="1" applyAlignment="1" applyProtection="1">
      <alignment horizontal="center"/>
    </xf>
    <xf numFmtId="3" fontId="6" fillId="19" borderId="152" xfId="0" applyNumberFormat="1" applyFont="1" applyFill="1" applyBorder="1" applyAlignment="1" applyProtection="1">
      <alignment horizontal="center"/>
    </xf>
    <xf numFmtId="3" fontId="6" fillId="19" borderId="152" xfId="0" applyNumberFormat="1" applyFont="1" applyFill="1" applyBorder="1" applyProtection="1"/>
    <xf numFmtId="3" fontId="3" fillId="20" borderId="18" xfId="0" applyNumberFormat="1" applyFont="1" applyFill="1" applyBorder="1" applyProtection="1"/>
    <xf numFmtId="3" fontId="3" fillId="20" borderId="60" xfId="0" applyNumberFormat="1" applyFont="1" applyFill="1" applyBorder="1" applyProtection="1"/>
    <xf numFmtId="3" fontId="3" fillId="20" borderId="19" xfId="0" applyNumberFormat="1" applyFont="1" applyFill="1" applyBorder="1" applyProtection="1"/>
    <xf numFmtId="3" fontId="6" fillId="19" borderId="142" xfId="0" applyNumberFormat="1" applyFont="1" applyFill="1" applyBorder="1" applyProtection="1"/>
    <xf numFmtId="3" fontId="6" fillId="19" borderId="143" xfId="0" applyNumberFormat="1" applyFont="1" applyFill="1" applyBorder="1" applyProtection="1"/>
    <xf numFmtId="3" fontId="3" fillId="19" borderId="58" xfId="0" applyNumberFormat="1" applyFont="1" applyFill="1" applyBorder="1" applyProtection="1"/>
    <xf numFmtId="3" fontId="3" fillId="19" borderId="57" xfId="0" applyNumberFormat="1" applyFont="1" applyFill="1" applyBorder="1" applyProtection="1"/>
    <xf numFmtId="3" fontId="47" fillId="20" borderId="50" xfId="0" applyNumberFormat="1" applyFont="1" applyFill="1" applyBorder="1" applyProtection="1"/>
    <xf numFmtId="3" fontId="47" fillId="19" borderId="58" xfId="0" applyNumberFormat="1" applyFont="1" applyFill="1" applyBorder="1" applyProtection="1"/>
    <xf numFmtId="3" fontId="47" fillId="19" borderId="57" xfId="0" applyNumberFormat="1" applyFont="1" applyFill="1" applyBorder="1" applyProtection="1"/>
    <xf numFmtId="3" fontId="47" fillId="19" borderId="60" xfId="0" applyNumberFormat="1" applyFont="1" applyFill="1" applyBorder="1" applyProtection="1"/>
    <xf numFmtId="3" fontId="47" fillId="19" borderId="131" xfId="0" applyNumberFormat="1" applyFont="1" applyFill="1" applyBorder="1" applyProtection="1"/>
    <xf numFmtId="3" fontId="47" fillId="20" borderId="51" xfId="0" applyNumberFormat="1" applyFont="1" applyFill="1" applyBorder="1" applyProtection="1"/>
    <xf numFmtId="3" fontId="47" fillId="20" borderId="26" xfId="0" applyNumberFormat="1" applyFont="1" applyFill="1" applyBorder="1" applyProtection="1"/>
    <xf numFmtId="3" fontId="3" fillId="20" borderId="88" xfId="0" applyNumberFormat="1" applyFont="1" applyFill="1" applyBorder="1" applyProtection="1"/>
    <xf numFmtId="0" fontId="4" fillId="19" borderId="73" xfId="0" applyFont="1" applyFill="1" applyBorder="1" applyProtection="1"/>
    <xf numFmtId="0" fontId="0" fillId="19" borderId="74" xfId="0" applyFill="1" applyBorder="1" applyProtection="1"/>
    <xf numFmtId="0" fontId="0" fillId="19" borderId="64" xfId="0" applyFill="1" applyBorder="1" applyProtection="1"/>
    <xf numFmtId="0" fontId="4" fillId="19" borderId="75" xfId="0" applyFont="1" applyFill="1" applyBorder="1" applyProtection="1"/>
    <xf numFmtId="0" fontId="0" fillId="19" borderId="76" xfId="0" applyFill="1" applyBorder="1" applyProtection="1"/>
    <xf numFmtId="0" fontId="0" fillId="19" borderId="92" xfId="0" applyFill="1" applyBorder="1" applyProtection="1"/>
    <xf numFmtId="0" fontId="4" fillId="19" borderId="75" xfId="0" applyFont="1" applyFill="1" applyBorder="1" applyAlignment="1" applyProtection="1">
      <alignment horizontal="left"/>
    </xf>
    <xf numFmtId="0" fontId="0" fillId="19" borderId="76" xfId="0" applyFill="1" applyBorder="1" applyAlignment="1" applyProtection="1">
      <alignment horizontal="left"/>
    </xf>
    <xf numFmtId="3" fontId="6" fillId="19" borderId="137" xfId="0" applyNumberFormat="1" applyFont="1" applyFill="1" applyBorder="1" applyAlignment="1" applyProtection="1">
      <alignment horizontal="center" vertical="center" wrapText="1"/>
    </xf>
    <xf numFmtId="3" fontId="16" fillId="19" borderId="153" xfId="0" applyNumberFormat="1" applyFont="1" applyFill="1" applyBorder="1" applyAlignment="1" applyProtection="1">
      <alignment horizontal="center" vertical="center" wrapText="1"/>
    </xf>
    <xf numFmtId="3" fontId="6" fillId="19" borderId="153" xfId="0" applyNumberFormat="1" applyFont="1" applyFill="1" applyBorder="1" applyAlignment="1" applyProtection="1">
      <alignment horizontal="center" vertical="center" wrapText="1"/>
    </xf>
    <xf numFmtId="9" fontId="47" fillId="19" borderId="140" xfId="0" applyNumberFormat="1" applyFont="1" applyFill="1" applyBorder="1" applyProtection="1"/>
    <xf numFmtId="3" fontId="47" fillId="20" borderId="140" xfId="0" applyNumberFormat="1" applyFont="1" applyFill="1" applyBorder="1" applyProtection="1"/>
    <xf numFmtId="9" fontId="47" fillId="19" borderId="138" xfId="0" applyNumberFormat="1" applyFont="1" applyFill="1" applyBorder="1" applyProtection="1"/>
    <xf numFmtId="9" fontId="47" fillId="19" borderId="154" xfId="0" applyNumberFormat="1" applyFont="1" applyFill="1" applyBorder="1" applyProtection="1"/>
    <xf numFmtId="49" fontId="4" fillId="19" borderId="98" xfId="0" applyNumberFormat="1" applyFont="1" applyFill="1" applyBorder="1" applyAlignment="1" applyProtection="1">
      <alignment horizontal="left"/>
    </xf>
    <xf numFmtId="49" fontId="4" fillId="19" borderId="124" xfId="0" applyNumberFormat="1" applyFont="1" applyFill="1" applyBorder="1" applyAlignment="1" applyProtection="1">
      <alignment horizontal="left"/>
    </xf>
    <xf numFmtId="0" fontId="15" fillId="19" borderId="124" xfId="0" applyFont="1" applyFill="1" applyBorder="1" applyProtection="1"/>
    <xf numFmtId="49" fontId="4" fillId="19" borderId="116" xfId="0" applyNumberFormat="1" applyFont="1" applyFill="1" applyBorder="1" applyAlignment="1" applyProtection="1">
      <alignment horizontal="left"/>
    </xf>
    <xf numFmtId="49" fontId="4" fillId="19" borderId="35" xfId="0" applyNumberFormat="1" applyFont="1" applyFill="1" applyBorder="1" applyAlignment="1" applyProtection="1">
      <alignment horizontal="left"/>
    </xf>
    <xf numFmtId="0" fontId="9" fillId="19" borderId="35" xfId="0" applyFont="1" applyFill="1" applyBorder="1" applyProtection="1"/>
    <xf numFmtId="3" fontId="3" fillId="19" borderId="35" xfId="0" applyNumberFormat="1" applyFont="1" applyFill="1" applyBorder="1" applyProtection="1"/>
    <xf numFmtId="49" fontId="4" fillId="19" borderId="2" xfId="0" applyNumberFormat="1" applyFont="1" applyFill="1" applyBorder="1" applyAlignment="1" applyProtection="1">
      <alignment horizontal="left"/>
    </xf>
    <xf numFmtId="3" fontId="3" fillId="19" borderId="5" xfId="0" applyNumberFormat="1" applyFont="1" applyFill="1" applyBorder="1" applyProtection="1"/>
    <xf numFmtId="49" fontId="6" fillId="19" borderId="25" xfId="0" applyNumberFormat="1" applyFont="1" applyFill="1" applyBorder="1" applyAlignment="1" applyProtection="1">
      <alignment horizontal="left"/>
    </xf>
    <xf numFmtId="0" fontId="9" fillId="19" borderId="25" xfId="0" applyFont="1" applyFill="1" applyBorder="1" applyProtection="1"/>
    <xf numFmtId="3" fontId="3" fillId="19" borderId="25" xfId="0" applyNumberFormat="1" applyFont="1" applyFill="1" applyBorder="1" applyProtection="1"/>
    <xf numFmtId="49" fontId="4" fillId="19" borderId="95" xfId="0" applyNumberFormat="1" applyFont="1" applyFill="1" applyBorder="1" applyAlignment="1" applyProtection="1">
      <alignment horizontal="left"/>
    </xf>
    <xf numFmtId="49" fontId="4" fillId="19" borderId="120" xfId="0" applyNumberFormat="1" applyFont="1" applyFill="1" applyBorder="1" applyAlignment="1" applyProtection="1">
      <alignment horizontal="left"/>
    </xf>
    <xf numFmtId="0" fontId="4" fillId="19" borderId="15" xfId="0" applyFont="1" applyFill="1" applyBorder="1" applyAlignment="1" applyProtection="1">
      <alignment horizontal="right"/>
    </xf>
    <xf numFmtId="0" fontId="6" fillId="19" borderId="155" xfId="0" applyFont="1" applyFill="1" applyBorder="1" applyAlignment="1" applyProtection="1">
      <alignment horizontal="right"/>
    </xf>
    <xf numFmtId="0" fontId="6" fillId="19" borderId="116" xfId="0" applyFont="1" applyFill="1" applyBorder="1" applyAlignment="1" applyProtection="1">
      <alignment horizontal="left"/>
    </xf>
    <xf numFmtId="0" fontId="6" fillId="19" borderId="89" xfId="0" applyFont="1" applyFill="1" applyBorder="1" applyAlignment="1" applyProtection="1">
      <alignment horizontal="right"/>
    </xf>
    <xf numFmtId="0" fontId="4" fillId="19" borderId="13" xfId="0" applyFont="1" applyFill="1" applyBorder="1" applyAlignment="1" applyProtection="1">
      <alignment horizontal="center"/>
    </xf>
    <xf numFmtId="0" fontId="9" fillId="19" borderId="21" xfId="0" applyFont="1" applyFill="1" applyBorder="1" applyAlignment="1" applyProtection="1">
      <alignment horizontal="center"/>
    </xf>
    <xf numFmtId="0" fontId="9" fillId="19" borderId="9" xfId="0" applyFont="1" applyFill="1" applyBorder="1" applyAlignment="1" applyProtection="1">
      <alignment horizontal="center"/>
    </xf>
    <xf numFmtId="0" fontId="9" fillId="19" borderId="82" xfId="0" applyFont="1" applyFill="1" applyBorder="1" applyAlignment="1" applyProtection="1">
      <alignment horizontal="left"/>
    </xf>
    <xf numFmtId="0" fontId="9" fillId="19" borderId="22" xfId="0" applyFont="1" applyFill="1" applyBorder="1" applyAlignment="1" applyProtection="1">
      <alignment horizontal="center"/>
    </xf>
    <xf numFmtId="0" fontId="9" fillId="19" borderId="24" xfId="0" applyFont="1" applyFill="1" applyBorder="1" applyAlignment="1" applyProtection="1">
      <alignment horizontal="center"/>
    </xf>
    <xf numFmtId="0" fontId="15" fillId="19" borderId="66" xfId="0" applyFont="1" applyFill="1" applyBorder="1" applyAlignment="1" applyProtection="1">
      <alignment horizontal="left"/>
    </xf>
    <xf numFmtId="0" fontId="4" fillId="19" borderId="82" xfId="0" applyFont="1" applyFill="1" applyBorder="1" applyAlignment="1" applyProtection="1">
      <alignment horizontal="left"/>
    </xf>
    <xf numFmtId="0" fontId="6" fillId="19" borderId="156" xfId="0" applyFont="1" applyFill="1" applyBorder="1" applyAlignment="1" applyProtection="1">
      <alignment horizontal="left"/>
    </xf>
    <xf numFmtId="0" fontId="6" fillId="19" borderId="121" xfId="0" applyFont="1" applyFill="1" applyBorder="1" applyAlignment="1" applyProtection="1">
      <alignment horizontal="center"/>
    </xf>
    <xf numFmtId="0" fontId="6" fillId="19" borderId="57" xfId="0" applyFont="1" applyFill="1" applyBorder="1" applyAlignment="1" applyProtection="1">
      <alignment horizontal="center"/>
    </xf>
    <xf numFmtId="0" fontId="6" fillId="19" borderId="118" xfId="0" applyFont="1" applyFill="1" applyBorder="1" applyAlignment="1" applyProtection="1">
      <alignment horizontal="center"/>
    </xf>
    <xf numFmtId="0" fontId="6" fillId="19" borderId="88" xfId="0" applyFont="1" applyFill="1" applyBorder="1" applyAlignment="1" applyProtection="1">
      <alignment horizontal="center"/>
    </xf>
    <xf numFmtId="0" fontId="6" fillId="19" borderId="15" xfId="0" applyFont="1" applyFill="1" applyBorder="1" applyAlignment="1" applyProtection="1">
      <alignment horizontal="center"/>
    </xf>
    <xf numFmtId="0" fontId="6" fillId="19" borderId="60" xfId="0" applyFont="1" applyFill="1" applyBorder="1" applyAlignment="1" applyProtection="1">
      <alignment horizontal="center"/>
    </xf>
    <xf numFmtId="0" fontId="6" fillId="19" borderId="42" xfId="0" applyFont="1" applyFill="1" applyBorder="1" applyAlignment="1" applyProtection="1">
      <alignment horizontal="right"/>
    </xf>
    <xf numFmtId="0" fontId="6" fillId="19" borderId="90" xfId="0" applyFont="1" applyFill="1" applyBorder="1" applyAlignment="1" applyProtection="1">
      <alignment horizontal="center"/>
    </xf>
    <xf numFmtId="0" fontId="4" fillId="19" borderId="2" xfId="0" applyFont="1" applyFill="1" applyBorder="1" applyAlignment="1" applyProtection="1">
      <alignment horizontal="right"/>
    </xf>
    <xf numFmtId="0" fontId="4" fillId="19" borderId="146" xfId="0" applyFont="1" applyFill="1" applyBorder="1" applyAlignment="1" applyProtection="1">
      <alignment horizontal="center"/>
    </xf>
    <xf numFmtId="0" fontId="6" fillId="19" borderId="118" xfId="0" applyFont="1" applyFill="1" applyBorder="1" applyProtection="1"/>
    <xf numFmtId="1" fontId="4" fillId="19" borderId="15" xfId="0" applyNumberFormat="1" applyFont="1" applyFill="1" applyBorder="1" applyAlignment="1" applyProtection="1">
      <alignment horizontal="left"/>
    </xf>
    <xf numFmtId="0" fontId="6" fillId="19" borderId="15" xfId="0" applyFont="1" applyFill="1" applyBorder="1" applyProtection="1"/>
    <xf numFmtId="0" fontId="8" fillId="19" borderId="129" xfId="0" applyFont="1" applyFill="1" applyBorder="1" applyProtection="1"/>
    <xf numFmtId="3" fontId="3" fillId="19" borderId="90" xfId="0" applyNumberFormat="1" applyFont="1" applyFill="1" applyBorder="1" applyProtection="1"/>
    <xf numFmtId="0" fontId="4" fillId="19" borderId="127" xfId="0" applyFont="1" applyFill="1" applyBorder="1" applyAlignment="1" applyProtection="1">
      <alignment horizontal="center"/>
    </xf>
    <xf numFmtId="1" fontId="4" fillId="19" borderId="9" xfId="0" applyNumberFormat="1" applyFont="1" applyFill="1" applyBorder="1" applyAlignment="1" applyProtection="1">
      <alignment horizontal="center"/>
    </xf>
    <xf numFmtId="0" fontId="4" fillId="19" borderId="9" xfId="0" applyFont="1" applyFill="1" applyBorder="1" applyProtection="1"/>
    <xf numFmtId="0" fontId="6" fillId="19" borderId="158" xfId="0" applyFont="1" applyFill="1" applyBorder="1" applyAlignment="1" applyProtection="1">
      <alignment horizontal="center"/>
    </xf>
    <xf numFmtId="0" fontId="6" fillId="19" borderId="119" xfId="0" applyFont="1" applyFill="1" applyBorder="1" applyAlignment="1" applyProtection="1">
      <alignment horizontal="center"/>
    </xf>
    <xf numFmtId="0" fontId="6" fillId="19" borderId="160" xfId="0" applyFont="1" applyFill="1" applyBorder="1" applyAlignment="1" applyProtection="1">
      <alignment horizontal="center"/>
    </xf>
    <xf numFmtId="0" fontId="6" fillId="19" borderId="161" xfId="0" applyFont="1" applyFill="1" applyBorder="1" applyAlignment="1" applyProtection="1">
      <alignment horizontal="center"/>
    </xf>
    <xf numFmtId="0" fontId="6" fillId="19" borderId="159" xfId="0" applyFont="1" applyFill="1" applyBorder="1" applyAlignment="1" applyProtection="1">
      <alignment horizontal="left"/>
    </xf>
    <xf numFmtId="0" fontId="6" fillId="19" borderId="160" xfId="0" applyFont="1" applyFill="1" applyBorder="1" applyAlignment="1" applyProtection="1">
      <alignment horizontal="right"/>
    </xf>
    <xf numFmtId="49" fontId="9" fillId="19" borderId="14" xfId="0" applyNumberFormat="1" applyFont="1" applyFill="1" applyBorder="1" applyAlignment="1" applyProtection="1">
      <alignment horizontal="center"/>
    </xf>
    <xf numFmtId="49" fontId="9" fillId="19" borderId="9" xfId="0" applyNumberFormat="1" applyFont="1" applyFill="1" applyBorder="1" applyAlignment="1" applyProtection="1">
      <alignment horizontal="center"/>
    </xf>
    <xf numFmtId="1" fontId="9" fillId="19" borderId="133" xfId="0" applyNumberFormat="1" applyFont="1" applyFill="1" applyBorder="1" applyAlignment="1" applyProtection="1">
      <alignment horizontal="center"/>
    </xf>
    <xf numFmtId="1" fontId="9" fillId="19" borderId="133" xfId="0" applyNumberFormat="1" applyFont="1" applyFill="1" applyBorder="1" applyAlignment="1" applyProtection="1">
      <alignment horizontal="left"/>
    </xf>
    <xf numFmtId="1" fontId="9" fillId="19" borderId="42" xfId="0" applyNumberFormat="1" applyFont="1" applyFill="1" applyBorder="1" applyAlignment="1" applyProtection="1">
      <alignment horizontal="center"/>
    </xf>
    <xf numFmtId="49" fontId="9" fillId="19" borderId="162" xfId="0" applyNumberFormat="1" applyFont="1" applyFill="1" applyBorder="1" applyAlignment="1" applyProtection="1">
      <alignment horizontal="center"/>
    </xf>
    <xf numFmtId="0" fontId="15" fillId="19" borderId="118" xfId="0" applyFont="1" applyFill="1" applyBorder="1" applyAlignment="1" applyProtection="1">
      <alignment horizontal="left"/>
    </xf>
    <xf numFmtId="0" fontId="15" fillId="19" borderId="15" xfId="0" applyFont="1" applyFill="1" applyBorder="1" applyAlignment="1" applyProtection="1">
      <alignment horizontal="left"/>
    </xf>
    <xf numFmtId="0" fontId="4" fillId="19" borderId="89" xfId="0" applyFont="1" applyFill="1" applyBorder="1" applyAlignment="1" applyProtection="1">
      <alignment horizontal="left"/>
    </xf>
    <xf numFmtId="0" fontId="6" fillId="19" borderId="42" xfId="0" applyFont="1" applyFill="1" applyBorder="1" applyAlignment="1" applyProtection="1">
      <alignment horizontal="left"/>
    </xf>
    <xf numFmtId="1" fontId="9" fillId="19" borderId="5" xfId="0" applyNumberFormat="1" applyFont="1" applyFill="1" applyBorder="1" applyAlignment="1" applyProtection="1">
      <alignment horizontal="center"/>
    </xf>
    <xf numFmtId="0" fontId="9" fillId="19" borderId="5" xfId="0" applyFont="1" applyFill="1" applyBorder="1" applyProtection="1"/>
    <xf numFmtId="166" fontId="21" fillId="19" borderId="90" xfId="0" applyNumberFormat="1" applyFont="1" applyFill="1" applyBorder="1" applyAlignment="1" applyProtection="1">
      <alignment horizontal="left"/>
    </xf>
    <xf numFmtId="0" fontId="15" fillId="19" borderId="116" xfId="0" applyFont="1" applyFill="1" applyBorder="1" applyProtection="1"/>
    <xf numFmtId="0" fontId="15" fillId="19" borderId="90" xfId="0" applyFont="1" applyFill="1" applyBorder="1" applyProtection="1"/>
    <xf numFmtId="0" fontId="13" fillId="19" borderId="116" xfId="0" applyFont="1" applyFill="1" applyBorder="1" applyAlignment="1" applyProtection="1">
      <alignment horizontal="left"/>
    </xf>
    <xf numFmtId="0" fontId="6" fillId="19" borderId="1" xfId="0" applyFont="1" applyFill="1" applyBorder="1" applyAlignment="1" applyProtection="1">
      <alignment horizontal="left"/>
    </xf>
    <xf numFmtId="166" fontId="6" fillId="19" borderId="90" xfId="0" applyNumberFormat="1" applyFont="1" applyFill="1" applyBorder="1" applyAlignment="1" applyProtection="1">
      <alignment horizontal="left"/>
    </xf>
    <xf numFmtId="1" fontId="15" fillId="19" borderId="25" xfId="0" applyNumberFormat="1" applyFont="1" applyFill="1" applyBorder="1" applyAlignment="1" applyProtection="1">
      <alignment horizontal="center"/>
    </xf>
    <xf numFmtId="1" fontId="4" fillId="19" borderId="84" xfId="0" applyNumberFormat="1" applyFont="1" applyFill="1" applyBorder="1" applyAlignment="1" applyProtection="1">
      <alignment horizontal="center"/>
    </xf>
    <xf numFmtId="0" fontId="4" fillId="19" borderId="98" xfId="0" applyFont="1" applyFill="1" applyBorder="1" applyAlignment="1" applyProtection="1">
      <alignment horizontal="left" vertical="top" wrapText="1"/>
    </xf>
    <xf numFmtId="0" fontId="65" fillId="19" borderId="120" xfId="0" applyFont="1" applyFill="1" applyBorder="1" applyProtection="1"/>
    <xf numFmtId="0" fontId="5" fillId="19" borderId="89" xfId="0" applyFont="1" applyFill="1" applyBorder="1" applyAlignment="1" applyProtection="1"/>
    <xf numFmtId="0" fontId="96" fillId="19" borderId="89" xfId="0" applyFont="1" applyFill="1" applyBorder="1" applyAlignment="1"/>
    <xf numFmtId="1" fontId="4" fillId="19" borderId="98" xfId="0" applyNumberFormat="1" applyFont="1" applyFill="1" applyBorder="1" applyAlignment="1" applyProtection="1">
      <alignment horizontal="left"/>
    </xf>
    <xf numFmtId="0" fontId="4" fillId="19" borderId="118" xfId="0" applyFont="1" applyFill="1" applyBorder="1" applyAlignment="1" applyProtection="1">
      <alignment horizontal="left"/>
    </xf>
    <xf numFmtId="3" fontId="4" fillId="19" borderId="164" xfId="0" applyNumberFormat="1" applyFont="1" applyFill="1" applyBorder="1" applyAlignment="1" applyProtection="1">
      <alignment horizontal="left"/>
    </xf>
    <xf numFmtId="3" fontId="4" fillId="19" borderId="165" xfId="0" applyNumberFormat="1" applyFont="1" applyFill="1" applyBorder="1" applyProtection="1"/>
    <xf numFmtId="1" fontId="4" fillId="19" borderId="127" xfId="0" applyNumberFormat="1" applyFont="1" applyFill="1" applyBorder="1" applyAlignment="1" applyProtection="1">
      <alignment horizontal="left"/>
    </xf>
    <xf numFmtId="3" fontId="4" fillId="19" borderId="15" xfId="0" applyNumberFormat="1" applyFont="1" applyFill="1" applyBorder="1" applyAlignment="1" applyProtection="1">
      <alignment horizontal="left"/>
    </xf>
    <xf numFmtId="0" fontId="4" fillId="19" borderId="0" xfId="0" applyFont="1" applyFill="1" applyBorder="1" applyProtection="1"/>
    <xf numFmtId="3" fontId="4" fillId="19" borderId="15" xfId="0" applyNumberFormat="1" applyFont="1" applyFill="1" applyBorder="1" applyProtection="1"/>
    <xf numFmtId="0" fontId="8" fillId="19" borderId="116" xfId="0" applyFont="1" applyFill="1" applyBorder="1" applyProtection="1"/>
    <xf numFmtId="0" fontId="4" fillId="19" borderId="1" xfId="0" applyFont="1" applyFill="1" applyBorder="1" applyProtection="1"/>
    <xf numFmtId="0" fontId="4" fillId="19" borderId="42" xfId="0" applyFont="1" applyFill="1" applyBorder="1" applyProtection="1"/>
    <xf numFmtId="49" fontId="4" fillId="19" borderId="135" xfId="0" applyNumberFormat="1" applyFont="1" applyFill="1" applyBorder="1" applyAlignment="1" applyProtection="1">
      <alignment horizontal="left"/>
    </xf>
    <xf numFmtId="0" fontId="4" fillId="19" borderId="136" xfId="0" applyFont="1" applyFill="1" applyBorder="1" applyProtection="1"/>
    <xf numFmtId="170" fontId="4" fillId="19" borderId="35" xfId="0" applyNumberFormat="1" applyFont="1" applyFill="1" applyBorder="1" applyAlignment="1" applyProtection="1">
      <alignment horizontal="left"/>
    </xf>
    <xf numFmtId="49" fontId="9" fillId="19" borderId="134" xfId="0" applyNumberFormat="1" applyFont="1" applyFill="1" applyBorder="1" applyAlignment="1" applyProtection="1">
      <alignment horizontal="center"/>
    </xf>
    <xf numFmtId="49" fontId="4" fillId="19" borderId="125" xfId="0" applyNumberFormat="1" applyFont="1" applyFill="1" applyBorder="1" applyAlignment="1" applyProtection="1">
      <alignment horizontal="center"/>
    </xf>
    <xf numFmtId="3" fontId="3" fillId="19" borderId="35" xfId="0" applyNumberFormat="1" applyFont="1" applyFill="1" applyBorder="1" applyAlignment="1" applyProtection="1">
      <alignment horizontal="right"/>
    </xf>
    <xf numFmtId="0" fontId="6" fillId="19" borderId="70" xfId="0" applyFont="1" applyFill="1" applyBorder="1" applyProtection="1"/>
    <xf numFmtId="0" fontId="9" fillId="19" borderId="2" xfId="0" applyFont="1" applyFill="1" applyBorder="1" applyAlignment="1" applyProtection="1">
      <alignment wrapText="1"/>
    </xf>
    <xf numFmtId="49" fontId="9" fillId="19" borderId="131" xfId="0" applyNumberFormat="1" applyFont="1" applyFill="1" applyBorder="1" applyAlignment="1" applyProtection="1">
      <alignment horizontal="center"/>
    </xf>
    <xf numFmtId="0" fontId="15" fillId="19" borderId="42" xfId="0" applyFont="1" applyFill="1" applyBorder="1" applyAlignment="1" applyProtection="1">
      <alignment horizontal="left"/>
    </xf>
    <xf numFmtId="0" fontId="6" fillId="19" borderId="2" xfId="0" applyFont="1" applyFill="1" applyBorder="1" applyAlignment="1" applyProtection="1">
      <alignment horizontal="left" wrapText="1"/>
    </xf>
    <xf numFmtId="0" fontId="9" fillId="19" borderId="2" xfId="0" applyFont="1" applyFill="1" applyBorder="1" applyAlignment="1" applyProtection="1">
      <alignment horizontal="left"/>
    </xf>
    <xf numFmtId="49" fontId="9" fillId="19" borderId="144" xfId="0" applyNumberFormat="1" applyFont="1" applyFill="1" applyBorder="1" applyAlignment="1" applyProtection="1">
      <alignment horizontal="center"/>
    </xf>
    <xf numFmtId="0" fontId="9" fillId="19" borderId="13" xfId="0" applyFont="1" applyFill="1" applyBorder="1" applyProtection="1"/>
    <xf numFmtId="49" fontId="9" fillId="19" borderId="100" xfId="0" applyNumberFormat="1" applyFont="1" applyFill="1" applyBorder="1" applyAlignment="1" applyProtection="1">
      <alignment horizontal="center"/>
    </xf>
    <xf numFmtId="1" fontId="4" fillId="19" borderId="23" xfId="0" applyNumberFormat="1" applyFont="1" applyFill="1" applyBorder="1" applyAlignment="1" applyProtection="1">
      <alignment horizontal="left" vertical="top" wrapText="1"/>
    </xf>
    <xf numFmtId="0" fontId="4" fillId="19" borderId="166" xfId="0" applyFont="1" applyFill="1" applyBorder="1" applyAlignment="1" applyProtection="1">
      <alignment vertical="top"/>
    </xf>
    <xf numFmtId="0" fontId="9" fillId="19" borderId="167" xfId="0" applyFont="1" applyFill="1" applyBorder="1" applyProtection="1"/>
    <xf numFmtId="0" fontId="12" fillId="19" borderId="127" xfId="0" applyFont="1" applyFill="1" applyBorder="1" applyProtection="1"/>
    <xf numFmtId="0" fontId="9" fillId="19" borderId="44" xfId="0" applyFont="1" applyFill="1" applyBorder="1" applyProtection="1"/>
    <xf numFmtId="0" fontId="0" fillId="19" borderId="127" xfId="0" applyFill="1" applyBorder="1" applyProtection="1"/>
    <xf numFmtId="0" fontId="13" fillId="23" borderId="116" xfId="0" applyFont="1" applyFill="1" applyBorder="1" applyProtection="1"/>
    <xf numFmtId="49" fontId="12" fillId="23" borderId="58" xfId="0" applyNumberFormat="1" applyFont="1" applyFill="1" applyBorder="1" applyProtection="1"/>
    <xf numFmtId="0" fontId="20" fillId="19" borderId="168" xfId="0" applyFont="1" applyFill="1" applyBorder="1" applyProtection="1"/>
    <xf numFmtId="49" fontId="14" fillId="19" borderId="127" xfId="0" applyNumberFormat="1" applyFont="1" applyFill="1" applyBorder="1" applyAlignment="1" applyProtection="1">
      <alignment horizontal="left"/>
    </xf>
    <xf numFmtId="0" fontId="15" fillId="19" borderId="169" xfId="0" applyFont="1" applyFill="1" applyBorder="1" applyAlignment="1" applyProtection="1">
      <alignment wrapText="1"/>
    </xf>
    <xf numFmtId="0" fontId="9" fillId="19" borderId="3" xfId="0" applyFont="1" applyFill="1" applyBorder="1" applyAlignment="1" applyProtection="1"/>
    <xf numFmtId="0" fontId="9" fillId="19" borderId="6" xfId="0" applyFont="1" applyFill="1" applyBorder="1" applyProtection="1"/>
    <xf numFmtId="49" fontId="9" fillId="19" borderId="36" xfId="0" applyNumberFormat="1" applyFont="1" applyFill="1" applyBorder="1" applyAlignment="1" applyProtection="1">
      <alignment horizontal="center"/>
    </xf>
    <xf numFmtId="0" fontId="15" fillId="19" borderId="117" xfId="0" applyFont="1" applyFill="1" applyBorder="1" applyProtection="1"/>
    <xf numFmtId="0" fontId="9" fillId="19" borderId="3" xfId="0" applyFont="1" applyFill="1" applyBorder="1" applyProtection="1"/>
    <xf numFmtId="0" fontId="15" fillId="19" borderId="96" xfId="0" applyFont="1" applyFill="1" applyBorder="1" applyProtection="1"/>
    <xf numFmtId="49" fontId="9" fillId="19" borderId="127" xfId="0" applyNumberFormat="1" applyFont="1" applyFill="1" applyBorder="1" applyAlignment="1" applyProtection="1">
      <alignment horizontal="center"/>
    </xf>
    <xf numFmtId="0" fontId="15" fillId="19" borderId="44" xfId="0" applyFont="1" applyFill="1" applyBorder="1" applyProtection="1"/>
    <xf numFmtId="0" fontId="9" fillId="19" borderId="72" xfId="0" applyFont="1" applyFill="1" applyBorder="1" applyProtection="1"/>
    <xf numFmtId="0" fontId="15" fillId="19" borderId="169" xfId="0" applyFont="1" applyFill="1" applyBorder="1" applyProtection="1"/>
    <xf numFmtId="0" fontId="6" fillId="19" borderId="169" xfId="0" applyFont="1" applyFill="1" applyBorder="1" applyAlignment="1" applyProtection="1">
      <alignment wrapText="1"/>
    </xf>
    <xf numFmtId="49" fontId="9" fillId="19" borderId="37" xfId="0" applyNumberFormat="1" applyFont="1" applyFill="1" applyBorder="1" applyAlignment="1" applyProtection="1">
      <alignment horizontal="center"/>
    </xf>
    <xf numFmtId="0" fontId="4" fillId="19" borderId="6" xfId="0" applyFont="1" applyFill="1" applyBorder="1" applyProtection="1"/>
    <xf numFmtId="49" fontId="12" fillId="19" borderId="58" xfId="0" applyNumberFormat="1" applyFont="1" applyFill="1" applyBorder="1" applyProtection="1"/>
    <xf numFmtId="0" fontId="15" fillId="19" borderId="94" xfId="0" applyFont="1" applyFill="1" applyBorder="1" applyProtection="1"/>
    <xf numFmtId="49" fontId="4" fillId="19" borderId="3" xfId="0" applyNumberFormat="1" applyFont="1" applyFill="1" applyBorder="1" applyAlignment="1" applyProtection="1">
      <alignment horizontal="left"/>
    </xf>
    <xf numFmtId="49" fontId="4" fillId="19" borderId="92" xfId="0" applyNumberFormat="1" applyFont="1" applyFill="1" applyBorder="1" applyAlignment="1" applyProtection="1">
      <alignment horizontal="left"/>
    </xf>
    <xf numFmtId="49" fontId="9" fillId="19" borderId="130" xfId="0" applyNumberFormat="1" applyFont="1" applyFill="1" applyBorder="1" applyAlignment="1" applyProtection="1">
      <alignment horizontal="center"/>
    </xf>
    <xf numFmtId="0" fontId="4" fillId="19" borderId="3" xfId="0" applyFont="1" applyFill="1" applyBorder="1" applyAlignment="1" applyProtection="1">
      <alignment wrapText="1"/>
    </xf>
    <xf numFmtId="0" fontId="15" fillId="19" borderId="94" xfId="0" applyFont="1" applyFill="1" applyBorder="1" applyAlignment="1" applyProtection="1"/>
    <xf numFmtId="0" fontId="4" fillId="19" borderId="3" xfId="0" applyFont="1" applyFill="1" applyBorder="1" applyProtection="1"/>
    <xf numFmtId="49" fontId="116" fillId="19" borderId="21" xfId="0" applyNumberFormat="1" applyFont="1" applyFill="1" applyBorder="1" applyAlignment="1" applyProtection="1">
      <alignment horizontal="center"/>
    </xf>
    <xf numFmtId="0" fontId="116" fillId="19" borderId="3" xfId="0" applyFont="1" applyFill="1" applyBorder="1" applyProtection="1"/>
    <xf numFmtId="0" fontId="9" fillId="19" borderId="10" xfId="0" applyFont="1" applyFill="1" applyBorder="1" applyProtection="1"/>
    <xf numFmtId="0" fontId="9" fillId="19" borderId="99" xfId="0" applyFont="1" applyFill="1" applyBorder="1" applyProtection="1"/>
    <xf numFmtId="3" fontId="4" fillId="19" borderId="128" xfId="0" applyNumberFormat="1" applyFont="1" applyFill="1" applyBorder="1" applyAlignment="1" applyProtection="1">
      <alignment horizontal="left" vertical="top" wrapText="1"/>
    </xf>
    <xf numFmtId="3" fontId="4" fillId="19" borderId="15" xfId="0" applyNumberFormat="1" applyFont="1" applyFill="1" applyBorder="1" applyAlignment="1" applyProtection="1">
      <alignment horizontal="left" vertical="top"/>
    </xf>
    <xf numFmtId="3" fontId="4" fillId="19" borderId="68" xfId="0" applyNumberFormat="1" applyFont="1" applyFill="1" applyBorder="1" applyAlignment="1" applyProtection="1">
      <alignment horizontal="left" vertical="top" wrapText="1"/>
    </xf>
    <xf numFmtId="3" fontId="4" fillId="19" borderId="16" xfId="0" applyNumberFormat="1" applyFont="1" applyFill="1" applyBorder="1" applyAlignment="1" applyProtection="1">
      <alignment horizontal="left" vertical="top" wrapText="1"/>
    </xf>
    <xf numFmtId="3" fontId="4" fillId="19" borderId="60" xfId="0" applyNumberFormat="1" applyFont="1" applyFill="1" applyBorder="1" applyAlignment="1" applyProtection="1">
      <alignment horizontal="left" vertical="top" wrapText="1"/>
    </xf>
    <xf numFmtId="0" fontId="4" fillId="19" borderId="155" xfId="0" applyFont="1" applyFill="1" applyBorder="1" applyAlignment="1" applyProtection="1">
      <alignment horizontal="left" vertical="top" wrapText="1"/>
    </xf>
    <xf numFmtId="0" fontId="4" fillId="19" borderId="155" xfId="0" applyFont="1" applyFill="1" applyBorder="1" applyProtection="1"/>
    <xf numFmtId="3" fontId="9" fillId="19" borderId="16" xfId="0" applyNumberFormat="1" applyFont="1" applyFill="1" applyBorder="1" applyProtection="1"/>
    <xf numFmtId="0" fontId="9" fillId="19" borderId="150" xfId="0" applyFont="1" applyFill="1" applyBorder="1" applyProtection="1"/>
    <xf numFmtId="49" fontId="12" fillId="19" borderId="170" xfId="0" applyNumberFormat="1" applyFont="1" applyFill="1" applyBorder="1" applyProtection="1"/>
    <xf numFmtId="49" fontId="12" fillId="19" borderId="168" xfId="0" applyNumberFormat="1" applyFont="1" applyFill="1" applyBorder="1" applyProtection="1"/>
    <xf numFmtId="49" fontId="12" fillId="19" borderId="136" xfId="0" applyNumberFormat="1" applyFont="1" applyFill="1" applyBorder="1" applyProtection="1"/>
    <xf numFmtId="49" fontId="12" fillId="19" borderId="113" xfId="0" applyNumberFormat="1" applyFont="1" applyFill="1" applyBorder="1" applyProtection="1"/>
    <xf numFmtId="49" fontId="12" fillId="19" borderId="126" xfId="0" applyNumberFormat="1" applyFont="1" applyFill="1" applyBorder="1" applyProtection="1"/>
    <xf numFmtId="49" fontId="12" fillId="19" borderId="171" xfId="0" applyNumberFormat="1" applyFont="1" applyFill="1" applyBorder="1" applyProtection="1"/>
    <xf numFmtId="49" fontId="12" fillId="19" borderId="4" xfId="0" applyNumberFormat="1" applyFont="1" applyFill="1" applyBorder="1" applyProtection="1"/>
    <xf numFmtId="49" fontId="12" fillId="19" borderId="3" xfId="0" applyNumberFormat="1" applyFont="1" applyFill="1" applyBorder="1" applyProtection="1"/>
    <xf numFmtId="49" fontId="12" fillId="19" borderId="2" xfId="0" applyNumberFormat="1" applyFont="1" applyFill="1" applyBorder="1" applyProtection="1"/>
    <xf numFmtId="49" fontId="12" fillId="19" borderId="82" xfId="0" applyNumberFormat="1" applyFont="1" applyFill="1" applyBorder="1" applyProtection="1"/>
    <xf numFmtId="49" fontId="12" fillId="19" borderId="65" xfId="0" applyNumberFormat="1" applyFont="1" applyFill="1" applyBorder="1" applyProtection="1"/>
    <xf numFmtId="49" fontId="12" fillId="19" borderId="53" xfId="0" applyNumberFormat="1" applyFont="1" applyFill="1" applyBorder="1" applyProtection="1"/>
    <xf numFmtId="3" fontId="14" fillId="19" borderId="14" xfId="0" applyNumberFormat="1" applyFont="1" applyFill="1" applyBorder="1" applyAlignment="1" applyProtection="1">
      <alignment horizontal="right"/>
    </xf>
    <xf numFmtId="3" fontId="14" fillId="19" borderId="10" xfId="0" applyNumberFormat="1" applyFont="1" applyFill="1" applyBorder="1" applyAlignment="1" applyProtection="1">
      <alignment horizontal="right"/>
    </xf>
    <xf numFmtId="3" fontId="14" fillId="19" borderId="9" xfId="0" applyNumberFormat="1" applyFont="1" applyFill="1" applyBorder="1" applyAlignment="1" applyProtection="1">
      <alignment horizontal="right"/>
    </xf>
    <xf numFmtId="3" fontId="14" fillId="19" borderId="20" xfId="0" applyNumberFormat="1" applyFont="1" applyFill="1" applyBorder="1" applyAlignment="1" applyProtection="1">
      <alignment horizontal="right"/>
    </xf>
    <xf numFmtId="3" fontId="14" fillId="19" borderId="101" xfId="0" applyNumberFormat="1" applyFont="1" applyFill="1" applyBorder="1" applyAlignment="1" applyProtection="1">
      <alignment horizontal="right"/>
    </xf>
    <xf numFmtId="3" fontId="14" fillId="19" borderId="117" xfId="0" applyNumberFormat="1" applyFont="1" applyFill="1" applyBorder="1" applyAlignment="1" applyProtection="1">
      <alignment horizontal="right"/>
    </xf>
    <xf numFmtId="3" fontId="14" fillId="19" borderId="124" xfId="0" applyNumberFormat="1" applyFont="1" applyFill="1" applyBorder="1" applyAlignment="1" applyProtection="1">
      <alignment horizontal="right"/>
    </xf>
    <xf numFmtId="3" fontId="14" fillId="19" borderId="95" xfId="0" applyNumberFormat="1" applyFont="1" applyFill="1" applyBorder="1" applyAlignment="1" applyProtection="1">
      <alignment horizontal="right"/>
    </xf>
    <xf numFmtId="3" fontId="14" fillId="19" borderId="118" xfId="0" applyNumberFormat="1" applyFont="1" applyFill="1" applyBorder="1" applyAlignment="1" applyProtection="1">
      <alignment horizontal="right"/>
    </xf>
    <xf numFmtId="3" fontId="14" fillId="19" borderId="96" xfId="0" applyNumberFormat="1" applyFont="1" applyFill="1" applyBorder="1" applyAlignment="1" applyProtection="1">
      <alignment horizontal="right"/>
    </xf>
    <xf numFmtId="3" fontId="14" fillId="19" borderId="88" xfId="0" applyNumberFormat="1" applyFont="1" applyFill="1" applyBorder="1" applyAlignment="1" applyProtection="1">
      <alignment horizontal="right"/>
    </xf>
    <xf numFmtId="3" fontId="14" fillId="19" borderId="4" xfId="0" applyNumberFormat="1" applyFont="1" applyFill="1" applyBorder="1" applyAlignment="1" applyProtection="1">
      <alignment horizontal="right"/>
    </xf>
    <xf numFmtId="3" fontId="14" fillId="19" borderId="3" xfId="0" applyNumberFormat="1" applyFont="1" applyFill="1" applyBorder="1" applyAlignment="1" applyProtection="1">
      <alignment horizontal="right"/>
    </xf>
    <xf numFmtId="3" fontId="14" fillId="19" borderId="55" xfId="0" applyNumberFormat="1" applyFont="1" applyFill="1" applyBorder="1" applyAlignment="1" applyProtection="1">
      <alignment horizontal="right"/>
    </xf>
    <xf numFmtId="3" fontId="14" fillId="19" borderId="54" xfId="0" applyNumberFormat="1" applyFont="1" applyFill="1" applyBorder="1" applyAlignment="1" applyProtection="1">
      <alignment horizontal="right"/>
    </xf>
    <xf numFmtId="3" fontId="14" fillId="19" borderId="2" xfId="0" applyNumberFormat="1" applyFont="1" applyFill="1" applyBorder="1" applyAlignment="1" applyProtection="1">
      <alignment horizontal="right"/>
    </xf>
    <xf numFmtId="3" fontId="14" fillId="19" borderId="65" xfId="0" applyNumberFormat="1" applyFont="1" applyFill="1" applyBorder="1" applyAlignment="1" applyProtection="1">
      <alignment horizontal="right"/>
    </xf>
    <xf numFmtId="3" fontId="14" fillId="19" borderId="18" xfId="0" applyNumberFormat="1" applyFont="1" applyFill="1" applyBorder="1" applyAlignment="1" applyProtection="1">
      <alignment horizontal="right"/>
    </xf>
    <xf numFmtId="3" fontId="14" fillId="19" borderId="7" xfId="0" applyNumberFormat="1" applyFont="1" applyFill="1" applyBorder="1" applyAlignment="1" applyProtection="1">
      <alignment horizontal="right"/>
    </xf>
    <xf numFmtId="3" fontId="14" fillId="19" borderId="6" xfId="0" applyNumberFormat="1" applyFont="1" applyFill="1" applyBorder="1" applyAlignment="1" applyProtection="1">
      <alignment horizontal="right"/>
    </xf>
    <xf numFmtId="3" fontId="14" fillId="19" borderId="5" xfId="0" applyNumberFormat="1" applyFont="1" applyFill="1" applyBorder="1" applyAlignment="1" applyProtection="1">
      <alignment horizontal="right"/>
    </xf>
    <xf numFmtId="3" fontId="14" fillId="19" borderId="19" xfId="0" applyNumberFormat="1" applyFont="1" applyFill="1" applyBorder="1" applyAlignment="1" applyProtection="1">
      <alignment horizontal="right"/>
    </xf>
    <xf numFmtId="3" fontId="6" fillId="19" borderId="119" xfId="0" applyNumberFormat="1" applyFont="1" applyFill="1" applyBorder="1" applyAlignment="1" applyProtection="1">
      <alignment horizontal="left" vertical="top" wrapText="1"/>
    </xf>
    <xf numFmtId="3" fontId="6" fillId="19" borderId="161" xfId="0" applyNumberFormat="1" applyFont="1" applyFill="1" applyBorder="1" applyAlignment="1" applyProtection="1">
      <alignment vertical="top" wrapText="1"/>
    </xf>
    <xf numFmtId="3" fontId="9" fillId="19" borderId="127" xfId="0" applyNumberFormat="1" applyFont="1" applyFill="1" applyBorder="1" applyProtection="1"/>
    <xf numFmtId="3" fontId="6" fillId="19" borderId="161" xfId="0" applyNumberFormat="1" applyFont="1" applyFill="1" applyBorder="1" applyProtection="1"/>
    <xf numFmtId="3" fontId="9" fillId="19" borderId="161" xfId="0" applyNumberFormat="1" applyFont="1" applyFill="1" applyBorder="1" applyProtection="1"/>
    <xf numFmtId="0" fontId="9" fillId="19" borderId="127" xfId="0" applyFont="1" applyFill="1" applyBorder="1" applyProtection="1"/>
    <xf numFmtId="0" fontId="9" fillId="19" borderId="116" xfId="0" applyFont="1" applyFill="1" applyBorder="1" applyProtection="1"/>
    <xf numFmtId="0" fontId="12" fillId="19" borderId="173" xfId="0" applyFont="1" applyFill="1" applyBorder="1" applyProtection="1"/>
    <xf numFmtId="49" fontId="12" fillId="19" borderId="135" xfId="0" applyNumberFormat="1" applyFont="1" applyFill="1" applyBorder="1" applyProtection="1"/>
    <xf numFmtId="49" fontId="12" fillId="19" borderId="174" xfId="0" applyNumberFormat="1" applyFont="1" applyFill="1" applyBorder="1" applyProtection="1"/>
    <xf numFmtId="49" fontId="12" fillId="19" borderId="21" xfId="0" applyNumberFormat="1" applyFont="1" applyFill="1" applyBorder="1" applyProtection="1"/>
    <xf numFmtId="49" fontId="12" fillId="19" borderId="108" xfId="0" applyNumberFormat="1" applyFont="1" applyFill="1" applyBorder="1" applyProtection="1"/>
    <xf numFmtId="3" fontId="14" fillId="19" borderId="23" xfId="0" applyNumberFormat="1" applyFont="1" applyFill="1" applyBorder="1" applyAlignment="1" applyProtection="1">
      <alignment horizontal="right"/>
    </xf>
    <xf numFmtId="3" fontId="14" fillId="19" borderId="98" xfId="0" applyNumberFormat="1" applyFont="1" applyFill="1" applyBorder="1" applyAlignment="1" applyProtection="1">
      <alignment horizontal="right"/>
    </xf>
    <xf numFmtId="3" fontId="14" fillId="19" borderId="21" xfId="0" applyNumberFormat="1" applyFont="1" applyFill="1" applyBorder="1" applyAlignment="1" applyProtection="1">
      <alignment horizontal="right"/>
    </xf>
    <xf numFmtId="3" fontId="14" fillId="19" borderId="22" xfId="0" applyNumberFormat="1" applyFont="1" applyFill="1" applyBorder="1" applyAlignment="1" applyProtection="1">
      <alignment horizontal="right"/>
    </xf>
    <xf numFmtId="3" fontId="4" fillId="19" borderId="130" xfId="0" applyNumberFormat="1" applyFont="1" applyFill="1" applyBorder="1" applyAlignment="1" applyProtection="1">
      <alignment horizontal="left" vertical="top" wrapText="1"/>
    </xf>
    <xf numFmtId="3" fontId="4" fillId="19" borderId="69" xfId="0" applyNumberFormat="1" applyFont="1" applyFill="1" applyBorder="1" applyAlignment="1" applyProtection="1">
      <alignment horizontal="left" vertical="top" wrapText="1"/>
    </xf>
    <xf numFmtId="3" fontId="6" fillId="19" borderId="119" xfId="0" applyNumberFormat="1" applyFont="1" applyFill="1" applyBorder="1" applyAlignment="1" applyProtection="1">
      <alignment horizontal="left" vertical="top"/>
    </xf>
    <xf numFmtId="3" fontId="6" fillId="19" borderId="161" xfId="0" applyNumberFormat="1" applyFont="1" applyFill="1" applyBorder="1" applyAlignment="1" applyProtection="1">
      <alignment horizontal="left" vertical="top" wrapText="1"/>
    </xf>
    <xf numFmtId="0" fontId="9" fillId="19" borderId="161" xfId="0" applyFont="1" applyFill="1" applyBorder="1" applyProtection="1"/>
    <xf numFmtId="0" fontId="9" fillId="19" borderId="173" xfId="0" applyFont="1" applyFill="1" applyBorder="1" applyProtection="1"/>
    <xf numFmtId="49" fontId="12" fillId="19" borderId="175" xfId="0" applyNumberFormat="1" applyFont="1" applyFill="1" applyBorder="1" applyProtection="1"/>
    <xf numFmtId="49" fontId="12" fillId="19" borderId="176" xfId="0" applyNumberFormat="1" applyFont="1" applyFill="1" applyBorder="1" applyProtection="1"/>
    <xf numFmtId="49" fontId="12" fillId="19" borderId="28" xfId="0" applyNumberFormat="1" applyFont="1" applyFill="1" applyBorder="1" applyProtection="1"/>
    <xf numFmtId="49" fontId="12" fillId="19" borderId="103" xfId="0" applyNumberFormat="1" applyFont="1" applyFill="1" applyBorder="1" applyProtection="1"/>
    <xf numFmtId="3" fontId="14" fillId="19" borderId="30" xfId="0" applyNumberFormat="1" applyFont="1" applyFill="1" applyBorder="1" applyAlignment="1" applyProtection="1">
      <alignment horizontal="right"/>
    </xf>
    <xf numFmtId="3" fontId="14" fillId="19" borderId="31" xfId="0" applyNumberFormat="1" applyFont="1" applyFill="1" applyBorder="1" applyAlignment="1" applyProtection="1">
      <alignment horizontal="right"/>
    </xf>
    <xf numFmtId="3" fontId="14" fillId="19" borderId="47" xfId="0" applyNumberFormat="1" applyFont="1" applyFill="1" applyBorder="1" applyAlignment="1" applyProtection="1">
      <alignment horizontal="right"/>
    </xf>
    <xf numFmtId="3" fontId="14" fillId="19" borderId="119" xfId="0" applyNumberFormat="1" applyFont="1" applyFill="1" applyBorder="1" applyAlignment="1" applyProtection="1">
      <alignment horizontal="right"/>
    </xf>
    <xf numFmtId="3" fontId="14" fillId="19" borderId="28" xfId="0" applyNumberFormat="1" applyFont="1" applyFill="1" applyBorder="1" applyAlignment="1" applyProtection="1">
      <alignment horizontal="right"/>
    </xf>
    <xf numFmtId="3" fontId="14" fillId="19" borderId="103" xfId="0" applyNumberFormat="1" applyFont="1" applyFill="1" applyBorder="1" applyAlignment="1" applyProtection="1">
      <alignment horizontal="right"/>
    </xf>
    <xf numFmtId="3" fontId="14" fillId="19" borderId="29" xfId="0" applyNumberFormat="1" applyFont="1" applyFill="1" applyBorder="1" applyAlignment="1" applyProtection="1">
      <alignment horizontal="right"/>
    </xf>
    <xf numFmtId="3" fontId="14" fillId="19" borderId="32" xfId="0" applyNumberFormat="1" applyFont="1" applyFill="1" applyBorder="1" applyAlignment="1" applyProtection="1">
      <alignment horizontal="right"/>
    </xf>
    <xf numFmtId="0" fontId="4" fillId="19" borderId="155" xfId="0" applyFont="1" applyFill="1" applyBorder="1" applyAlignment="1" applyProtection="1">
      <alignment horizontal="left"/>
    </xf>
    <xf numFmtId="0" fontId="9" fillId="19" borderId="15" xfId="0" applyFont="1" applyFill="1" applyBorder="1" applyAlignment="1" applyProtection="1">
      <alignment horizontal="left"/>
    </xf>
    <xf numFmtId="0" fontId="9" fillId="19" borderId="155" xfId="0" applyFont="1" applyFill="1" applyBorder="1" applyProtection="1"/>
    <xf numFmtId="0" fontId="9" fillId="19" borderId="155" xfId="0" applyFont="1" applyFill="1" applyBorder="1" applyAlignment="1" applyProtection="1">
      <alignment horizontal="center"/>
    </xf>
    <xf numFmtId="3" fontId="17" fillId="19" borderId="155" xfId="0" applyNumberFormat="1" applyFont="1" applyFill="1" applyBorder="1" applyProtection="1"/>
    <xf numFmtId="3" fontId="46" fillId="19" borderId="155" xfId="0" applyNumberFormat="1" applyFont="1" applyFill="1" applyBorder="1" applyProtection="1"/>
    <xf numFmtId="3" fontId="99" fillId="19" borderId="155" xfId="0" applyNumberFormat="1" applyFont="1" applyFill="1" applyBorder="1" applyProtection="1"/>
    <xf numFmtId="3" fontId="9" fillId="19" borderId="161" xfId="0" applyNumberFormat="1" applyFont="1" applyFill="1" applyBorder="1" applyAlignment="1" applyProtection="1">
      <alignment vertical="top" wrapText="1"/>
    </xf>
    <xf numFmtId="3" fontId="9" fillId="19" borderId="161" xfId="0" applyNumberFormat="1" applyFont="1" applyFill="1" applyBorder="1" applyAlignment="1" applyProtection="1">
      <alignment horizontal="left" wrapText="1"/>
    </xf>
    <xf numFmtId="3" fontId="34" fillId="19" borderId="173" xfId="0" applyNumberFormat="1" applyFont="1" applyFill="1" applyBorder="1" applyAlignment="1" applyProtection="1">
      <alignment wrapText="1"/>
    </xf>
    <xf numFmtId="3" fontId="47" fillId="19" borderId="161" xfId="0" applyNumberFormat="1" applyFont="1" applyFill="1" applyBorder="1" applyProtection="1"/>
    <xf numFmtId="3" fontId="44" fillId="19" borderId="28" xfId="0" applyNumberFormat="1" applyFont="1" applyFill="1" applyBorder="1" applyAlignment="1" applyProtection="1">
      <alignment horizontal="right"/>
    </xf>
    <xf numFmtId="3" fontId="3" fillId="19" borderId="29" xfId="0" applyNumberFormat="1" applyFont="1" applyFill="1" applyBorder="1" applyAlignment="1" applyProtection="1">
      <alignment horizontal="right"/>
    </xf>
    <xf numFmtId="3" fontId="47" fillId="19" borderId="161" xfId="10" applyNumberFormat="1" applyFont="1" applyFill="1" applyBorder="1" applyAlignment="1" applyProtection="1">
      <alignment horizontal="center"/>
    </xf>
    <xf numFmtId="3" fontId="47" fillId="19" borderId="103" xfId="13" applyNumberFormat="1" applyFont="1" applyFill="1" applyBorder="1" applyAlignment="1" applyProtection="1">
      <alignment horizontal="center"/>
    </xf>
    <xf numFmtId="3" fontId="47" fillId="19" borderId="4" xfId="0" applyNumberFormat="1" applyFont="1" applyFill="1" applyBorder="1" applyProtection="1"/>
    <xf numFmtId="3" fontId="47" fillId="19" borderId="82" xfId="0" applyNumberFormat="1" applyFont="1" applyFill="1" applyBorder="1" applyProtection="1"/>
    <xf numFmtId="3" fontId="45" fillId="19" borderId="91" xfId="0" applyNumberFormat="1" applyFont="1" applyFill="1" applyBorder="1" applyProtection="1"/>
    <xf numFmtId="3" fontId="46" fillId="19" borderId="156" xfId="0" applyNumberFormat="1" applyFont="1" applyFill="1" applyBorder="1" applyProtection="1"/>
    <xf numFmtId="3" fontId="99" fillId="19" borderId="156" xfId="0" applyNumberFormat="1" applyFont="1" applyFill="1" applyBorder="1" applyProtection="1"/>
    <xf numFmtId="3" fontId="14" fillId="24" borderId="103" xfId="0" applyNumberFormat="1" applyFont="1" applyFill="1" applyBorder="1" applyAlignment="1" applyProtection="1">
      <alignment horizontal="right"/>
    </xf>
    <xf numFmtId="0" fontId="24" fillId="19" borderId="101" xfId="0" applyFont="1" applyFill="1" applyBorder="1" applyProtection="1"/>
    <xf numFmtId="0" fontId="24" fillId="19" borderId="96" xfId="0" applyFont="1" applyFill="1" applyBorder="1" applyProtection="1"/>
    <xf numFmtId="0" fontId="24" fillId="19" borderId="120" xfId="0" applyFont="1" applyFill="1" applyBorder="1" applyProtection="1"/>
    <xf numFmtId="0" fontId="24" fillId="19" borderId="121" xfId="0" applyFont="1" applyFill="1" applyBorder="1" applyProtection="1"/>
    <xf numFmtId="0" fontId="24" fillId="19" borderId="4" xfId="0" applyFont="1" applyFill="1" applyBorder="1" applyProtection="1"/>
    <xf numFmtId="0" fontId="24" fillId="19" borderId="65" xfId="0" applyFont="1" applyFill="1" applyBorder="1" applyProtection="1"/>
    <xf numFmtId="0" fontId="24" fillId="19" borderId="82" xfId="0" applyFont="1" applyFill="1" applyBorder="1" applyProtection="1"/>
    <xf numFmtId="0" fontId="24" fillId="19" borderId="53" xfId="0" applyFont="1" applyFill="1" applyBorder="1" applyProtection="1"/>
    <xf numFmtId="3" fontId="84" fillId="19" borderId="161" xfId="10" applyNumberFormat="1" applyFont="1" applyFill="1" applyBorder="1" applyAlignment="1" applyProtection="1">
      <alignment horizontal="center"/>
    </xf>
    <xf numFmtId="3" fontId="3" fillId="19" borderId="15" xfId="0" applyNumberFormat="1" applyFont="1" applyFill="1" applyBorder="1" applyProtection="1"/>
    <xf numFmtId="3" fontId="113" fillId="19" borderId="103" xfId="13" applyNumberFormat="1" applyFont="1" applyFill="1" applyBorder="1" applyAlignment="1" applyProtection="1">
      <alignment horizontal="center"/>
    </xf>
    <xf numFmtId="3" fontId="47" fillId="19" borderId="2" xfId="0" applyNumberFormat="1" applyFont="1" applyFill="1" applyBorder="1" applyProtection="1"/>
    <xf numFmtId="3" fontId="36" fillId="19" borderId="0" xfId="0" applyNumberFormat="1" applyFont="1" applyFill="1" applyBorder="1" applyAlignment="1" applyProtection="1"/>
    <xf numFmtId="3" fontId="3" fillId="19" borderId="28" xfId="0" applyNumberFormat="1" applyFont="1" applyFill="1" applyBorder="1" applyAlignment="1" applyProtection="1">
      <alignment horizontal="right"/>
    </xf>
    <xf numFmtId="3" fontId="47" fillId="19" borderId="155" xfId="0" applyNumberFormat="1" applyFont="1" applyFill="1" applyBorder="1" applyProtection="1"/>
    <xf numFmtId="3" fontId="3" fillId="20" borderId="28" xfId="0" applyNumberFormat="1" applyFont="1" applyFill="1" applyBorder="1" applyAlignment="1" applyProtection="1">
      <alignment horizontal="right"/>
    </xf>
    <xf numFmtId="3" fontId="113" fillId="19" borderId="161" xfId="10" applyNumberFormat="1" applyFont="1" applyFill="1" applyBorder="1" applyAlignment="1" applyProtection="1">
      <alignment horizontal="center"/>
    </xf>
    <xf numFmtId="3" fontId="46" fillId="19" borderId="4" xfId="0" applyNumberFormat="1" applyFont="1" applyFill="1" applyBorder="1" applyProtection="1"/>
    <xf numFmtId="3" fontId="46" fillId="19" borderId="82" xfId="0" applyNumberFormat="1" applyFont="1" applyFill="1" applyBorder="1" applyProtection="1"/>
    <xf numFmtId="3" fontId="99" fillId="19" borderId="82" xfId="0" applyNumberFormat="1" applyFont="1" applyFill="1" applyBorder="1" applyProtection="1"/>
    <xf numFmtId="3" fontId="50" fillId="19" borderId="2" xfId="0" applyNumberFormat="1" applyFont="1" applyFill="1" applyBorder="1" applyAlignment="1" applyProtection="1">
      <alignment horizontal="right"/>
    </xf>
    <xf numFmtId="3" fontId="3" fillId="19" borderId="45" xfId="0" applyNumberFormat="1" applyFont="1" applyFill="1" applyBorder="1" applyAlignment="1" applyProtection="1">
      <alignment horizontal="right"/>
    </xf>
    <xf numFmtId="3" fontId="47" fillId="19" borderId="91" xfId="0" applyNumberFormat="1" applyFont="1" applyFill="1" applyBorder="1" applyProtection="1"/>
    <xf numFmtId="3" fontId="47" fillId="19" borderId="156" xfId="0" applyNumberFormat="1" applyFont="1" applyFill="1" applyBorder="1" applyProtection="1"/>
    <xf numFmtId="3" fontId="114" fillId="19" borderId="161" xfId="10" applyNumberFormat="1" applyFont="1" applyFill="1" applyBorder="1" applyAlignment="1" applyProtection="1">
      <alignment horizontal="center"/>
    </xf>
    <xf numFmtId="3" fontId="44" fillId="19" borderId="30" xfId="0" applyNumberFormat="1" applyFont="1" applyFill="1" applyBorder="1" applyAlignment="1" applyProtection="1">
      <alignment horizontal="right"/>
    </xf>
    <xf numFmtId="3" fontId="46" fillId="19" borderId="91" xfId="0" applyNumberFormat="1" applyFont="1" applyFill="1" applyBorder="1" applyProtection="1"/>
    <xf numFmtId="3" fontId="44" fillId="19" borderId="105" xfId="0" applyNumberFormat="1" applyFont="1" applyFill="1" applyBorder="1" applyAlignment="1" applyProtection="1">
      <alignment horizontal="right"/>
    </xf>
    <xf numFmtId="3" fontId="46" fillId="19" borderId="180" xfId="0" applyNumberFormat="1" applyFont="1" applyFill="1" applyBorder="1" applyProtection="1"/>
    <xf numFmtId="3" fontId="46" fillId="19" borderId="39" xfId="0" applyNumberFormat="1" applyFont="1" applyFill="1" applyBorder="1" applyProtection="1"/>
    <xf numFmtId="3" fontId="99" fillId="19" borderId="39" xfId="0" applyNumberFormat="1" applyFont="1" applyFill="1" applyBorder="1" applyProtection="1"/>
    <xf numFmtId="3" fontId="47" fillId="19" borderId="182" xfId="0" applyNumberFormat="1" applyFont="1" applyFill="1" applyBorder="1" applyProtection="1"/>
    <xf numFmtId="3" fontId="4" fillId="19" borderId="30" xfId="0" applyNumberFormat="1" applyFont="1" applyFill="1" applyBorder="1" applyAlignment="1" applyProtection="1">
      <alignment horizontal="center"/>
    </xf>
    <xf numFmtId="3" fontId="4" fillId="19" borderId="49" xfId="0" applyNumberFormat="1" applyFont="1" applyFill="1" applyBorder="1" applyAlignment="1" applyProtection="1"/>
    <xf numFmtId="3" fontId="9" fillId="19" borderId="48" xfId="0" applyNumberFormat="1" applyFont="1" applyFill="1" applyBorder="1" applyAlignment="1" applyProtection="1">
      <alignment horizontal="left" vertical="top" wrapText="1"/>
    </xf>
    <xf numFmtId="3" fontId="9" fillId="19" borderId="166" xfId="0" applyNumberFormat="1" applyFont="1" applyFill="1" applyBorder="1" applyAlignment="1" applyProtection="1">
      <alignment horizontal="left" vertical="top" wrapText="1"/>
    </xf>
    <xf numFmtId="3" fontId="4" fillId="19" borderId="183" xfId="0" applyNumberFormat="1" applyFont="1" applyFill="1" applyBorder="1" applyAlignment="1" applyProtection="1">
      <alignment horizontal="center"/>
    </xf>
    <xf numFmtId="3" fontId="4" fillId="19" borderId="29" xfId="0" applyNumberFormat="1" applyFont="1" applyFill="1" applyBorder="1" applyAlignment="1" applyProtection="1">
      <alignment horizontal="center"/>
    </xf>
    <xf numFmtId="3" fontId="4" fillId="19" borderId="184" xfId="0" applyNumberFormat="1" applyFont="1" applyFill="1" applyBorder="1" applyAlignment="1" applyProtection="1"/>
    <xf numFmtId="3" fontId="9" fillId="19" borderId="185" xfId="0" applyNumberFormat="1" applyFont="1" applyFill="1" applyBorder="1" applyAlignment="1" applyProtection="1"/>
    <xf numFmtId="3" fontId="9" fillId="19" borderId="186" xfId="0" applyNumberFormat="1" applyFont="1" applyFill="1" applyBorder="1" applyAlignment="1" applyProtection="1"/>
    <xf numFmtId="3" fontId="4" fillId="19" borderId="45" xfId="0" applyNumberFormat="1" applyFont="1" applyFill="1" applyBorder="1" applyAlignment="1" applyProtection="1">
      <alignment horizontal="center"/>
    </xf>
    <xf numFmtId="3" fontId="6" fillId="19" borderId="77" xfId="0" applyNumberFormat="1" applyFont="1" applyFill="1" applyBorder="1" applyAlignment="1" applyProtection="1"/>
    <xf numFmtId="3" fontId="9" fillId="19" borderId="78" xfId="0" applyNumberFormat="1" applyFont="1" applyFill="1" applyBorder="1" applyAlignment="1" applyProtection="1"/>
    <xf numFmtId="3" fontId="9" fillId="19" borderId="179" xfId="0" applyNumberFormat="1" applyFont="1" applyFill="1" applyBorder="1" applyAlignment="1" applyProtection="1"/>
    <xf numFmtId="3" fontId="4" fillId="19" borderId="187" xfId="0" applyNumberFormat="1" applyFont="1" applyFill="1" applyBorder="1" applyAlignment="1" applyProtection="1">
      <alignment vertical="center"/>
    </xf>
    <xf numFmtId="3" fontId="9" fillId="19" borderId="187" xfId="0" applyNumberFormat="1" applyFont="1" applyFill="1" applyBorder="1" applyProtection="1"/>
    <xf numFmtId="3" fontId="4" fillId="19" borderId="109" xfId="0" applyNumberFormat="1" applyFont="1" applyFill="1" applyBorder="1" applyAlignment="1" applyProtection="1">
      <alignment vertical="center"/>
    </xf>
    <xf numFmtId="3" fontId="9" fillId="19" borderId="75" xfId="0" applyNumberFormat="1" applyFont="1" applyFill="1" applyBorder="1" applyProtection="1"/>
    <xf numFmtId="3" fontId="9" fillId="19" borderId="92" xfId="0" applyNumberFormat="1" applyFont="1" applyFill="1" applyBorder="1" applyProtection="1"/>
    <xf numFmtId="3" fontId="4" fillId="19" borderId="188" xfId="0" applyNumberFormat="1" applyFont="1" applyFill="1" applyBorder="1" applyAlignment="1" applyProtection="1"/>
    <xf numFmtId="3" fontId="4" fillId="19" borderId="109" xfId="0" applyNumberFormat="1" applyFont="1" applyFill="1" applyBorder="1" applyProtection="1"/>
    <xf numFmtId="3" fontId="9" fillId="19" borderId="109" xfId="0" applyNumberFormat="1" applyFont="1" applyFill="1" applyBorder="1" applyProtection="1"/>
    <xf numFmtId="3" fontId="9" fillId="19" borderId="78" xfId="0" applyNumberFormat="1" applyFont="1" applyFill="1" applyBorder="1" applyProtection="1"/>
    <xf numFmtId="3" fontId="9" fillId="19" borderId="179" xfId="0" applyNumberFormat="1" applyFont="1" applyFill="1" applyBorder="1" applyProtection="1"/>
    <xf numFmtId="0" fontId="4" fillId="19" borderId="60" xfId="0" applyFont="1" applyFill="1" applyBorder="1" applyAlignment="1" applyProtection="1">
      <alignment horizontal="left"/>
    </xf>
    <xf numFmtId="0" fontId="4" fillId="19" borderId="124" xfId="0" applyFont="1" applyFill="1" applyBorder="1" applyProtection="1"/>
    <xf numFmtId="0" fontId="4" fillId="19" borderId="189" xfId="0" applyFont="1" applyFill="1" applyBorder="1" applyAlignment="1" applyProtection="1">
      <alignment vertical="top" wrapText="1"/>
    </xf>
    <xf numFmtId="0" fontId="4" fillId="19" borderId="135" xfId="0" applyFont="1" applyFill="1" applyBorder="1" applyAlignment="1" applyProtection="1">
      <alignment horizontal="left" vertical="top" wrapText="1"/>
    </xf>
    <xf numFmtId="0" fontId="4" fillId="19" borderId="113" xfId="0" applyFont="1" applyFill="1" applyBorder="1" applyAlignment="1" applyProtection="1">
      <alignment horizontal="left" vertical="top" wrapText="1"/>
    </xf>
    <xf numFmtId="0" fontId="4" fillId="19" borderId="136" xfId="0" applyFont="1" applyFill="1" applyBorder="1" applyAlignment="1" applyProtection="1">
      <alignment horizontal="left" vertical="top" wrapText="1"/>
    </xf>
    <xf numFmtId="0" fontId="4" fillId="19" borderId="189" xfId="0" applyFont="1" applyFill="1" applyBorder="1" applyAlignment="1" applyProtection="1">
      <alignment horizontal="left" vertical="top" wrapText="1"/>
    </xf>
    <xf numFmtId="0" fontId="4" fillId="19" borderId="60" xfId="0" applyFont="1" applyFill="1" applyBorder="1" applyProtection="1"/>
    <xf numFmtId="0" fontId="8" fillId="19" borderId="90" xfId="0" applyFont="1" applyFill="1" applyBorder="1" applyProtection="1"/>
    <xf numFmtId="0" fontId="4" fillId="19" borderId="170" xfId="0" applyFont="1" applyFill="1" applyBorder="1" applyAlignment="1" applyProtection="1">
      <alignment horizontal="left" vertical="top" wrapText="1"/>
    </xf>
    <xf numFmtId="0" fontId="4" fillId="19" borderId="127" xfId="0" applyFont="1" applyFill="1" applyBorder="1" applyProtection="1"/>
    <xf numFmtId="0" fontId="6" fillId="19" borderId="127" xfId="0" applyFont="1" applyFill="1" applyBorder="1" applyProtection="1"/>
    <xf numFmtId="0" fontId="4" fillId="19" borderId="16" xfId="0" applyFont="1" applyFill="1" applyBorder="1" applyProtection="1"/>
    <xf numFmtId="0" fontId="4" fillId="19" borderId="64" xfId="0" applyFont="1" applyFill="1" applyBorder="1" applyProtection="1"/>
    <xf numFmtId="0" fontId="4" fillId="19" borderId="68" xfId="0" applyFont="1" applyFill="1" applyBorder="1" applyProtection="1"/>
    <xf numFmtId="0" fontId="4" fillId="19" borderId="147" xfId="0" applyFont="1" applyFill="1" applyBorder="1" applyProtection="1"/>
    <xf numFmtId="0" fontId="6" fillId="19" borderId="16" xfId="0" applyFont="1" applyFill="1" applyBorder="1" applyProtection="1"/>
    <xf numFmtId="49" fontId="8" fillId="19" borderId="127" xfId="0" applyNumberFormat="1" applyFont="1" applyFill="1" applyBorder="1" applyAlignment="1" applyProtection="1">
      <alignment horizontal="left"/>
    </xf>
    <xf numFmtId="3" fontId="37" fillId="19" borderId="15" xfId="0" applyNumberFormat="1" applyFont="1" applyFill="1" applyBorder="1" applyAlignment="1" applyProtection="1"/>
    <xf numFmtId="3" fontId="37" fillId="19" borderId="56" xfId="0" applyNumberFormat="1" applyFont="1" applyFill="1" applyBorder="1" applyAlignment="1" applyProtection="1"/>
    <xf numFmtId="49" fontId="6" fillId="19" borderId="155" xfId="0" applyNumberFormat="1" applyFont="1" applyFill="1" applyBorder="1" applyAlignment="1" applyProtection="1"/>
    <xf numFmtId="49" fontId="6" fillId="19" borderId="0" xfId="0" applyNumberFormat="1" applyFont="1" applyFill="1" applyBorder="1" applyAlignment="1" applyProtection="1"/>
    <xf numFmtId="49" fontId="6" fillId="19" borderId="123" xfId="0" applyNumberFormat="1" applyFont="1" applyFill="1" applyBorder="1" applyAlignment="1" applyProtection="1"/>
    <xf numFmtId="49" fontId="6" fillId="19" borderId="27" xfId="0" applyNumberFormat="1" applyFont="1" applyFill="1" applyBorder="1" applyAlignment="1" applyProtection="1"/>
    <xf numFmtId="3" fontId="3" fillId="19" borderId="15" xfId="0" applyNumberFormat="1" applyFont="1" applyFill="1" applyBorder="1" applyAlignment="1" applyProtection="1">
      <alignment horizontal="right"/>
    </xf>
    <xf numFmtId="3" fontId="11" fillId="19" borderId="15" xfId="0" applyNumberFormat="1" applyFont="1" applyFill="1" applyBorder="1" applyProtection="1"/>
    <xf numFmtId="3" fontId="11" fillId="19" borderId="56" xfId="0" applyNumberFormat="1" applyFont="1" applyFill="1" applyBorder="1" applyProtection="1"/>
    <xf numFmtId="3" fontId="11" fillId="19" borderId="0" xfId="0" applyNumberFormat="1" applyFont="1" applyFill="1" applyBorder="1" applyProtection="1"/>
    <xf numFmtId="49" fontId="4" fillId="19" borderId="39" xfId="0" applyNumberFormat="1" applyFont="1" applyFill="1" applyBorder="1" applyAlignment="1" applyProtection="1"/>
    <xf numFmtId="49" fontId="6" fillId="19" borderId="11" xfId="0" applyNumberFormat="1" applyFont="1" applyFill="1" applyBorder="1" applyAlignment="1" applyProtection="1"/>
    <xf numFmtId="3" fontId="37" fillId="19" borderId="60" xfId="0" applyNumberFormat="1" applyFont="1" applyFill="1" applyBorder="1" applyAlignment="1" applyProtection="1"/>
    <xf numFmtId="49" fontId="6" fillId="19" borderId="57" xfId="0" applyNumberFormat="1" applyFont="1" applyFill="1" applyBorder="1" applyAlignment="1" applyProtection="1"/>
    <xf numFmtId="3" fontId="37" fillId="19" borderId="0" xfId="0" applyNumberFormat="1" applyFont="1" applyFill="1" applyBorder="1" applyAlignment="1" applyProtection="1"/>
    <xf numFmtId="3" fontId="3" fillId="19" borderId="68" xfId="0" applyNumberFormat="1" applyFont="1" applyFill="1" applyBorder="1" applyAlignment="1" applyProtection="1">
      <alignment horizontal="right"/>
    </xf>
    <xf numFmtId="3" fontId="37" fillId="19" borderId="57" xfId="0" applyNumberFormat="1" applyFont="1" applyFill="1" applyBorder="1" applyAlignment="1" applyProtection="1"/>
    <xf numFmtId="3" fontId="37" fillId="19" borderId="15" xfId="0" applyNumberFormat="1" applyFont="1" applyFill="1" applyBorder="1" applyProtection="1"/>
    <xf numFmtId="3" fontId="3" fillId="25" borderId="17" xfId="0" applyNumberFormat="1" applyFont="1" applyFill="1" applyBorder="1" applyAlignment="1" applyProtection="1">
      <alignment horizontal="right"/>
    </xf>
    <xf numFmtId="49" fontId="4" fillId="19" borderId="134" xfId="0" applyNumberFormat="1" applyFont="1" applyFill="1" applyBorder="1" applyAlignment="1" applyProtection="1">
      <alignment horizontal="left"/>
    </xf>
    <xf numFmtId="0" fontId="6" fillId="19" borderId="64" xfId="0" applyFont="1" applyFill="1" applyBorder="1" applyProtection="1"/>
    <xf numFmtId="49" fontId="4" fillId="19" borderId="22" xfId="0" applyNumberFormat="1" applyFont="1" applyFill="1" applyBorder="1" applyAlignment="1" applyProtection="1">
      <alignment horizontal="left"/>
    </xf>
    <xf numFmtId="49" fontId="4" fillId="19" borderId="92" xfId="0" applyNumberFormat="1" applyFont="1" applyFill="1" applyBorder="1" applyProtection="1"/>
    <xf numFmtId="49" fontId="4" fillId="19" borderId="92" xfId="0" applyNumberFormat="1" applyFont="1" applyFill="1" applyBorder="1" applyAlignment="1" applyProtection="1">
      <alignment wrapText="1"/>
    </xf>
    <xf numFmtId="49" fontId="4" fillId="19" borderId="21" xfId="0" applyNumberFormat="1" applyFont="1" applyFill="1" applyBorder="1" applyAlignment="1" applyProtection="1">
      <alignment horizontal="left"/>
    </xf>
    <xf numFmtId="49" fontId="4" fillId="19" borderId="55" xfId="0" applyNumberFormat="1" applyFont="1" applyFill="1" applyBorder="1" applyAlignment="1" applyProtection="1">
      <alignment wrapText="1"/>
    </xf>
    <xf numFmtId="49" fontId="4" fillId="19" borderId="23" xfId="0" applyNumberFormat="1" applyFont="1" applyFill="1" applyBorder="1" applyAlignment="1" applyProtection="1">
      <alignment horizontal="left"/>
    </xf>
    <xf numFmtId="0" fontId="6" fillId="19" borderId="48" xfId="0" applyFont="1" applyFill="1" applyBorder="1" applyProtection="1"/>
    <xf numFmtId="49" fontId="4" fillId="19" borderId="76" xfId="0" applyNumberFormat="1" applyFont="1" applyFill="1" applyBorder="1" applyProtection="1"/>
    <xf numFmtId="49" fontId="4" fillId="19" borderId="76" xfId="0" applyNumberFormat="1" applyFont="1" applyFill="1" applyBorder="1" applyAlignment="1" applyProtection="1">
      <alignment wrapText="1"/>
    </xf>
    <xf numFmtId="49" fontId="4" fillId="19" borderId="65" xfId="0" applyNumberFormat="1" applyFont="1" applyFill="1" applyBorder="1" applyAlignment="1" applyProtection="1">
      <alignment wrapText="1"/>
    </xf>
    <xf numFmtId="0" fontId="6" fillId="19" borderId="166" xfId="0" applyFont="1" applyFill="1" applyBorder="1" applyProtection="1"/>
    <xf numFmtId="49" fontId="4" fillId="19" borderId="55" xfId="0" applyNumberFormat="1" applyFont="1" applyFill="1" applyBorder="1" applyProtection="1"/>
    <xf numFmtId="49" fontId="4" fillId="19" borderId="11" xfId="0" applyNumberFormat="1" applyFont="1" applyFill="1" applyBorder="1" applyAlignment="1" applyProtection="1">
      <alignment wrapText="1"/>
    </xf>
    <xf numFmtId="49" fontId="4" fillId="19" borderId="6" xfId="0" applyNumberFormat="1" applyFont="1" applyFill="1" applyBorder="1" applyAlignment="1" applyProtection="1">
      <alignment wrapText="1"/>
    </xf>
    <xf numFmtId="49" fontId="4" fillId="19" borderId="3" xfId="0" applyNumberFormat="1" applyFont="1" applyFill="1" applyBorder="1" applyAlignment="1" applyProtection="1">
      <alignment wrapText="1"/>
    </xf>
    <xf numFmtId="49" fontId="4" fillId="19" borderId="178" xfId="0" applyNumberFormat="1" applyFont="1" applyFill="1" applyBorder="1" applyAlignment="1" applyProtection="1">
      <alignment wrapText="1"/>
    </xf>
    <xf numFmtId="0" fontId="6" fillId="19" borderId="191" xfId="0" applyFont="1" applyFill="1" applyBorder="1" applyProtection="1"/>
    <xf numFmtId="49" fontId="4" fillId="19" borderId="12" xfId="0" applyNumberFormat="1" applyFont="1" applyFill="1" applyBorder="1" applyProtection="1"/>
    <xf numFmtId="49" fontId="4" fillId="19" borderId="54" xfId="0" applyNumberFormat="1" applyFont="1" applyFill="1" applyBorder="1" applyProtection="1"/>
    <xf numFmtId="49" fontId="4" fillId="19" borderId="54" xfId="0" applyNumberFormat="1" applyFont="1" applyFill="1" applyBorder="1" applyAlignment="1" applyProtection="1">
      <alignment wrapText="1"/>
    </xf>
    <xf numFmtId="49" fontId="4" fillId="19" borderId="6" xfId="12" applyNumberFormat="1" applyFont="1" applyFill="1" applyBorder="1" applyAlignment="1" applyProtection="1"/>
    <xf numFmtId="49" fontId="4" fillId="19" borderId="130" xfId="0" applyNumberFormat="1" applyFont="1" applyFill="1" applyBorder="1" applyAlignment="1" applyProtection="1">
      <alignment horizontal="left"/>
    </xf>
    <xf numFmtId="49" fontId="4" fillId="19" borderId="172" xfId="12" applyNumberFormat="1" applyFont="1" applyFill="1" applyBorder="1" applyAlignment="1" applyProtection="1"/>
    <xf numFmtId="49" fontId="4" fillId="19" borderId="127" xfId="0" applyNumberFormat="1" applyFont="1" applyFill="1" applyBorder="1" applyAlignment="1" applyProtection="1">
      <alignment horizontal="left"/>
    </xf>
    <xf numFmtId="49" fontId="4" fillId="19" borderId="56" xfId="12" applyNumberFormat="1" applyFont="1" applyFill="1" applyBorder="1" applyAlignment="1" applyProtection="1"/>
    <xf numFmtId="49" fontId="4" fillId="19" borderId="169" xfId="12" applyNumberFormat="1" applyFont="1" applyFill="1" applyBorder="1" applyAlignment="1" applyProtection="1"/>
    <xf numFmtId="49" fontId="4" fillId="19" borderId="178" xfId="12" applyNumberFormat="1" applyFont="1" applyFill="1" applyBorder="1" applyAlignment="1" applyProtection="1"/>
    <xf numFmtId="49" fontId="4" fillId="19" borderId="6" xfId="0" applyNumberFormat="1" applyFont="1" applyFill="1" applyBorder="1" applyProtection="1"/>
    <xf numFmtId="49" fontId="4" fillId="19" borderId="92" xfId="12" applyNumberFormat="1" applyFont="1" applyFill="1" applyBorder="1" applyAlignment="1" applyProtection="1"/>
    <xf numFmtId="49" fontId="4" fillId="19" borderId="24" xfId="0" applyNumberFormat="1" applyFont="1" applyFill="1" applyBorder="1" applyAlignment="1" applyProtection="1">
      <alignment horizontal="left"/>
    </xf>
    <xf numFmtId="49" fontId="4" fillId="19" borderId="72" xfId="12" applyNumberFormat="1" applyFont="1" applyFill="1" applyBorder="1" applyAlignment="1" applyProtection="1"/>
    <xf numFmtId="49" fontId="4" fillId="19" borderId="12" xfId="12" applyNumberFormat="1" applyFont="1" applyFill="1" applyBorder="1" applyAlignment="1" applyProtection="1"/>
    <xf numFmtId="0" fontId="4" fillId="19" borderId="0" xfId="0" applyFont="1" applyFill="1" applyBorder="1" applyAlignment="1" applyProtection="1">
      <alignment horizontal="center"/>
    </xf>
    <xf numFmtId="3" fontId="4" fillId="19" borderId="57" xfId="0" applyNumberFormat="1" applyFont="1" applyFill="1" applyBorder="1" applyProtection="1"/>
    <xf numFmtId="0" fontId="3" fillId="19" borderId="39" xfId="0" applyFont="1" applyFill="1" applyBorder="1" applyProtection="1"/>
    <xf numFmtId="0" fontId="4" fillId="19" borderId="58" xfId="0" applyFont="1" applyFill="1" applyBorder="1" applyProtection="1"/>
    <xf numFmtId="0" fontId="10" fillId="19" borderId="39" xfId="0" applyFont="1" applyFill="1" applyBorder="1" applyProtection="1"/>
    <xf numFmtId="3" fontId="4" fillId="19" borderId="59" xfId="0" applyNumberFormat="1" applyFont="1" applyFill="1" applyBorder="1" applyProtection="1"/>
    <xf numFmtId="0" fontId="3" fillId="19" borderId="0" xfId="0" applyFont="1" applyFill="1" applyBorder="1" applyProtection="1"/>
    <xf numFmtId="0" fontId="10" fillId="19" borderId="144" xfId="0" applyFont="1" applyFill="1" applyBorder="1" applyProtection="1"/>
    <xf numFmtId="0" fontId="8" fillId="19" borderId="124" xfId="0" applyFont="1" applyFill="1" applyBorder="1" applyProtection="1"/>
    <xf numFmtId="0" fontId="3" fillId="19" borderId="124" xfId="0" applyFont="1" applyFill="1" applyBorder="1" applyProtection="1"/>
    <xf numFmtId="0" fontId="8" fillId="19" borderId="0" xfId="0" applyFont="1" applyFill="1" applyBorder="1" applyProtection="1"/>
    <xf numFmtId="0" fontId="8" fillId="19" borderId="0" xfId="0" applyFont="1" applyFill="1" applyBorder="1" applyAlignment="1" applyProtection="1">
      <alignment horizontal="left" vertical="top" wrapText="1"/>
    </xf>
    <xf numFmtId="0" fontId="3" fillId="19" borderId="0" xfId="0" applyFont="1" applyFill="1" applyBorder="1" applyAlignment="1" applyProtection="1">
      <alignment horizontal="left" vertical="top" wrapText="1"/>
    </xf>
    <xf numFmtId="3" fontId="36" fillId="19" borderId="57" xfId="0" applyNumberFormat="1" applyFont="1" applyFill="1" applyBorder="1" applyProtection="1"/>
    <xf numFmtId="0" fontId="4" fillId="19" borderId="120" xfId="6" applyFont="1" applyFill="1" applyBorder="1" applyProtection="1"/>
    <xf numFmtId="0" fontId="4" fillId="19" borderId="194" xfId="6" applyFont="1" applyFill="1" applyBorder="1" applyProtection="1"/>
    <xf numFmtId="0" fontId="4" fillId="19" borderId="124" xfId="6" applyFont="1" applyFill="1" applyBorder="1" applyProtection="1"/>
    <xf numFmtId="0" fontId="4" fillId="19" borderId="95" xfId="6" applyFont="1" applyFill="1" applyBorder="1" applyProtection="1"/>
    <xf numFmtId="3" fontId="4" fillId="19" borderId="121" xfId="6" applyNumberFormat="1" applyFont="1" applyFill="1" applyBorder="1" applyAlignment="1" applyProtection="1">
      <alignment wrapText="1"/>
    </xf>
    <xf numFmtId="0" fontId="4" fillId="19" borderId="15" xfId="6" applyFont="1" applyFill="1" applyBorder="1" applyProtection="1"/>
    <xf numFmtId="0" fontId="23" fillId="19" borderId="162" xfId="6" applyFont="1" applyFill="1" applyBorder="1" applyProtection="1"/>
    <xf numFmtId="0" fontId="23" fillId="19" borderId="68" xfId="6" applyFont="1" applyFill="1" applyBorder="1" applyProtection="1"/>
    <xf numFmtId="3" fontId="4" fillId="19" borderId="167" xfId="6" applyNumberFormat="1" applyFont="1" applyFill="1" applyBorder="1" applyAlignment="1" applyProtection="1">
      <alignment wrapText="1"/>
    </xf>
    <xf numFmtId="3" fontId="4" fillId="19" borderId="160" xfId="6" applyNumberFormat="1" applyFont="1" applyFill="1" applyBorder="1" applyProtection="1"/>
    <xf numFmtId="0" fontId="4" fillId="19" borderId="160" xfId="6" applyFont="1" applyFill="1" applyBorder="1" applyProtection="1"/>
    <xf numFmtId="3" fontId="4" fillId="19" borderId="0" xfId="6" applyNumberFormat="1" applyFont="1" applyFill="1" applyBorder="1" applyProtection="1"/>
    <xf numFmtId="3" fontId="4" fillId="19" borderId="57" xfId="6" applyNumberFormat="1" applyFont="1" applyFill="1" applyBorder="1" applyProtection="1"/>
    <xf numFmtId="49" fontId="4" fillId="19" borderId="58" xfId="6" applyNumberFormat="1" applyFont="1" applyFill="1" applyBorder="1" applyAlignment="1" applyProtection="1">
      <alignment horizontal="left"/>
    </xf>
    <xf numFmtId="0" fontId="4" fillId="19" borderId="56" xfId="6" applyFont="1" applyFill="1" applyBorder="1" applyProtection="1"/>
    <xf numFmtId="3" fontId="4" fillId="19" borderId="16" xfId="6" applyNumberFormat="1" applyFont="1" applyFill="1" applyBorder="1" applyProtection="1"/>
    <xf numFmtId="49" fontId="8" fillId="19" borderId="58" xfId="6" applyNumberFormat="1" applyFont="1" applyFill="1" applyBorder="1" applyAlignment="1" applyProtection="1">
      <alignment horizontal="left"/>
    </xf>
    <xf numFmtId="0" fontId="4" fillId="19" borderId="169" xfId="6" applyFont="1" applyFill="1" applyBorder="1" applyProtection="1"/>
    <xf numFmtId="0" fontId="4" fillId="19" borderId="160" xfId="6" applyFont="1" applyFill="1" applyBorder="1" applyAlignment="1" applyProtection="1">
      <alignment horizontal="left"/>
    </xf>
    <xf numFmtId="0" fontId="4" fillId="19" borderId="0" xfId="6" applyFont="1" applyFill="1" applyBorder="1" applyProtection="1"/>
    <xf numFmtId="0" fontId="8" fillId="19" borderId="0" xfId="6" applyFont="1" applyFill="1" applyBorder="1" applyAlignment="1" applyProtection="1">
      <alignment horizontal="left"/>
    </xf>
    <xf numFmtId="0" fontId="8" fillId="19" borderId="57" xfId="6" applyFont="1" applyFill="1" applyBorder="1" applyAlignment="1" applyProtection="1">
      <alignment horizontal="left" wrapText="1"/>
    </xf>
    <xf numFmtId="0" fontId="6" fillId="19" borderId="169" xfId="6" applyFont="1" applyFill="1" applyBorder="1" applyProtection="1"/>
    <xf numFmtId="1" fontId="4" fillId="19" borderId="160" xfId="6" applyNumberFormat="1" applyFont="1" applyFill="1" applyBorder="1" applyAlignment="1" applyProtection="1">
      <alignment horizontal="left"/>
    </xf>
    <xf numFmtId="3" fontId="43" fillId="19" borderId="0" xfId="6" applyNumberFormat="1" applyFont="1" applyFill="1" applyBorder="1" applyProtection="1"/>
    <xf numFmtId="3" fontId="43" fillId="19" borderId="57" xfId="6" applyNumberFormat="1" applyFont="1" applyFill="1" applyBorder="1" applyProtection="1"/>
    <xf numFmtId="0" fontId="4" fillId="19" borderId="195" xfId="6" applyFont="1" applyFill="1" applyBorder="1" applyProtection="1"/>
    <xf numFmtId="168" fontId="43" fillId="19" borderId="62" xfId="6" applyNumberFormat="1" applyFont="1" applyFill="1" applyBorder="1" applyProtection="1"/>
    <xf numFmtId="168" fontId="43" fillId="19" borderId="111" xfId="6" applyNumberFormat="1" applyFont="1" applyFill="1" applyBorder="1" applyProtection="1"/>
    <xf numFmtId="0" fontId="4" fillId="19" borderId="2" xfId="6" applyFont="1" applyFill="1" applyBorder="1" applyAlignment="1" applyProtection="1">
      <alignment horizontal="left"/>
    </xf>
    <xf numFmtId="0" fontId="4" fillId="19" borderId="2" xfId="6" applyFont="1" applyFill="1" applyBorder="1" applyProtection="1"/>
    <xf numFmtId="0" fontId="4" fillId="19" borderId="5" xfId="6" applyFont="1" applyFill="1" applyBorder="1" applyProtection="1"/>
    <xf numFmtId="1" fontId="6" fillId="19" borderId="50" xfId="6" applyNumberFormat="1" applyFont="1" applyFill="1" applyBorder="1" applyAlignment="1" applyProtection="1">
      <alignment horizontal="left"/>
    </xf>
    <xf numFmtId="0" fontId="6" fillId="19" borderId="5" xfId="6" applyFont="1" applyFill="1" applyBorder="1" applyProtection="1"/>
    <xf numFmtId="1" fontId="4" fillId="19" borderId="51" xfId="6" applyNumberFormat="1" applyFont="1" applyFill="1" applyBorder="1" applyAlignment="1" applyProtection="1">
      <alignment horizontal="left"/>
    </xf>
    <xf numFmtId="0" fontId="6" fillId="19" borderId="2" xfId="6" applyFont="1" applyFill="1" applyBorder="1" applyAlignment="1" applyProtection="1">
      <alignment horizontal="left"/>
    </xf>
    <xf numFmtId="0" fontId="6" fillId="19" borderId="2" xfId="6" applyFont="1" applyFill="1" applyBorder="1" applyAlignment="1" applyProtection="1">
      <alignment wrapText="1"/>
    </xf>
    <xf numFmtId="0" fontId="6" fillId="19" borderId="5" xfId="6" applyFont="1" applyFill="1" applyBorder="1" applyAlignment="1" applyProtection="1">
      <alignment wrapText="1"/>
    </xf>
    <xf numFmtId="1" fontId="4" fillId="19" borderId="51" xfId="6" applyNumberFormat="1" applyFont="1" applyFill="1" applyBorder="1" applyProtection="1"/>
    <xf numFmtId="1" fontId="6" fillId="19" borderId="196" xfId="6" applyNumberFormat="1" applyFont="1" applyFill="1" applyBorder="1" applyAlignment="1" applyProtection="1">
      <alignment horizontal="left"/>
    </xf>
    <xf numFmtId="0" fontId="6" fillId="19" borderId="9" xfId="6" applyFont="1" applyFill="1" applyBorder="1" applyProtection="1"/>
    <xf numFmtId="1" fontId="4" fillId="19" borderId="50" xfId="6" applyNumberFormat="1" applyFont="1" applyFill="1" applyBorder="1" applyAlignment="1" applyProtection="1">
      <alignment horizontal="left"/>
    </xf>
    <xf numFmtId="49" fontId="4" fillId="19" borderId="5" xfId="6" applyNumberFormat="1" applyFont="1" applyFill="1" applyBorder="1" applyAlignment="1" applyProtection="1">
      <alignment horizontal="left"/>
    </xf>
    <xf numFmtId="0" fontId="4" fillId="19" borderId="6" xfId="6" applyFont="1" applyFill="1" applyBorder="1" applyAlignment="1" applyProtection="1">
      <alignment wrapText="1"/>
    </xf>
    <xf numFmtId="3" fontId="47" fillId="19" borderId="136" xfId="6" applyNumberFormat="1" applyFont="1" applyFill="1" applyBorder="1" applyProtection="1"/>
    <xf numFmtId="3" fontId="4" fillId="19" borderId="197" xfId="6" applyNumberFormat="1" applyFont="1" applyFill="1" applyBorder="1" applyProtection="1"/>
    <xf numFmtId="3" fontId="4" fillId="19" borderId="57" xfId="6" applyNumberFormat="1" applyFont="1" applyFill="1" applyBorder="1" applyAlignment="1" applyProtection="1">
      <alignment horizontal="left"/>
    </xf>
    <xf numFmtId="3" fontId="3" fillId="19" borderId="5" xfId="6" applyNumberFormat="1" applyFont="1" applyFill="1" applyBorder="1" applyProtection="1"/>
    <xf numFmtId="3" fontId="47" fillId="19" borderId="5" xfId="6" applyNumberFormat="1" applyFont="1" applyFill="1" applyBorder="1" applyAlignment="1" applyProtection="1">
      <alignment horizontal="right"/>
    </xf>
    <xf numFmtId="9" fontId="47" fillId="19" borderId="5" xfId="6" quotePrefix="1" applyNumberFormat="1" applyFont="1" applyFill="1" applyBorder="1" applyAlignment="1" applyProtection="1">
      <alignment horizontal="right"/>
    </xf>
    <xf numFmtId="3" fontId="43" fillId="19" borderId="56" xfId="6" applyNumberFormat="1" applyFont="1" applyFill="1" applyBorder="1" applyAlignment="1" applyProtection="1">
      <alignment horizontal="right"/>
    </xf>
    <xf numFmtId="3" fontId="47" fillId="19" borderId="2" xfId="6" applyNumberFormat="1" applyFont="1" applyFill="1" applyBorder="1" applyAlignment="1" applyProtection="1">
      <alignment horizontal="right"/>
    </xf>
    <xf numFmtId="3" fontId="47" fillId="19" borderId="15" xfId="6" applyNumberFormat="1" applyFont="1" applyFill="1" applyBorder="1" applyAlignment="1" applyProtection="1">
      <alignment horizontal="right"/>
    </xf>
    <xf numFmtId="3" fontId="44" fillId="19" borderId="11" xfId="6" applyNumberFormat="1" applyFont="1" applyFill="1" applyBorder="1" applyAlignment="1" applyProtection="1">
      <alignment horizontal="right"/>
    </xf>
    <xf numFmtId="3" fontId="43" fillId="19" borderId="0" xfId="6" applyNumberFormat="1" applyFont="1" applyFill="1" applyBorder="1" applyAlignment="1" applyProtection="1">
      <alignment horizontal="right"/>
    </xf>
    <xf numFmtId="3" fontId="44" fillId="19" borderId="172" xfId="6" applyNumberFormat="1" applyFont="1" applyFill="1" applyBorder="1" applyAlignment="1" applyProtection="1">
      <alignment horizontal="right"/>
    </xf>
    <xf numFmtId="3" fontId="44" fillId="19" borderId="0" xfId="6" applyNumberFormat="1" applyFont="1" applyFill="1" applyBorder="1" applyAlignment="1" applyProtection="1">
      <alignment horizontal="right"/>
    </xf>
    <xf numFmtId="3" fontId="44" fillId="19" borderId="86" xfId="6" applyNumberFormat="1" applyFont="1" applyFill="1" applyBorder="1" applyAlignment="1" applyProtection="1">
      <alignment horizontal="right"/>
    </xf>
    <xf numFmtId="3" fontId="44" fillId="19" borderId="39" xfId="6" applyNumberFormat="1" applyFont="1" applyFill="1" applyBorder="1" applyAlignment="1" applyProtection="1">
      <alignment horizontal="right"/>
    </xf>
    <xf numFmtId="3" fontId="36" fillId="19" borderId="39" xfId="6" quotePrefix="1" applyNumberFormat="1" applyFont="1" applyFill="1" applyBorder="1" applyAlignment="1" applyProtection="1">
      <alignment horizontal="left"/>
    </xf>
    <xf numFmtId="3" fontId="43" fillId="19" borderId="39" xfId="6" applyNumberFormat="1" applyFont="1" applyFill="1" applyBorder="1" applyAlignment="1" applyProtection="1">
      <alignment horizontal="right"/>
    </xf>
    <xf numFmtId="3" fontId="43" fillId="19" borderId="59" xfId="6" applyNumberFormat="1" applyFont="1" applyFill="1" applyBorder="1" applyAlignment="1" applyProtection="1">
      <alignment horizontal="left"/>
    </xf>
    <xf numFmtId="3" fontId="3" fillId="19" borderId="9" xfId="6" applyNumberFormat="1" applyFont="1" applyFill="1" applyBorder="1" applyProtection="1"/>
    <xf numFmtId="3" fontId="47" fillId="19" borderId="9" xfId="6" applyNumberFormat="1" applyFont="1" applyFill="1" applyBorder="1" applyProtection="1"/>
    <xf numFmtId="9" fontId="47" fillId="19" borderId="9" xfId="6" applyNumberFormat="1" applyFont="1" applyFill="1" applyBorder="1" applyProtection="1"/>
    <xf numFmtId="3" fontId="4" fillId="19" borderId="95" xfId="6" applyNumberFormat="1" applyFont="1" applyFill="1" applyBorder="1" applyProtection="1"/>
    <xf numFmtId="168" fontId="4" fillId="19" borderId="121" xfId="6" applyNumberFormat="1" applyFont="1" applyFill="1" applyBorder="1" applyAlignment="1" applyProtection="1">
      <alignment horizontal="left"/>
    </xf>
    <xf numFmtId="3" fontId="3" fillId="19" borderId="2" xfId="6" applyNumberFormat="1" applyFont="1" applyFill="1" applyBorder="1" applyAlignment="1" applyProtection="1">
      <alignment horizontal="right"/>
    </xf>
    <xf numFmtId="168" fontId="43" fillId="19" borderId="57" xfId="6" applyNumberFormat="1" applyFont="1" applyFill="1" applyBorder="1" applyAlignment="1" applyProtection="1">
      <alignment horizontal="left"/>
    </xf>
    <xf numFmtId="3" fontId="3" fillId="19" borderId="5" xfId="6" applyNumberFormat="1" applyFont="1" applyFill="1" applyBorder="1" applyAlignment="1" applyProtection="1">
      <alignment horizontal="right"/>
    </xf>
    <xf numFmtId="3" fontId="4" fillId="19" borderId="52" xfId="6" applyNumberFormat="1" applyFont="1" applyFill="1" applyBorder="1" applyAlignment="1" applyProtection="1">
      <alignment horizontal="left"/>
    </xf>
    <xf numFmtId="3" fontId="4" fillId="19" borderId="53" xfId="6" applyNumberFormat="1" applyFont="1" applyFill="1" applyBorder="1" applyAlignment="1" applyProtection="1">
      <alignment horizontal="left"/>
    </xf>
    <xf numFmtId="0" fontId="3" fillId="19" borderId="0" xfId="6" applyFont="1" applyFill="1" applyProtection="1"/>
    <xf numFmtId="0" fontId="23" fillId="19" borderId="0" xfId="6" applyFill="1" applyProtection="1"/>
    <xf numFmtId="3" fontId="37" fillId="19" borderId="0" xfId="6" applyNumberFormat="1" applyFont="1" applyFill="1" applyBorder="1" applyProtection="1"/>
    <xf numFmtId="0" fontId="23" fillId="19" borderId="0" xfId="6" applyFont="1" applyFill="1" applyProtection="1"/>
    <xf numFmtId="0" fontId="3" fillId="19" borderId="0" xfId="6" applyFont="1" applyFill="1" applyBorder="1" applyProtection="1"/>
    <xf numFmtId="0" fontId="4" fillId="19" borderId="118" xfId="6" applyFont="1" applyFill="1" applyBorder="1" applyProtection="1"/>
    <xf numFmtId="0" fontId="4" fillId="19" borderId="121" xfId="6" applyFont="1" applyFill="1" applyBorder="1" applyProtection="1"/>
    <xf numFmtId="0" fontId="4" fillId="19" borderId="155" xfId="6" applyFont="1" applyFill="1" applyBorder="1" applyProtection="1"/>
    <xf numFmtId="0" fontId="4" fillId="19" borderId="57" xfId="6" applyFont="1" applyFill="1" applyBorder="1" applyProtection="1"/>
    <xf numFmtId="1" fontId="6" fillId="19" borderId="198" xfId="6" applyNumberFormat="1" applyFont="1" applyFill="1" applyBorder="1" applyAlignment="1" applyProtection="1">
      <alignment horizontal="left"/>
    </xf>
    <xf numFmtId="0" fontId="6" fillId="19" borderId="168" xfId="6" applyFont="1" applyFill="1" applyBorder="1" applyProtection="1"/>
    <xf numFmtId="0" fontId="4" fillId="19" borderId="3" xfId="6" applyFont="1" applyFill="1" applyBorder="1" applyProtection="1"/>
    <xf numFmtId="0" fontId="4" fillId="19" borderId="6" xfId="6" applyFont="1" applyFill="1" applyBorder="1" applyProtection="1"/>
    <xf numFmtId="1" fontId="4" fillId="19" borderId="142" xfId="6" applyNumberFormat="1" applyFont="1" applyFill="1" applyBorder="1" applyAlignment="1" applyProtection="1">
      <alignment horizontal="left"/>
    </xf>
    <xf numFmtId="1" fontId="6" fillId="19" borderId="58" xfId="6" applyNumberFormat="1" applyFont="1" applyFill="1" applyBorder="1" applyAlignment="1" applyProtection="1">
      <alignment horizontal="left"/>
    </xf>
    <xf numFmtId="1" fontId="4" fillId="19" borderId="58" xfId="6" applyNumberFormat="1" applyFont="1" applyFill="1" applyBorder="1" applyAlignment="1" applyProtection="1">
      <alignment horizontal="left"/>
    </xf>
    <xf numFmtId="1" fontId="6" fillId="19" borderId="125" xfId="6" applyNumberFormat="1" applyFont="1" applyFill="1" applyBorder="1" applyAlignment="1" applyProtection="1">
      <alignment horizontal="left"/>
    </xf>
    <xf numFmtId="0" fontId="6" fillId="19" borderId="114" xfId="6" applyFont="1" applyFill="1" applyBorder="1" applyProtection="1"/>
    <xf numFmtId="0" fontId="4" fillId="19" borderId="72" xfId="6" applyFont="1" applyFill="1" applyBorder="1" applyProtection="1"/>
    <xf numFmtId="3" fontId="4" fillId="19" borderId="56" xfId="0" applyNumberFormat="1" applyFont="1" applyFill="1" applyBorder="1" applyProtection="1"/>
    <xf numFmtId="49" fontId="8" fillId="19" borderId="58" xfId="0" applyNumberFormat="1" applyFont="1" applyFill="1" applyBorder="1" applyAlignment="1" applyProtection="1">
      <alignment horizontal="left"/>
    </xf>
    <xf numFmtId="49" fontId="4" fillId="19" borderId="5" xfId="0" applyNumberFormat="1" applyFont="1" applyFill="1" applyBorder="1" applyAlignment="1" applyProtection="1">
      <alignment horizontal="left"/>
    </xf>
    <xf numFmtId="49" fontId="13" fillId="19" borderId="58" xfId="0" applyNumberFormat="1" applyFont="1" applyFill="1" applyBorder="1" applyAlignment="1" applyProtection="1">
      <alignment horizontal="left"/>
    </xf>
    <xf numFmtId="1" fontId="6" fillId="19" borderId="134" xfId="0" applyNumberFormat="1" applyFont="1" applyFill="1" applyBorder="1" applyAlignment="1" applyProtection="1">
      <alignment horizontal="left"/>
    </xf>
    <xf numFmtId="1" fontId="4" fillId="19" borderId="22" xfId="0" applyNumberFormat="1" applyFont="1" applyFill="1" applyBorder="1" applyAlignment="1" applyProtection="1">
      <alignment horizontal="left"/>
    </xf>
    <xf numFmtId="1" fontId="6" fillId="19" borderId="22" xfId="0" applyNumberFormat="1" applyFont="1" applyFill="1" applyBorder="1" applyAlignment="1" applyProtection="1">
      <alignment horizontal="left"/>
    </xf>
    <xf numFmtId="1" fontId="4" fillId="19" borderId="24" xfId="0" applyNumberFormat="1" applyFont="1" applyFill="1" applyBorder="1" applyAlignment="1" applyProtection="1">
      <alignment horizontal="left"/>
    </xf>
    <xf numFmtId="1" fontId="6" fillId="19" borderId="58" xfId="0" applyNumberFormat="1" applyFont="1" applyFill="1" applyBorder="1" applyAlignment="1" applyProtection="1">
      <alignment horizontal="left"/>
    </xf>
    <xf numFmtId="1" fontId="6" fillId="19" borderId="129" xfId="0" applyNumberFormat="1" applyFont="1" applyFill="1" applyBorder="1" applyAlignment="1" applyProtection="1">
      <alignment horizontal="left"/>
    </xf>
    <xf numFmtId="1" fontId="6" fillId="19" borderId="130" xfId="0" applyNumberFormat="1" applyFont="1" applyFill="1" applyBorder="1" applyAlignment="1" applyProtection="1">
      <alignment horizontal="left"/>
    </xf>
    <xf numFmtId="3" fontId="4" fillId="19" borderId="121" xfId="0" applyNumberFormat="1" applyFont="1" applyFill="1" applyBorder="1" applyAlignment="1" applyProtection="1">
      <alignment wrapText="1"/>
    </xf>
    <xf numFmtId="3" fontId="4" fillId="19" borderId="44" xfId="0" applyNumberFormat="1" applyFont="1" applyFill="1" applyBorder="1" applyProtection="1"/>
    <xf numFmtId="3" fontId="4" fillId="19" borderId="0" xfId="0" applyNumberFormat="1" applyFont="1" applyFill="1" applyBorder="1" applyProtection="1"/>
    <xf numFmtId="0" fontId="3" fillId="19" borderId="0" xfId="0" applyFont="1" applyFill="1" applyBorder="1" applyAlignment="1" applyProtection="1">
      <alignment wrapText="1"/>
    </xf>
    <xf numFmtId="0" fontId="3" fillId="19" borderId="57" xfId="0" applyFont="1" applyFill="1" applyBorder="1" applyAlignment="1" applyProtection="1">
      <alignment wrapText="1"/>
    </xf>
    <xf numFmtId="0" fontId="10" fillId="19" borderId="177" xfId="0" applyFont="1" applyFill="1" applyBorder="1" applyAlignment="1" applyProtection="1">
      <alignment horizontal="left" wrapText="1"/>
    </xf>
    <xf numFmtId="0" fontId="10" fillId="19" borderId="177" xfId="0" applyFont="1" applyFill="1" applyBorder="1" applyAlignment="1" applyProtection="1">
      <alignment horizontal="left"/>
    </xf>
    <xf numFmtId="0" fontId="10" fillId="19" borderId="57" xfId="0" applyFont="1" applyFill="1" applyBorder="1" applyAlignment="1" applyProtection="1">
      <alignment horizontal="left" wrapText="1"/>
    </xf>
    <xf numFmtId="3" fontId="3" fillId="19" borderId="136" xfId="0" applyNumberFormat="1" applyFont="1" applyFill="1" applyBorder="1" applyAlignment="1" applyProtection="1">
      <alignment horizontal="right"/>
    </xf>
    <xf numFmtId="3" fontId="47" fillId="19" borderId="35" xfId="0" quotePrefix="1" applyNumberFormat="1" applyFont="1" applyFill="1" applyBorder="1" applyAlignment="1" applyProtection="1">
      <alignment horizontal="right"/>
    </xf>
    <xf numFmtId="3" fontId="4" fillId="19" borderId="171" xfId="0" applyNumberFormat="1" applyFont="1" applyFill="1" applyBorder="1" applyAlignment="1" applyProtection="1">
      <alignment horizontal="left"/>
    </xf>
    <xf numFmtId="3" fontId="3" fillId="19" borderId="5" xfId="0" applyNumberFormat="1" applyFont="1" applyFill="1" applyBorder="1" applyAlignment="1" applyProtection="1">
      <alignment horizontal="right"/>
    </xf>
    <xf numFmtId="3" fontId="47" fillId="19" borderId="2" xfId="0" applyNumberFormat="1" applyFont="1" applyFill="1" applyBorder="1" applyAlignment="1" applyProtection="1">
      <alignment horizontal="right"/>
    </xf>
    <xf numFmtId="3" fontId="43" fillId="19" borderId="57" xfId="0" applyNumberFormat="1" applyFont="1" applyFill="1" applyBorder="1" applyAlignment="1" applyProtection="1">
      <alignment horizontal="left"/>
    </xf>
    <xf numFmtId="3" fontId="47" fillId="19" borderId="5" xfId="0" applyNumberFormat="1" applyFont="1" applyFill="1" applyBorder="1" applyAlignment="1" applyProtection="1">
      <alignment horizontal="right"/>
    </xf>
    <xf numFmtId="3" fontId="3" fillId="19" borderId="172" xfId="0" applyNumberFormat="1" applyFont="1" applyFill="1" applyBorder="1" applyAlignment="1" applyProtection="1">
      <alignment horizontal="right"/>
    </xf>
    <xf numFmtId="3" fontId="43" fillId="19" borderId="0" xfId="0" applyNumberFormat="1" applyFont="1" applyFill="1" applyBorder="1" applyAlignment="1" applyProtection="1">
      <alignment horizontal="right"/>
    </xf>
    <xf numFmtId="3" fontId="43" fillId="19" borderId="39" xfId="0" applyNumberFormat="1" applyFont="1" applyFill="1" applyBorder="1" applyAlignment="1" applyProtection="1">
      <alignment horizontal="right"/>
    </xf>
    <xf numFmtId="3" fontId="3" fillId="19" borderId="2" xfId="0" applyNumberFormat="1" applyFont="1" applyFill="1" applyBorder="1" applyAlignment="1" applyProtection="1">
      <alignment horizontal="right"/>
    </xf>
    <xf numFmtId="3" fontId="4" fillId="19" borderId="121" xfId="0" applyNumberFormat="1" applyFont="1" applyFill="1" applyBorder="1" applyAlignment="1" applyProtection="1">
      <alignment horizontal="left"/>
    </xf>
    <xf numFmtId="3" fontId="43" fillId="19" borderId="59" xfId="0" applyNumberFormat="1" applyFont="1" applyFill="1" applyBorder="1" applyAlignment="1" applyProtection="1">
      <alignment horizontal="left"/>
    </xf>
    <xf numFmtId="3" fontId="43" fillId="19" borderId="41" xfId="0" applyNumberFormat="1" applyFont="1" applyFill="1" applyBorder="1" applyAlignment="1" applyProtection="1">
      <alignment horizontal="left"/>
    </xf>
    <xf numFmtId="3" fontId="4" fillId="19" borderId="52" xfId="0" applyNumberFormat="1" applyFont="1" applyFill="1" applyBorder="1" applyAlignment="1" applyProtection="1">
      <alignment horizontal="left"/>
    </xf>
    <xf numFmtId="3" fontId="3" fillId="19" borderId="25" xfId="0" applyNumberFormat="1" applyFont="1" applyFill="1" applyBorder="1" applyAlignment="1" applyProtection="1">
      <alignment horizontal="right"/>
    </xf>
    <xf numFmtId="3" fontId="47" fillId="19" borderId="13" xfId="0" quotePrefix="1" applyNumberFormat="1" applyFont="1" applyFill="1" applyBorder="1" applyAlignment="1" applyProtection="1">
      <alignment horizontal="right"/>
    </xf>
    <xf numFmtId="3" fontId="43" fillId="19" borderId="80" xfId="0" applyNumberFormat="1" applyFont="1" applyFill="1" applyBorder="1" applyAlignment="1" applyProtection="1">
      <alignment horizontal="right"/>
    </xf>
    <xf numFmtId="3" fontId="4" fillId="19" borderId="57" xfId="0" applyNumberFormat="1" applyFont="1" applyFill="1" applyBorder="1" applyAlignment="1" applyProtection="1">
      <alignment horizontal="left"/>
    </xf>
    <xf numFmtId="3" fontId="44" fillId="19" borderId="15" xfId="0" applyNumberFormat="1" applyFont="1" applyFill="1" applyBorder="1" applyAlignment="1" applyProtection="1">
      <alignment horizontal="right"/>
    </xf>
    <xf numFmtId="3" fontId="47" fillId="19" borderId="15" xfId="0" applyNumberFormat="1" applyFont="1" applyFill="1" applyBorder="1" applyAlignment="1" applyProtection="1">
      <alignment horizontal="right"/>
    </xf>
    <xf numFmtId="3" fontId="44" fillId="19" borderId="25" xfId="0" applyNumberFormat="1" applyFont="1" applyFill="1" applyBorder="1" applyAlignment="1" applyProtection="1">
      <alignment horizontal="right"/>
    </xf>
    <xf numFmtId="3" fontId="47" fillId="19" borderId="25" xfId="0" applyNumberFormat="1" applyFont="1" applyFill="1" applyBorder="1" applyAlignment="1" applyProtection="1">
      <alignment horizontal="right"/>
    </xf>
    <xf numFmtId="0" fontId="117" fillId="0" borderId="0" xfId="5" applyFont="1" applyFill="1" applyAlignment="1" applyProtection="1"/>
    <xf numFmtId="3" fontId="3" fillId="9" borderId="20" xfId="0" applyNumberFormat="1" applyFont="1" applyFill="1" applyBorder="1" applyProtection="1"/>
    <xf numFmtId="3" fontId="3" fillId="9" borderId="19" xfId="0" applyNumberFormat="1" applyFont="1" applyFill="1" applyBorder="1" applyProtection="1"/>
    <xf numFmtId="0" fontId="118" fillId="0" borderId="0" xfId="5" applyFont="1" applyFill="1" applyBorder="1" applyAlignment="1" applyProtection="1"/>
    <xf numFmtId="49" fontId="118" fillId="0" borderId="0" xfId="5" applyNumberFormat="1" applyFont="1" applyAlignment="1" applyProtection="1">
      <alignment horizontal="left"/>
    </xf>
    <xf numFmtId="0" fontId="118" fillId="0" borderId="0" xfId="5" applyFont="1" applyFill="1" applyAlignment="1" applyProtection="1"/>
    <xf numFmtId="0" fontId="118" fillId="2" borderId="0" xfId="5" applyFont="1" applyFill="1" applyAlignment="1" applyProtection="1">
      <alignment vertical="top"/>
    </xf>
    <xf numFmtId="0" fontId="4" fillId="19" borderId="118" xfId="0" applyFont="1" applyFill="1" applyBorder="1" applyAlignment="1" applyProtection="1">
      <alignment horizontal="right"/>
    </xf>
    <xf numFmtId="0" fontId="9" fillId="19" borderId="98" xfId="0" applyFont="1" applyFill="1" applyBorder="1" applyAlignment="1" applyProtection="1">
      <alignment horizontal="center"/>
    </xf>
    <xf numFmtId="0" fontId="9" fillId="19" borderId="127" xfId="0" applyFont="1" applyFill="1" applyBorder="1" applyAlignment="1" applyProtection="1">
      <alignment horizontal="center"/>
    </xf>
    <xf numFmtId="0" fontId="9" fillId="19" borderId="130" xfId="0" applyFont="1" applyFill="1" applyBorder="1" applyAlignment="1" applyProtection="1">
      <alignment horizontal="center"/>
    </xf>
    <xf numFmtId="0" fontId="4" fillId="19" borderId="98" xfId="0" applyFont="1" applyFill="1" applyBorder="1" applyAlignment="1" applyProtection="1">
      <alignment horizontal="center"/>
    </xf>
    <xf numFmtId="0" fontId="9" fillId="0" borderId="124" xfId="0" applyFont="1" applyFill="1" applyBorder="1" applyAlignment="1" applyProtection="1">
      <alignment horizontal="center"/>
    </xf>
    <xf numFmtId="0" fontId="4" fillId="0" borderId="124" xfId="0" applyFont="1" applyFill="1" applyBorder="1" applyAlignment="1" applyProtection="1">
      <alignment horizontal="right"/>
    </xf>
    <xf numFmtId="9" fontId="4" fillId="0" borderId="124" xfId="0" applyNumberFormat="1" applyFont="1" applyFill="1" applyBorder="1" applyAlignment="1" applyProtection="1">
      <alignment horizontal="right"/>
    </xf>
    <xf numFmtId="0" fontId="36" fillId="0" borderId="0" xfId="0" applyFont="1" applyFill="1" applyAlignment="1" applyProtection="1">
      <alignment horizontal="right"/>
    </xf>
    <xf numFmtId="49" fontId="23" fillId="2" borderId="124" xfId="0" applyNumberFormat="1" applyFont="1" applyFill="1" applyBorder="1" applyProtection="1"/>
    <xf numFmtId="0" fontId="23" fillId="2" borderId="124" xfId="0" applyFont="1" applyFill="1" applyBorder="1" applyProtection="1"/>
    <xf numFmtId="0" fontId="9" fillId="2" borderId="124" xfId="0" applyFont="1" applyFill="1" applyBorder="1" applyProtection="1"/>
    <xf numFmtId="0" fontId="3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/>
    <xf numFmtId="0" fontId="3" fillId="0" borderId="67" xfId="0" applyFont="1" applyFill="1" applyBorder="1" applyAlignment="1" applyProtection="1">
      <alignment vertical="top"/>
    </xf>
    <xf numFmtId="0" fontId="3" fillId="0" borderId="1" xfId="0" applyFont="1" applyFill="1" applyBorder="1" applyAlignment="1" applyProtection="1">
      <alignment vertical="top"/>
    </xf>
    <xf numFmtId="0" fontId="3" fillId="0" borderId="0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0" fillId="0" borderId="0" xfId="0" applyBorder="1" applyAlignment="1" applyProtection="1">
      <alignment wrapText="1"/>
    </xf>
    <xf numFmtId="0" fontId="125" fillId="0" borderId="0" xfId="0" applyFont="1" applyFill="1" applyProtection="1"/>
    <xf numFmtId="0" fontId="6" fillId="19" borderId="42" xfId="0" applyFont="1" applyFill="1" applyBorder="1" applyAlignment="1" applyProtection="1">
      <alignment wrapText="1"/>
    </xf>
    <xf numFmtId="3" fontId="38" fillId="0" borderId="0" xfId="0" applyNumberFormat="1" applyFont="1" applyFill="1" applyBorder="1" applyProtection="1"/>
    <xf numFmtId="3" fontId="3" fillId="26" borderId="18" xfId="0" applyNumberFormat="1" applyFont="1" applyFill="1" applyBorder="1" applyAlignment="1" applyProtection="1">
      <alignment horizontal="right"/>
    </xf>
    <xf numFmtId="3" fontId="36" fillId="19" borderId="136" xfId="6" quotePrefix="1" applyNumberFormat="1" applyFont="1" applyFill="1" applyBorder="1" applyProtection="1"/>
    <xf numFmtId="3" fontId="36" fillId="19" borderId="9" xfId="6" quotePrefix="1" applyNumberFormat="1" applyFont="1" applyFill="1" applyBorder="1" applyProtection="1"/>
    <xf numFmtId="3" fontId="3" fillId="19" borderId="157" xfId="0" applyNumberFormat="1" applyFont="1" applyFill="1" applyBorder="1" applyAlignment="1" applyProtection="1">
      <alignment horizontal="right"/>
    </xf>
    <xf numFmtId="3" fontId="3" fillId="19" borderId="118" xfId="0" applyNumberFormat="1" applyFont="1" applyFill="1" applyBorder="1" applyAlignment="1" applyProtection="1">
      <alignment horizontal="right"/>
    </xf>
    <xf numFmtId="3" fontId="3" fillId="19" borderId="13" xfId="0" applyNumberFormat="1" applyFont="1" applyFill="1" applyBorder="1" applyAlignment="1" applyProtection="1">
      <alignment horizontal="right"/>
    </xf>
    <xf numFmtId="0" fontId="127" fillId="0" borderId="0" xfId="0" applyFont="1" applyFill="1" applyProtection="1"/>
    <xf numFmtId="0" fontId="128" fillId="2" borderId="0" xfId="0" applyFont="1" applyFill="1" applyAlignment="1" applyProtection="1">
      <alignment horizontal="left"/>
    </xf>
    <xf numFmtId="0" fontId="10" fillId="0" borderId="0" xfId="0" applyFont="1" applyProtection="1"/>
    <xf numFmtId="0" fontId="36" fillId="19" borderId="0" xfId="0" applyFont="1" applyFill="1" applyBorder="1" applyAlignment="1" applyProtection="1"/>
    <xf numFmtId="0" fontId="36" fillId="19" borderId="39" xfId="0" applyFont="1" applyFill="1" applyBorder="1" applyAlignment="1" applyProtection="1"/>
    <xf numFmtId="49" fontId="3" fillId="10" borderId="139" xfId="0" applyNumberFormat="1" applyFont="1" applyFill="1" applyBorder="1" applyAlignment="1" applyProtection="1"/>
    <xf numFmtId="0" fontId="36" fillId="19" borderId="58" xfId="0" applyFont="1" applyFill="1" applyBorder="1" applyProtection="1"/>
    <xf numFmtId="0" fontId="129" fillId="7" borderId="0" xfId="0" applyFont="1" applyFill="1" applyProtection="1"/>
    <xf numFmtId="1" fontId="4" fillId="19" borderId="200" xfId="0" applyNumberFormat="1" applyFont="1" applyFill="1" applyBorder="1" applyAlignment="1" applyProtection="1">
      <alignment horizontal="center" wrapText="1"/>
    </xf>
    <xf numFmtId="0" fontId="2" fillId="0" borderId="0" xfId="0" applyFont="1" applyFill="1" applyProtection="1"/>
    <xf numFmtId="0" fontId="42" fillId="0" borderId="0" xfId="0" applyFont="1" applyFill="1" applyBorder="1" applyAlignment="1" applyProtection="1">
      <alignment horizontal="center"/>
    </xf>
    <xf numFmtId="3" fontId="84" fillId="0" borderId="0" xfId="0" applyNumberFormat="1" applyFont="1" applyFill="1" applyBorder="1" applyAlignment="1" applyProtection="1">
      <alignment horizontal="center"/>
    </xf>
    <xf numFmtId="0" fontId="40" fillId="0" borderId="0" xfId="0" applyFont="1" applyFill="1" applyProtection="1"/>
    <xf numFmtId="3" fontId="125" fillId="0" borderId="0" xfId="0" quotePrefix="1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left"/>
    </xf>
    <xf numFmtId="1" fontId="6" fillId="0" borderId="0" xfId="0" applyNumberFormat="1" applyFont="1" applyFill="1" applyBorder="1" applyAlignment="1" applyProtection="1">
      <alignment horizontal="left"/>
    </xf>
    <xf numFmtId="0" fontId="125" fillId="2" borderId="0" xfId="0" applyFont="1" applyFill="1" applyProtection="1"/>
    <xf numFmtId="0" fontId="6" fillId="19" borderId="70" xfId="0" applyFont="1" applyFill="1" applyBorder="1" applyAlignment="1" applyProtection="1">
      <alignment horizontal="left"/>
    </xf>
    <xf numFmtId="166" fontId="47" fillId="19" borderId="0" xfId="0" applyNumberFormat="1" applyFont="1" applyFill="1" applyBorder="1" applyProtection="1"/>
    <xf numFmtId="3" fontId="47" fillId="20" borderId="0" xfId="0" applyNumberFormat="1" applyFont="1" applyFill="1" applyBorder="1" applyAlignment="1" applyProtection="1">
      <alignment horizontal="right"/>
    </xf>
    <xf numFmtId="3" fontId="47" fillId="21" borderId="0" xfId="0" applyNumberFormat="1" applyFont="1" applyFill="1" applyBorder="1" applyProtection="1"/>
    <xf numFmtId="166" fontId="47" fillId="0" borderId="0" xfId="0" applyNumberFormat="1" applyFont="1" applyFill="1" applyBorder="1" applyProtection="1"/>
    <xf numFmtId="3" fontId="47" fillId="0" borderId="0" xfId="0" applyNumberFormat="1" applyFont="1" applyFill="1" applyBorder="1" applyAlignment="1" applyProtection="1">
      <alignment horizontal="right"/>
    </xf>
    <xf numFmtId="3" fontId="47" fillId="0" borderId="0" xfId="0" applyNumberFormat="1" applyFont="1" applyFill="1" applyBorder="1" applyProtection="1"/>
    <xf numFmtId="3" fontId="47" fillId="20" borderId="122" xfId="0" applyNumberFormat="1" applyFont="1" applyFill="1" applyBorder="1" applyProtection="1"/>
    <xf numFmtId="3" fontId="11" fillId="0" borderId="10" xfId="0" applyNumberFormat="1" applyFont="1" applyFill="1" applyBorder="1" applyAlignment="1" applyProtection="1">
      <alignment horizontal="right"/>
      <protection locked="0"/>
    </xf>
    <xf numFmtId="3" fontId="14" fillId="0" borderId="72" xfId="0" applyNumberFormat="1" applyFont="1" applyFill="1" applyBorder="1" applyAlignment="1" applyProtection="1">
      <alignment horizontal="right"/>
      <protection locked="0"/>
    </xf>
    <xf numFmtId="49" fontId="9" fillId="19" borderId="201" xfId="0" applyNumberFormat="1" applyFont="1" applyFill="1" applyBorder="1" applyAlignment="1" applyProtection="1">
      <alignment horizontal="center"/>
    </xf>
    <xf numFmtId="1" fontId="9" fillId="19" borderId="202" xfId="0" applyNumberFormat="1" applyFont="1" applyFill="1" applyBorder="1" applyAlignment="1" applyProtection="1">
      <alignment horizontal="center"/>
    </xf>
    <xf numFmtId="1" fontId="9" fillId="19" borderId="202" xfId="0" applyNumberFormat="1" applyFont="1" applyFill="1" applyBorder="1" applyAlignment="1" applyProtection="1">
      <alignment horizontal="left"/>
    </xf>
    <xf numFmtId="3" fontId="14" fillId="2" borderId="203" xfId="0" applyNumberFormat="1" applyFont="1" applyFill="1" applyBorder="1" applyAlignment="1" applyProtection="1">
      <alignment horizontal="right"/>
      <protection locked="0"/>
    </xf>
    <xf numFmtId="0" fontId="4" fillId="19" borderId="82" xfId="0" applyFont="1" applyFill="1" applyBorder="1" applyAlignment="1" applyProtection="1">
      <alignment horizontal="left" wrapText="1"/>
    </xf>
    <xf numFmtId="0" fontId="4" fillId="19" borderId="158" xfId="0" applyFont="1" applyFill="1" applyBorder="1" applyAlignment="1" applyProtection="1">
      <alignment vertical="top" wrapText="1"/>
    </xf>
    <xf numFmtId="0" fontId="4" fillId="19" borderId="136" xfId="0" applyFont="1" applyFill="1" applyBorder="1" applyAlignment="1" applyProtection="1">
      <alignment horizontal="left" vertical="top" wrapText="1"/>
    </xf>
    <xf numFmtId="49" fontId="4" fillId="19" borderId="133" xfId="0" applyNumberFormat="1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3" fontId="3" fillId="3" borderId="40" xfId="0" applyNumberFormat="1" applyFont="1" applyFill="1" applyBorder="1" applyProtection="1"/>
    <xf numFmtId="3" fontId="4" fillId="19" borderId="162" xfId="0" applyNumberFormat="1" applyFont="1" applyFill="1" applyBorder="1" applyAlignment="1" applyProtection="1">
      <alignment horizontal="left" vertical="top" wrapText="1"/>
    </xf>
    <xf numFmtId="0" fontId="4" fillId="19" borderId="56" xfId="0" applyFont="1" applyFill="1" applyBorder="1" applyAlignment="1" applyProtection="1">
      <alignment vertical="top" wrapText="1"/>
    </xf>
    <xf numFmtId="0" fontId="4" fillId="19" borderId="62" xfId="0" applyFont="1" applyFill="1" applyBorder="1" applyProtection="1"/>
    <xf numFmtId="3" fontId="4" fillId="19" borderId="159" xfId="0" applyNumberFormat="1" applyFont="1" applyFill="1" applyBorder="1" applyAlignment="1" applyProtection="1">
      <alignment vertical="top" wrapText="1"/>
    </xf>
    <xf numFmtId="3" fontId="4" fillId="19" borderId="16" xfId="0" applyNumberFormat="1" applyFont="1" applyFill="1" applyBorder="1" applyAlignment="1" applyProtection="1">
      <alignment vertical="top" wrapText="1"/>
    </xf>
    <xf numFmtId="0" fontId="4" fillId="19" borderId="124" xfId="0" applyFont="1" applyFill="1" applyBorder="1" applyAlignment="1" applyProtection="1">
      <alignment vertical="top"/>
    </xf>
    <xf numFmtId="0" fontId="6" fillId="19" borderId="165" xfId="0" applyFont="1" applyFill="1" applyBorder="1" applyAlignment="1" applyProtection="1">
      <alignment vertical="top"/>
    </xf>
    <xf numFmtId="0" fontId="4" fillId="19" borderId="165" xfId="0" applyFont="1" applyFill="1" applyBorder="1" applyAlignment="1" applyProtection="1">
      <alignment vertical="top"/>
    </xf>
    <xf numFmtId="0" fontId="4" fillId="19" borderId="204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1" fontId="9" fillId="19" borderId="130" xfId="0" applyNumberFormat="1" applyFont="1" applyFill="1" applyBorder="1" applyAlignment="1" applyProtection="1">
      <alignment horizontal="left"/>
    </xf>
    <xf numFmtId="1" fontId="9" fillId="19" borderId="94" xfId="0" applyNumberFormat="1" applyFont="1" applyFill="1" applyBorder="1" applyAlignment="1" applyProtection="1">
      <alignment horizontal="left"/>
    </xf>
    <xf numFmtId="0" fontId="4" fillId="19" borderId="101" xfId="6" applyFont="1" applyFill="1" applyBorder="1" applyAlignment="1" applyProtection="1">
      <alignment horizontal="left" wrapText="1"/>
    </xf>
    <xf numFmtId="3" fontId="3" fillId="0" borderId="0" xfId="0" applyNumberFormat="1" applyFont="1" applyFill="1" applyBorder="1" applyProtection="1"/>
    <xf numFmtId="0" fontId="20" fillId="0" borderId="0" xfId="6" applyFont="1" applyFill="1" applyBorder="1" applyAlignment="1" applyProtection="1">
      <alignment horizontal="left"/>
    </xf>
    <xf numFmtId="0" fontId="10" fillId="0" borderId="0" xfId="6" applyFont="1" applyFill="1" applyProtection="1"/>
    <xf numFmtId="0" fontId="20" fillId="2" borderId="0" xfId="6" applyNumberFormat="1" applyFont="1" applyFill="1" applyAlignment="1" applyProtection="1">
      <alignment horizontal="left"/>
    </xf>
    <xf numFmtId="0" fontId="10" fillId="0" borderId="0" xfId="6" applyFont="1" applyFill="1" applyBorder="1" applyAlignment="1" applyProtection="1">
      <alignment horizontal="left"/>
    </xf>
    <xf numFmtId="0" fontId="10" fillId="2" borderId="0" xfId="6" applyNumberFormat="1" applyFont="1" applyFill="1" applyAlignment="1" applyProtection="1">
      <alignment horizontal="left"/>
    </xf>
    <xf numFmtId="0" fontId="20" fillId="0" borderId="0" xfId="6" applyFont="1" applyFill="1" applyProtection="1"/>
    <xf numFmtId="3" fontId="4" fillId="19" borderId="160" xfId="6" applyNumberFormat="1" applyFont="1" applyFill="1" applyBorder="1" applyAlignment="1" applyProtection="1">
      <alignment vertical="top"/>
    </xf>
    <xf numFmtId="0" fontId="6" fillId="19" borderId="158" xfId="6" applyFont="1" applyFill="1" applyBorder="1" applyProtection="1"/>
    <xf numFmtId="3" fontId="14" fillId="2" borderId="186" xfId="0" applyNumberFormat="1" applyFont="1" applyFill="1" applyBorder="1" applyAlignment="1" applyProtection="1">
      <alignment horizontal="right"/>
      <protection locked="0"/>
    </xf>
    <xf numFmtId="0" fontId="4" fillId="19" borderId="88" xfId="0" applyFont="1" applyFill="1" applyBorder="1" applyAlignment="1" applyProtection="1">
      <alignment vertical="top" wrapText="1"/>
    </xf>
    <xf numFmtId="0" fontId="4" fillId="19" borderId="118" xfId="0" applyFont="1" applyFill="1" applyBorder="1" applyAlignment="1" applyProtection="1">
      <alignment vertical="top" wrapText="1"/>
    </xf>
    <xf numFmtId="0" fontId="6" fillId="0" borderId="0" xfId="0" applyFont="1" applyFill="1" applyAlignment="1" applyProtection="1">
      <alignment horizontal="right"/>
    </xf>
    <xf numFmtId="0" fontId="125" fillId="0" borderId="0" xfId="0" applyNumberFormat="1" applyFont="1" applyFill="1" applyProtection="1"/>
    <xf numFmtId="0" fontId="125" fillId="0" borderId="39" xfId="0" applyNumberFormat="1" applyFont="1" applyFill="1" applyBorder="1" applyAlignment="1" applyProtection="1">
      <alignment horizontal="left"/>
    </xf>
    <xf numFmtId="0" fontId="128" fillId="0" borderId="0" xfId="0" applyFont="1" applyFill="1" applyAlignment="1" applyProtection="1">
      <alignment horizontal="left"/>
    </xf>
    <xf numFmtId="3" fontId="4" fillId="19" borderId="44" xfId="6" applyNumberFormat="1" applyFont="1" applyFill="1" applyBorder="1" applyAlignment="1" applyProtection="1">
      <alignment vertical="center"/>
    </xf>
    <xf numFmtId="3" fontId="6" fillId="19" borderId="160" xfId="6" applyNumberFormat="1" applyFont="1" applyFill="1" applyBorder="1" applyAlignment="1" applyProtection="1">
      <alignment vertical="top"/>
    </xf>
    <xf numFmtId="3" fontId="119" fillId="19" borderId="15" xfId="0" applyNumberFormat="1" applyFont="1" applyFill="1" applyBorder="1" applyAlignment="1" applyProtection="1">
      <alignment vertical="center"/>
    </xf>
    <xf numFmtId="3" fontId="119" fillId="19" borderId="56" xfId="0" applyNumberFormat="1" applyFont="1" applyFill="1" applyBorder="1" applyAlignment="1" applyProtection="1">
      <alignment vertical="center"/>
    </xf>
    <xf numFmtId="0" fontId="6" fillId="19" borderId="124" xfId="0" applyFont="1" applyFill="1" applyBorder="1" applyProtection="1"/>
    <xf numFmtId="49" fontId="6" fillId="19" borderId="98" xfId="0" applyNumberFormat="1" applyFont="1" applyFill="1" applyBorder="1" applyAlignment="1" applyProtection="1">
      <alignment horizontal="left"/>
    </xf>
    <xf numFmtId="49" fontId="6" fillId="19" borderId="127" xfId="0" applyNumberFormat="1" applyFont="1" applyFill="1" applyBorder="1" applyAlignment="1" applyProtection="1">
      <alignment horizontal="left" vertical="top"/>
    </xf>
    <xf numFmtId="49" fontId="3" fillId="10" borderId="159" xfId="0" applyNumberFormat="1" applyFont="1" applyFill="1" applyBorder="1" applyAlignment="1" applyProtection="1"/>
    <xf numFmtId="0" fontId="48" fillId="0" borderId="0" xfId="0" applyNumberFormat="1" applyFont="1" applyFill="1" applyBorder="1" applyAlignment="1" applyProtection="1">
      <alignment horizontal="right"/>
    </xf>
    <xf numFmtId="0" fontId="0" fillId="0" borderId="0" xfId="0" applyFill="1" applyAlignment="1" applyProtection="1">
      <alignment vertical="top"/>
    </xf>
    <xf numFmtId="0" fontId="125" fillId="0" borderId="0" xfId="0" applyFont="1" applyFill="1" applyBorder="1" applyAlignment="1" applyProtection="1">
      <alignment horizontal="right"/>
    </xf>
    <xf numFmtId="0" fontId="103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125" fillId="0" borderId="0" xfId="0" applyFont="1" applyFill="1" applyBorder="1" applyAlignment="1" applyProtection="1">
      <alignment horizontal="left"/>
    </xf>
    <xf numFmtId="9" fontId="125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1" fontId="6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right"/>
    </xf>
    <xf numFmtId="0" fontId="107" fillId="0" borderId="0" xfId="0" applyFont="1" applyFill="1" applyBorder="1" applyProtection="1"/>
    <xf numFmtId="0" fontId="8" fillId="0" borderId="0" xfId="0" applyFont="1" applyFill="1" applyBorder="1" applyAlignment="1" applyProtection="1"/>
    <xf numFmtId="3" fontId="6" fillId="0" borderId="0" xfId="0" applyNumberFormat="1" applyFont="1" applyFill="1" applyBorder="1" applyProtection="1"/>
    <xf numFmtId="3" fontId="6" fillId="0" borderId="0" xfId="0" applyNumberFormat="1" applyFont="1" applyFill="1" applyBorder="1" applyAlignment="1" applyProtection="1">
      <alignment horizontal="center" vertical="center" wrapText="1"/>
    </xf>
    <xf numFmtId="49" fontId="4" fillId="19" borderId="9" xfId="0" applyNumberFormat="1" applyFont="1" applyFill="1" applyBorder="1" applyAlignment="1" applyProtection="1">
      <alignment horizontal="left"/>
    </xf>
    <xf numFmtId="1" fontId="4" fillId="0" borderId="0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3" fontId="4" fillId="19" borderId="75" xfId="0" applyNumberFormat="1" applyFont="1" applyFill="1" applyBorder="1" applyAlignment="1" applyProtection="1"/>
    <xf numFmtId="3" fontId="9" fillId="19" borderId="76" xfId="0" applyNumberFormat="1" applyFont="1" applyFill="1" applyBorder="1" applyAlignment="1" applyProtection="1"/>
    <xf numFmtId="3" fontId="9" fillId="19" borderId="92" xfId="0" applyNumberFormat="1" applyFont="1" applyFill="1" applyBorder="1" applyAlignment="1" applyProtection="1"/>
    <xf numFmtId="3" fontId="3" fillId="0" borderId="206" xfId="0" applyNumberFormat="1" applyFont="1" applyFill="1" applyBorder="1" applyAlignment="1" applyProtection="1">
      <alignment horizontal="right"/>
      <protection locked="0"/>
    </xf>
    <xf numFmtId="49" fontId="4" fillId="0" borderId="0" xfId="10" applyNumberFormat="1" applyFont="1" applyFill="1" applyAlignment="1" applyProtection="1">
      <alignment horizontal="left"/>
    </xf>
    <xf numFmtId="0" fontId="4" fillId="19" borderId="207" xfId="0" applyFont="1" applyFill="1" applyBorder="1" applyAlignment="1" applyProtection="1">
      <alignment horizontal="left"/>
    </xf>
    <xf numFmtId="1" fontId="4" fillId="19" borderId="25" xfId="0" applyNumberFormat="1" applyFont="1" applyFill="1" applyBorder="1" applyAlignment="1" applyProtection="1">
      <alignment horizontal="left"/>
    </xf>
    <xf numFmtId="0" fontId="9" fillId="19" borderId="84" xfId="0" applyFont="1" applyFill="1" applyBorder="1" applyProtection="1"/>
    <xf numFmtId="0" fontId="4" fillId="19" borderId="70" xfId="0" applyFont="1" applyFill="1" applyBorder="1" applyProtection="1"/>
    <xf numFmtId="0" fontId="6" fillId="19" borderId="13" xfId="0" applyFont="1" applyFill="1" applyBorder="1" applyAlignment="1" applyProtection="1">
      <alignment vertical="top" wrapText="1"/>
    </xf>
    <xf numFmtId="0" fontId="15" fillId="19" borderId="25" xfId="0" applyFont="1" applyFill="1" applyBorder="1" applyProtection="1"/>
    <xf numFmtId="0" fontId="6" fillId="19" borderId="84" xfId="0" applyFont="1" applyFill="1" applyBorder="1" applyAlignment="1" applyProtection="1">
      <alignment wrapText="1"/>
    </xf>
    <xf numFmtId="1" fontId="4" fillId="19" borderId="13" xfId="0" applyNumberFormat="1" applyFont="1" applyFill="1" applyBorder="1" applyAlignment="1" applyProtection="1">
      <alignment horizontal="center"/>
    </xf>
    <xf numFmtId="0" fontId="4" fillId="19" borderId="13" xfId="0" applyFont="1" applyFill="1" applyBorder="1" applyProtection="1"/>
    <xf numFmtId="1" fontId="9" fillId="0" borderId="0" xfId="0" applyNumberFormat="1" applyFont="1" applyFill="1" applyBorder="1" applyAlignment="1" applyProtection="1">
      <alignment horizontal="center"/>
    </xf>
    <xf numFmtId="0" fontId="130" fillId="2" borderId="0" xfId="0" applyFont="1" applyFill="1" applyBorder="1" applyProtection="1"/>
    <xf numFmtId="0" fontId="130" fillId="27" borderId="0" xfId="0" applyFont="1" applyFill="1" applyProtection="1"/>
    <xf numFmtId="0" fontId="130" fillId="2" borderId="0" xfId="0" applyFont="1" applyFill="1" applyProtection="1"/>
    <xf numFmtId="0" fontId="6" fillId="19" borderId="194" xfId="6" applyFont="1" applyFill="1" applyBorder="1" applyProtection="1"/>
    <xf numFmtId="3" fontId="6" fillId="19" borderId="158" xfId="6" applyNumberFormat="1" applyFont="1" applyFill="1" applyBorder="1" applyProtection="1"/>
    <xf numFmtId="0" fontId="13" fillId="19" borderId="160" xfId="6" applyFont="1" applyFill="1" applyBorder="1" applyProtection="1"/>
    <xf numFmtId="0" fontId="4" fillId="19" borderId="16" xfId="6" applyFont="1" applyFill="1" applyBorder="1" applyAlignment="1" applyProtection="1">
      <alignment vertical="top" wrapText="1"/>
    </xf>
    <xf numFmtId="3" fontId="6" fillId="19" borderId="160" xfId="0" applyNumberFormat="1" applyFont="1" applyFill="1" applyBorder="1" applyAlignment="1" applyProtection="1">
      <alignment vertical="top"/>
    </xf>
    <xf numFmtId="3" fontId="4" fillId="19" borderId="94" xfId="6" applyNumberFormat="1" applyFont="1" applyFill="1" applyBorder="1" applyAlignment="1" applyProtection="1"/>
    <xf numFmtId="167" fontId="10" fillId="0" borderId="0" xfId="0" applyNumberFormat="1" applyFont="1" applyFill="1" applyBorder="1" applyProtection="1"/>
    <xf numFmtId="0" fontId="112" fillId="0" borderId="0" xfId="0" applyFont="1" applyFill="1" applyBorder="1" applyProtection="1"/>
    <xf numFmtId="0" fontId="112" fillId="0" borderId="0" xfId="0" applyFont="1" applyFill="1" applyBorder="1" applyAlignment="1" applyProtection="1">
      <alignment horizontal="center"/>
    </xf>
    <xf numFmtId="0" fontId="4" fillId="19" borderId="156" xfId="0" applyFont="1" applyFill="1" applyBorder="1" applyAlignment="1" applyProtection="1">
      <alignment horizontal="left" vertical="top" wrapText="1"/>
    </xf>
    <xf numFmtId="0" fontId="4" fillId="19" borderId="91" xfId="0" applyFont="1" applyFill="1" applyBorder="1" applyAlignment="1" applyProtection="1">
      <alignment horizontal="left" vertical="top"/>
    </xf>
    <xf numFmtId="3" fontId="9" fillId="19" borderId="26" xfId="0" applyNumberFormat="1" applyFont="1" applyFill="1" applyBorder="1" applyProtection="1"/>
    <xf numFmtId="3" fontId="4" fillId="19" borderId="26" xfId="0" applyNumberFormat="1" applyFont="1" applyFill="1" applyBorder="1" applyAlignment="1" applyProtection="1">
      <alignment vertical="top" wrapText="1"/>
    </xf>
    <xf numFmtId="0" fontId="16" fillId="19" borderId="160" xfId="0" applyFont="1" applyFill="1" applyBorder="1" applyAlignment="1" applyProtection="1">
      <alignment vertical="top" wrapText="1"/>
    </xf>
    <xf numFmtId="0" fontId="4" fillId="19" borderId="175" xfId="0" applyFont="1" applyFill="1" applyBorder="1" applyAlignment="1" applyProtection="1">
      <alignment horizontal="left" wrapText="1"/>
    </xf>
    <xf numFmtId="0" fontId="16" fillId="19" borderId="159" xfId="0" applyFont="1" applyFill="1" applyBorder="1" applyAlignment="1" applyProtection="1">
      <alignment vertical="top" wrapText="1"/>
    </xf>
    <xf numFmtId="0" fontId="35" fillId="2" borderId="0" xfId="0" applyNumberFormat="1" applyFont="1" applyFill="1" applyBorder="1" applyAlignment="1" applyProtection="1">
      <alignment horizontal="center"/>
    </xf>
    <xf numFmtId="0" fontId="4" fillId="19" borderId="16" xfId="6" applyFont="1" applyFill="1" applyBorder="1" applyAlignment="1" applyProtection="1">
      <alignment horizontal="left" vertical="center" wrapText="1"/>
    </xf>
    <xf numFmtId="3" fontId="4" fillId="19" borderId="162" xfId="0" applyNumberFormat="1" applyFont="1" applyFill="1" applyBorder="1" applyAlignment="1" applyProtection="1">
      <alignment horizontal="left" vertical="top"/>
    </xf>
    <xf numFmtId="3" fontId="3" fillId="2" borderId="3" xfId="0" applyNumberFormat="1" applyFont="1" applyFill="1" applyBorder="1" applyAlignment="1" applyProtection="1">
      <alignment horizontal="right"/>
      <protection locked="0"/>
    </xf>
    <xf numFmtId="3" fontId="3" fillId="3" borderId="3" xfId="0" applyNumberFormat="1" applyFont="1" applyFill="1" applyBorder="1" applyAlignment="1" applyProtection="1">
      <alignment horizontal="right"/>
    </xf>
    <xf numFmtId="3" fontId="3" fillId="2" borderId="28" xfId="0" applyNumberFormat="1" applyFont="1" applyFill="1" applyBorder="1" applyAlignment="1" applyProtection="1">
      <alignment horizontal="right"/>
      <protection locked="0"/>
    </xf>
    <xf numFmtId="3" fontId="3" fillId="3" borderId="103" xfId="0" applyNumberFormat="1" applyFont="1" applyFill="1" applyBorder="1" applyAlignment="1" applyProtection="1">
      <alignment horizontal="right"/>
    </xf>
    <xf numFmtId="3" fontId="4" fillId="19" borderId="78" xfId="0" applyNumberFormat="1" applyFont="1" applyFill="1" applyBorder="1" applyProtection="1"/>
    <xf numFmtId="3" fontId="6" fillId="0" borderId="58" xfId="0" applyNumberFormat="1" applyFont="1" applyFill="1" applyBorder="1" applyProtection="1"/>
    <xf numFmtId="3" fontId="6" fillId="0" borderId="57" xfId="0" applyNumberFormat="1" applyFont="1" applyFill="1" applyBorder="1" applyProtection="1"/>
    <xf numFmtId="0" fontId="23" fillId="2" borderId="58" xfId="0" applyFont="1" applyFill="1" applyBorder="1" applyProtection="1"/>
    <xf numFmtId="3" fontId="47" fillId="20" borderId="131" xfId="0" applyNumberFormat="1" applyFont="1" applyFill="1" applyBorder="1" applyProtection="1"/>
    <xf numFmtId="0" fontId="4" fillId="19" borderId="112" xfId="0" applyFont="1" applyFill="1" applyBorder="1" applyProtection="1"/>
    <xf numFmtId="0" fontId="4" fillId="19" borderId="27" xfId="0" applyFont="1" applyFill="1" applyBorder="1" applyProtection="1"/>
    <xf numFmtId="3" fontId="3" fillId="20" borderId="0" xfId="0" applyNumberFormat="1" applyFont="1" applyFill="1" applyBorder="1" applyAlignment="1" applyProtection="1">
      <alignment horizontal="right"/>
    </xf>
    <xf numFmtId="0" fontId="3" fillId="19" borderId="57" xfId="0" applyFont="1" applyFill="1" applyBorder="1" applyProtection="1"/>
    <xf numFmtId="0" fontId="4" fillId="19" borderId="57" xfId="0" applyFont="1" applyFill="1" applyBorder="1" applyAlignment="1" applyProtection="1">
      <alignment horizontal="center"/>
    </xf>
    <xf numFmtId="0" fontId="3" fillId="20" borderId="0" xfId="0" applyFont="1" applyFill="1" applyBorder="1" applyProtection="1"/>
    <xf numFmtId="0" fontId="3" fillId="20" borderId="57" xfId="0" applyFont="1" applyFill="1" applyBorder="1" applyProtection="1"/>
    <xf numFmtId="14" fontId="4" fillId="19" borderId="124" xfId="0" applyNumberFormat="1" applyFont="1" applyFill="1" applyBorder="1" applyAlignment="1" applyProtection="1">
      <alignment horizontal="center"/>
    </xf>
    <xf numFmtId="14" fontId="4" fillId="19" borderId="121" xfId="0" applyNumberFormat="1" applyFont="1" applyFill="1" applyBorder="1" applyAlignment="1" applyProtection="1">
      <alignment horizontal="center"/>
    </xf>
    <xf numFmtId="0" fontId="4" fillId="19" borderId="101" xfId="0" applyFont="1" applyFill="1" applyBorder="1" applyProtection="1"/>
    <xf numFmtId="14" fontId="4" fillId="19" borderId="95" xfId="0" applyNumberFormat="1" applyFont="1" applyFill="1" applyBorder="1" applyAlignment="1" applyProtection="1">
      <alignment horizontal="center"/>
    </xf>
    <xf numFmtId="3" fontId="3" fillId="20" borderId="39" xfId="0" applyNumberFormat="1" applyFont="1" applyFill="1" applyBorder="1" applyAlignment="1" applyProtection="1">
      <alignment horizontal="right"/>
    </xf>
    <xf numFmtId="0" fontId="3" fillId="20" borderId="39" xfId="0" applyFont="1" applyFill="1" applyBorder="1" applyProtection="1"/>
    <xf numFmtId="0" fontId="3" fillId="20" borderId="59" xfId="0" applyFont="1" applyFill="1" applyBorder="1" applyProtection="1"/>
    <xf numFmtId="0" fontId="3" fillId="19" borderId="59" xfId="0" applyFont="1" applyFill="1" applyBorder="1" applyProtection="1"/>
    <xf numFmtId="14" fontId="4" fillId="19" borderId="0" xfId="0" applyNumberFormat="1" applyFont="1" applyFill="1" applyBorder="1" applyAlignment="1" applyProtection="1">
      <alignment horizontal="center"/>
    </xf>
    <xf numFmtId="0" fontId="4" fillId="19" borderId="39" xfId="0" applyFont="1" applyFill="1" applyBorder="1" applyProtection="1"/>
    <xf numFmtId="0" fontId="4" fillId="19" borderId="67" xfId="0" applyFont="1" applyFill="1" applyBorder="1" applyProtection="1"/>
    <xf numFmtId="0" fontId="4" fillId="19" borderId="171" xfId="0" applyFont="1" applyFill="1" applyBorder="1" applyProtection="1"/>
    <xf numFmtId="0" fontId="3" fillId="19" borderId="27" xfId="0" applyFont="1" applyFill="1" applyBorder="1" applyProtection="1"/>
    <xf numFmtId="14" fontId="4" fillId="19" borderId="57" xfId="0" applyNumberFormat="1" applyFont="1" applyFill="1" applyBorder="1" applyAlignment="1" applyProtection="1">
      <alignment horizontal="center"/>
    </xf>
    <xf numFmtId="14" fontId="4" fillId="19" borderId="39" xfId="0" applyNumberFormat="1" applyFont="1" applyFill="1" applyBorder="1" applyAlignment="1" applyProtection="1">
      <alignment horizontal="center"/>
    </xf>
    <xf numFmtId="49" fontId="3" fillId="10" borderId="37" xfId="0" applyNumberFormat="1" applyFont="1" applyFill="1" applyBorder="1" applyAlignment="1" applyProtection="1"/>
    <xf numFmtId="0" fontId="4" fillId="19" borderId="113" xfId="0" applyFont="1" applyFill="1" applyBorder="1" applyProtection="1"/>
    <xf numFmtId="0" fontId="4" fillId="19" borderId="68" xfId="0" applyFont="1" applyFill="1" applyBorder="1" applyAlignment="1" applyProtection="1">
      <alignment wrapText="1"/>
    </xf>
    <xf numFmtId="0" fontId="4" fillId="19" borderId="160" xfId="0" applyFont="1" applyFill="1" applyBorder="1" applyAlignment="1" applyProtection="1">
      <alignment vertical="top" wrapText="1"/>
    </xf>
    <xf numFmtId="1" fontId="4" fillId="19" borderId="2" xfId="0" applyNumberFormat="1" applyFont="1" applyFill="1" applyBorder="1" applyAlignment="1" applyProtection="1">
      <alignment horizontal="center" vertical="center" wrapText="1"/>
    </xf>
    <xf numFmtId="0" fontId="4" fillId="19" borderId="38" xfId="0" applyFont="1" applyFill="1" applyBorder="1" applyAlignment="1" applyProtection="1">
      <alignment horizontal="center"/>
    </xf>
    <xf numFmtId="49" fontId="4" fillId="19" borderId="133" xfId="0" applyNumberFormat="1" applyFont="1" applyFill="1" applyBorder="1" applyAlignment="1" applyProtection="1">
      <alignment horizontal="center" wrapText="1"/>
    </xf>
    <xf numFmtId="49" fontId="131" fillId="19" borderId="5" xfId="0" applyNumberFormat="1" applyFont="1" applyFill="1" applyBorder="1" applyAlignment="1" applyProtection="1">
      <alignment horizontal="center"/>
    </xf>
    <xf numFmtId="49" fontId="4" fillId="19" borderId="42" xfId="0" applyNumberFormat="1" applyFont="1" applyFill="1" applyBorder="1" applyAlignment="1" applyProtection="1">
      <alignment horizontal="center" wrapText="1"/>
    </xf>
    <xf numFmtId="49" fontId="4" fillId="19" borderId="132" xfId="0" applyNumberFormat="1" applyFont="1" applyFill="1" applyBorder="1" applyAlignment="1" applyProtection="1">
      <alignment horizontal="center"/>
    </xf>
    <xf numFmtId="49" fontId="4" fillId="19" borderId="133" xfId="0" applyNumberFormat="1" applyFont="1" applyFill="1" applyBorder="1" applyAlignment="1" applyProtection="1">
      <alignment horizontal="center"/>
    </xf>
    <xf numFmtId="0" fontId="4" fillId="19" borderId="157" xfId="0" applyFont="1" applyFill="1" applyBorder="1" applyAlignment="1" applyProtection="1">
      <alignment horizontal="center"/>
    </xf>
    <xf numFmtId="0" fontId="4" fillId="19" borderId="5" xfId="0" applyFont="1" applyFill="1" applyBorder="1" applyAlignment="1" applyProtection="1">
      <alignment horizontal="center" wrapText="1"/>
    </xf>
    <xf numFmtId="49" fontId="4" fillId="19" borderId="34" xfId="0" applyNumberFormat="1" applyFont="1" applyFill="1" applyBorder="1" applyAlignment="1" applyProtection="1">
      <alignment horizontal="center"/>
    </xf>
    <xf numFmtId="49" fontId="4" fillId="19" borderId="35" xfId="0" applyNumberFormat="1" applyFont="1" applyFill="1" applyBorder="1" applyAlignment="1" applyProtection="1">
      <alignment horizontal="center"/>
    </xf>
    <xf numFmtId="49" fontId="4" fillId="19" borderId="106" xfId="0" applyNumberFormat="1" applyFont="1" applyFill="1" applyBorder="1" applyAlignment="1" applyProtection="1">
      <alignment horizontal="center"/>
    </xf>
    <xf numFmtId="1" fontId="4" fillId="19" borderId="70" xfId="0" applyNumberFormat="1" applyFont="1" applyFill="1" applyBorder="1" applyAlignment="1" applyProtection="1">
      <alignment horizontal="center"/>
    </xf>
    <xf numFmtId="1" fontId="4" fillId="19" borderId="2" xfId="0" applyNumberFormat="1" applyFont="1" applyFill="1" applyBorder="1" applyAlignment="1" applyProtection="1">
      <alignment horizontal="center" wrapText="1"/>
    </xf>
    <xf numFmtId="1" fontId="120" fillId="19" borderId="2" xfId="0" applyNumberFormat="1" applyFont="1" applyFill="1" applyBorder="1" applyAlignment="1" applyProtection="1">
      <alignment horizontal="center" wrapText="1"/>
    </xf>
    <xf numFmtId="0" fontId="4" fillId="19" borderId="76" xfId="0" applyFont="1" applyFill="1" applyBorder="1" applyAlignment="1" applyProtection="1">
      <alignment horizontal="center" wrapText="1"/>
    </xf>
    <xf numFmtId="0" fontId="9" fillId="0" borderId="0" xfId="0" applyFont="1" applyFill="1" applyProtection="1"/>
    <xf numFmtId="1" fontId="4" fillId="19" borderId="42" xfId="0" applyNumberFormat="1" applyFont="1" applyFill="1" applyBorder="1" applyAlignment="1" applyProtection="1">
      <alignment horizontal="center" vertical="top" wrapText="1"/>
    </xf>
    <xf numFmtId="49" fontId="4" fillId="19" borderId="14" xfId="0" applyNumberFormat="1" applyFont="1" applyFill="1" applyBorder="1" applyAlignment="1" applyProtection="1">
      <alignment horizontal="center"/>
    </xf>
    <xf numFmtId="49" fontId="4" fillId="19" borderId="9" xfId="0" applyNumberFormat="1" applyFont="1" applyFill="1" applyBorder="1" applyAlignment="1" applyProtection="1">
      <alignment horizontal="center"/>
    </xf>
    <xf numFmtId="0" fontId="4" fillId="19" borderId="91" xfId="0" applyFont="1" applyFill="1" applyBorder="1" applyAlignment="1" applyProtection="1">
      <alignment horizontal="center"/>
    </xf>
    <xf numFmtId="1" fontId="4" fillId="19" borderId="25" xfId="0" applyNumberFormat="1" applyFont="1" applyFill="1" applyBorder="1" applyAlignment="1" applyProtection="1">
      <alignment horizontal="center"/>
    </xf>
    <xf numFmtId="0" fontId="16" fillId="19" borderId="72" xfId="0" applyFont="1" applyFill="1" applyBorder="1" applyAlignment="1" applyProtection="1">
      <alignment horizontal="center" vertical="center"/>
    </xf>
    <xf numFmtId="0" fontId="4" fillId="19" borderId="91" xfId="0" applyFont="1" applyFill="1" applyBorder="1" applyAlignment="1" applyProtection="1">
      <alignment horizontal="left" vertical="top" wrapText="1"/>
    </xf>
    <xf numFmtId="3" fontId="4" fillId="19" borderId="25" xfId="0" applyNumberFormat="1" applyFont="1" applyFill="1" applyBorder="1" applyAlignment="1" applyProtection="1">
      <alignment horizontal="left" vertical="top" wrapText="1"/>
    </xf>
    <xf numFmtId="3" fontId="4" fillId="19" borderId="76" xfId="0" applyNumberFormat="1" applyFont="1" applyFill="1" applyBorder="1" applyAlignment="1" applyProtection="1"/>
    <xf numFmtId="3" fontId="4" fillId="19" borderId="92" xfId="0" applyNumberFormat="1" applyFont="1" applyFill="1" applyBorder="1" applyAlignment="1" applyProtection="1"/>
    <xf numFmtId="0" fontId="4" fillId="28" borderId="101" xfId="0" applyFont="1" applyFill="1" applyBorder="1" applyAlignment="1" applyProtection="1">
      <alignment horizontal="left" vertical="top" wrapText="1"/>
    </xf>
    <xf numFmtId="0" fontId="4" fillId="28" borderId="117" xfId="0" applyFont="1" applyFill="1" applyBorder="1" applyAlignment="1" applyProtection="1">
      <alignment horizontal="left" vertical="top"/>
    </xf>
    <xf numFmtId="0" fontId="0" fillId="28" borderId="44" xfId="0" applyFill="1" applyBorder="1" applyProtection="1"/>
    <xf numFmtId="0" fontId="4" fillId="28" borderId="16" xfId="0" applyFont="1" applyFill="1" applyBorder="1" applyAlignment="1" applyProtection="1">
      <alignment horizontal="left" vertical="top" wrapText="1"/>
    </xf>
    <xf numFmtId="3" fontId="4" fillId="28" borderId="169" xfId="0" applyNumberFormat="1" applyFont="1" applyFill="1" applyBorder="1" applyProtection="1"/>
    <xf numFmtId="3" fontId="4" fillId="28" borderId="101" xfId="0" applyNumberFormat="1" applyFont="1" applyFill="1" applyBorder="1" applyAlignment="1" applyProtection="1">
      <alignment horizontal="left" vertical="top" wrapText="1"/>
    </xf>
    <xf numFmtId="0" fontId="4" fillId="28" borderId="120" xfId="0" applyFont="1" applyFill="1" applyBorder="1" applyAlignment="1" applyProtection="1">
      <alignment horizontal="left" vertical="top" wrapText="1"/>
    </xf>
    <xf numFmtId="3" fontId="4" fillId="28" borderId="118" xfId="0" applyNumberFormat="1" applyFont="1" applyFill="1" applyBorder="1" applyAlignment="1" applyProtection="1">
      <alignment horizontal="left" wrapText="1"/>
    </xf>
    <xf numFmtId="49" fontId="4" fillId="28" borderId="118" xfId="0" applyNumberFormat="1" applyFont="1" applyFill="1" applyBorder="1" applyAlignment="1" applyProtection="1">
      <alignment vertical="top"/>
    </xf>
    <xf numFmtId="3" fontId="4" fillId="28" borderId="101" xfId="0" applyNumberFormat="1" applyFont="1" applyFill="1" applyBorder="1" applyAlignment="1" applyProtection="1">
      <alignment vertical="top"/>
    </xf>
    <xf numFmtId="3" fontId="4" fillId="28" borderId="88" xfId="0" applyNumberFormat="1" applyFont="1" applyFill="1" applyBorder="1" applyAlignment="1" applyProtection="1">
      <alignment vertical="top" wrapText="1"/>
    </xf>
    <xf numFmtId="3" fontId="4" fillId="28" borderId="16" xfId="0" applyNumberFormat="1" applyFont="1" applyFill="1" applyBorder="1" applyAlignment="1" applyProtection="1">
      <alignment horizontal="left" vertical="top" wrapText="1"/>
    </xf>
    <xf numFmtId="0" fontId="4" fillId="28" borderId="155" xfId="0" applyFont="1" applyFill="1" applyBorder="1" applyAlignment="1" applyProtection="1">
      <alignment horizontal="left" vertical="top" wrapText="1"/>
    </xf>
    <xf numFmtId="3" fontId="4" fillId="28" borderId="15" xfId="0" applyNumberFormat="1" applyFont="1" applyFill="1" applyBorder="1" applyAlignment="1" applyProtection="1">
      <alignment horizontal="left" vertical="top" wrapText="1"/>
    </xf>
    <xf numFmtId="0" fontId="12" fillId="28" borderId="0" xfId="0" applyFont="1" applyFill="1" applyBorder="1" applyProtection="1"/>
    <xf numFmtId="3" fontId="4" fillId="28" borderId="16" xfId="0" applyNumberFormat="1" applyFont="1" applyFill="1" applyBorder="1" applyAlignment="1" applyProtection="1">
      <alignment vertical="top"/>
    </xf>
    <xf numFmtId="3" fontId="9" fillId="28" borderId="60" xfId="0" applyNumberFormat="1" applyFont="1" applyFill="1" applyBorder="1" applyProtection="1"/>
    <xf numFmtId="0" fontId="6" fillId="28" borderId="44" xfId="0" applyFont="1" applyFill="1" applyBorder="1" applyProtection="1"/>
    <xf numFmtId="3" fontId="9" fillId="28" borderId="16" xfId="0" applyNumberFormat="1" applyFont="1" applyFill="1" applyBorder="1" applyAlignment="1" applyProtection="1">
      <alignment horizontal="left"/>
    </xf>
    <xf numFmtId="0" fontId="9" fillId="28" borderId="169" xfId="0" applyFont="1" applyFill="1" applyBorder="1" applyProtection="1"/>
    <xf numFmtId="3" fontId="9" fillId="28" borderId="155" xfId="0" applyNumberFormat="1" applyFont="1" applyFill="1" applyBorder="1" applyAlignment="1" applyProtection="1">
      <alignment horizontal="left" vertical="top"/>
    </xf>
    <xf numFmtId="0" fontId="0" fillId="28" borderId="0" xfId="0" applyFill="1" applyBorder="1" applyAlignment="1" applyProtection="1">
      <alignment vertical="top" wrapText="1"/>
    </xf>
    <xf numFmtId="0" fontId="12" fillId="28" borderId="16" xfId="0" applyFont="1" applyFill="1" applyBorder="1" applyProtection="1"/>
    <xf numFmtId="0" fontId="9" fillId="28" borderId="60" xfId="0" applyFont="1" applyFill="1" applyBorder="1" applyProtection="1"/>
    <xf numFmtId="0" fontId="12" fillId="28" borderId="62" xfId="0" applyFont="1" applyFill="1" applyBorder="1" applyProtection="1"/>
    <xf numFmtId="0" fontId="9" fillId="28" borderId="150" xfId="0" applyFont="1" applyFill="1" applyBorder="1" applyProtection="1"/>
    <xf numFmtId="0" fontId="9" fillId="28" borderId="42" xfId="0" applyFont="1" applyFill="1" applyBorder="1" applyProtection="1"/>
    <xf numFmtId="3" fontId="9" fillId="28" borderId="150" xfId="0" applyNumberFormat="1" applyFont="1" applyFill="1" applyBorder="1" applyProtection="1"/>
    <xf numFmtId="3" fontId="4" fillId="28" borderId="15" xfId="0" applyNumberFormat="1" applyFont="1" applyFill="1" applyBorder="1" applyAlignment="1" applyProtection="1">
      <alignment horizontal="left" vertical="top"/>
    </xf>
    <xf numFmtId="49" fontId="9" fillId="28" borderId="89" xfId="0" applyNumberFormat="1" applyFont="1" applyFill="1" applyBorder="1" applyProtection="1"/>
    <xf numFmtId="0" fontId="9" fillId="28" borderId="90" xfId="0" applyFont="1" applyFill="1" applyBorder="1" applyProtection="1"/>
    <xf numFmtId="0" fontId="4" fillId="28" borderId="127" xfId="0" applyFont="1" applyFill="1" applyBorder="1" applyAlignment="1" applyProtection="1">
      <alignment vertical="top" wrapText="1"/>
    </xf>
    <xf numFmtId="0" fontId="4" fillId="28" borderId="15" xfId="0" applyFont="1" applyFill="1" applyBorder="1" applyAlignment="1" applyProtection="1">
      <alignment vertical="top" wrapText="1"/>
    </xf>
    <xf numFmtId="3" fontId="4" fillId="28" borderId="60" xfId="0" applyNumberFormat="1" applyFont="1" applyFill="1" applyBorder="1" applyAlignment="1" applyProtection="1">
      <alignment vertical="top" wrapText="1"/>
    </xf>
    <xf numFmtId="0" fontId="9" fillId="28" borderId="127" xfId="0" applyFont="1" applyFill="1" applyBorder="1" applyProtection="1"/>
    <xf numFmtId="0" fontId="9" fillId="28" borderId="15" xfId="0" applyFont="1" applyFill="1" applyBorder="1" applyProtection="1"/>
    <xf numFmtId="0" fontId="9" fillId="28" borderId="116" xfId="0" applyFont="1" applyFill="1" applyBorder="1" applyProtection="1"/>
    <xf numFmtId="3" fontId="3" fillId="2" borderId="0" xfId="0" applyNumberFormat="1" applyFont="1" applyFill="1" applyBorder="1" applyAlignment="1" applyProtection="1">
      <alignment horizontal="right"/>
      <protection locked="0"/>
    </xf>
    <xf numFmtId="0" fontId="6" fillId="19" borderId="191" xfId="0" applyFont="1" applyFill="1" applyBorder="1" applyAlignment="1" applyProtection="1">
      <alignment horizontal="left"/>
    </xf>
    <xf numFmtId="0" fontId="4" fillId="19" borderId="35" xfId="0" applyFont="1" applyFill="1" applyBorder="1" applyAlignment="1" applyProtection="1">
      <alignment horizontal="left"/>
    </xf>
    <xf numFmtId="3" fontId="3" fillId="2" borderId="40" xfId="0" applyNumberFormat="1" applyFont="1" applyFill="1" applyBorder="1" applyAlignment="1" applyProtection="1">
      <alignment horizontal="right"/>
      <protection locked="0"/>
    </xf>
    <xf numFmtId="0" fontId="4" fillId="19" borderId="12" xfId="0" applyFont="1" applyFill="1" applyBorder="1" applyAlignment="1" applyProtection="1">
      <alignment horizontal="left"/>
    </xf>
    <xf numFmtId="0" fontId="6" fillId="19" borderId="25" xfId="0" applyFont="1" applyFill="1" applyBorder="1" applyAlignment="1" applyProtection="1">
      <alignment horizontal="left"/>
    </xf>
    <xf numFmtId="3" fontId="3" fillId="2" borderId="208" xfId="0" applyNumberFormat="1" applyFont="1" applyFill="1" applyBorder="1" applyAlignment="1" applyProtection="1">
      <alignment horizontal="right"/>
      <protection locked="0"/>
    </xf>
    <xf numFmtId="0" fontId="4" fillId="19" borderId="164" xfId="0" applyFont="1" applyFill="1" applyBorder="1" applyAlignment="1" applyProtection="1">
      <alignment horizontal="left" wrapText="1"/>
    </xf>
    <xf numFmtId="49" fontId="4" fillId="0" borderId="209" xfId="0" applyNumberFormat="1" applyFont="1" applyFill="1" applyBorder="1" applyAlignment="1" applyProtection="1">
      <alignment horizontal="left"/>
    </xf>
    <xf numFmtId="3" fontId="4" fillId="19" borderId="15" xfId="0" applyNumberFormat="1" applyFont="1" applyFill="1" applyBorder="1" applyAlignment="1" applyProtection="1">
      <alignment horizontal="left" wrapText="1"/>
    </xf>
    <xf numFmtId="0" fontId="76" fillId="2" borderId="0" xfId="0" applyFont="1" applyFill="1" applyAlignment="1" applyProtection="1"/>
    <xf numFmtId="49" fontId="67" fillId="0" borderId="0" xfId="0" applyNumberFormat="1" applyFont="1" applyFill="1" applyAlignment="1" applyProtection="1"/>
    <xf numFmtId="3" fontId="6" fillId="19" borderId="118" xfId="0" applyNumberFormat="1" applyFont="1" applyFill="1" applyBorder="1" applyAlignment="1" applyProtection="1">
      <alignment horizontal="left"/>
    </xf>
    <xf numFmtId="3" fontId="6" fillId="19" borderId="15" xfId="0" applyNumberFormat="1" applyFont="1" applyFill="1" applyBorder="1" applyAlignment="1" applyProtection="1">
      <alignment horizontal="left" vertical="top" wrapText="1"/>
    </xf>
    <xf numFmtId="49" fontId="4" fillId="19" borderId="42" xfId="0" applyNumberFormat="1" applyFont="1" applyFill="1" applyBorder="1" applyAlignment="1" applyProtection="1">
      <alignment horizontal="left"/>
    </xf>
    <xf numFmtId="3" fontId="14" fillId="9" borderId="63" xfId="0" applyNumberFormat="1" applyFont="1" applyFill="1" applyBorder="1" applyProtection="1"/>
    <xf numFmtId="3" fontId="11" fillId="0" borderId="5" xfId="0" quotePrefix="1" applyNumberFormat="1" applyFont="1" applyFill="1" applyBorder="1" applyAlignment="1" applyProtection="1">
      <alignment horizontal="right"/>
      <protection locked="0"/>
    </xf>
    <xf numFmtId="0" fontId="17" fillId="2" borderId="0" xfId="0" applyFont="1" applyFill="1" applyBorder="1" applyAlignment="1" applyProtection="1"/>
    <xf numFmtId="3" fontId="132" fillId="19" borderId="0" xfId="0" applyNumberFormat="1" applyFont="1" applyFill="1" applyBorder="1" applyAlignment="1" applyProtection="1"/>
    <xf numFmtId="3" fontId="132" fillId="19" borderId="44" xfId="0" applyNumberFormat="1" applyFont="1" applyFill="1" applyBorder="1" applyAlignment="1" applyProtection="1"/>
    <xf numFmtId="0" fontId="133" fillId="2" borderId="0" xfId="0" applyFont="1" applyFill="1" applyBorder="1" applyProtection="1"/>
    <xf numFmtId="165" fontId="8" fillId="0" borderId="1" xfId="0" applyNumberFormat="1" applyFont="1" applyFill="1" applyBorder="1" applyAlignment="1" applyProtection="1">
      <alignment horizontal="center" vertical="center"/>
    </xf>
    <xf numFmtId="0" fontId="0" fillId="2" borderId="1" xfId="0" applyFill="1" applyBorder="1" applyProtection="1"/>
    <xf numFmtId="0" fontId="4" fillId="2" borderId="1" xfId="0" applyFont="1" applyFill="1" applyBorder="1" applyProtection="1"/>
    <xf numFmtId="0" fontId="4" fillId="19" borderId="35" xfId="0" applyFont="1" applyFill="1" applyBorder="1" applyProtection="1"/>
    <xf numFmtId="3" fontId="10" fillId="2" borderId="114" xfId="0" applyNumberFormat="1" applyFont="1" applyFill="1" applyBorder="1" applyProtection="1">
      <protection locked="0"/>
    </xf>
    <xf numFmtId="3" fontId="10" fillId="2" borderId="71" xfId="0" applyNumberFormat="1" applyFont="1" applyFill="1" applyBorder="1" applyProtection="1">
      <protection locked="0"/>
    </xf>
    <xf numFmtId="0" fontId="4" fillId="19" borderId="134" xfId="0" applyFont="1" applyFill="1" applyBorder="1" applyAlignment="1" applyProtection="1">
      <alignment horizontal="center"/>
    </xf>
    <xf numFmtId="0" fontId="126" fillId="0" borderId="0" xfId="0" applyFont="1" applyFill="1" applyAlignment="1" applyProtection="1">
      <alignment wrapText="1"/>
    </xf>
    <xf numFmtId="3" fontId="4" fillId="19" borderId="9" xfId="0" applyNumberFormat="1" applyFont="1" applyFill="1" applyBorder="1" applyProtection="1"/>
    <xf numFmtId="3" fontId="10" fillId="19" borderId="0" xfId="0" applyNumberFormat="1" applyFont="1" applyFill="1" applyBorder="1" applyProtection="1"/>
    <xf numFmtId="3" fontId="10" fillId="19" borderId="39" xfId="0" applyNumberFormat="1" applyFont="1" applyFill="1" applyBorder="1" applyProtection="1"/>
    <xf numFmtId="3" fontId="8" fillId="19" borderId="0" xfId="0" applyNumberFormat="1" applyFont="1" applyFill="1" applyBorder="1" applyProtection="1"/>
    <xf numFmtId="3" fontId="8" fillId="19" borderId="0" xfId="0" applyNumberFormat="1" applyFont="1" applyFill="1" applyBorder="1" applyAlignment="1" applyProtection="1">
      <alignment horizontal="left" vertical="top" wrapText="1"/>
    </xf>
    <xf numFmtId="3" fontId="3" fillId="19" borderId="47" xfId="0" applyNumberFormat="1" applyFont="1" applyFill="1" applyBorder="1" applyAlignment="1" applyProtection="1">
      <alignment horizontal="right"/>
    </xf>
    <xf numFmtId="3" fontId="3" fillId="19" borderId="159" xfId="0" applyNumberFormat="1" applyFont="1" applyFill="1" applyBorder="1" applyAlignment="1" applyProtection="1">
      <alignment horizontal="right"/>
    </xf>
    <xf numFmtId="3" fontId="3" fillId="19" borderId="46" xfId="0" applyNumberFormat="1" applyFont="1" applyFill="1" applyBorder="1" applyAlignment="1" applyProtection="1">
      <alignment horizontal="right"/>
    </xf>
    <xf numFmtId="3" fontId="3" fillId="19" borderId="131" xfId="0" applyNumberFormat="1" applyFont="1" applyFill="1" applyBorder="1" applyAlignment="1" applyProtection="1">
      <alignment horizontal="right"/>
    </xf>
    <xf numFmtId="0" fontId="10" fillId="29" borderId="210" xfId="0" applyFont="1" applyFill="1" applyBorder="1" applyAlignment="1" applyProtection="1">
      <alignment horizontal="left" vertical="center"/>
    </xf>
    <xf numFmtId="0" fontId="100" fillId="29" borderId="210" xfId="0" applyFont="1" applyFill="1" applyBorder="1" applyAlignment="1" applyProtection="1">
      <alignment horizontal="left" vertical="center"/>
    </xf>
    <xf numFmtId="3" fontId="10" fillId="0" borderId="211" xfId="0" applyNumberFormat="1" applyFont="1" applyFill="1" applyBorder="1" applyProtection="1">
      <protection locked="0"/>
    </xf>
    <xf numFmtId="0" fontId="16" fillId="28" borderId="117" xfId="0" applyFont="1" applyFill="1" applyBorder="1" applyAlignment="1" applyProtection="1">
      <alignment horizontal="center" vertical="center"/>
    </xf>
    <xf numFmtId="0" fontId="0" fillId="0" borderId="0" xfId="0" quotePrefix="1"/>
    <xf numFmtId="1" fontId="6" fillId="0" borderId="0" xfId="0" applyNumberFormat="1" applyFont="1" applyFill="1" applyBorder="1" applyAlignment="1" applyProtection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19" borderId="161" xfId="0" applyFill="1" applyBorder="1" applyAlignment="1">
      <alignment vertical="top" wrapText="1"/>
    </xf>
    <xf numFmtId="0" fontId="23" fillId="19" borderId="58" xfId="6" applyFill="1" applyBorder="1" applyAlignment="1" applyProtection="1">
      <alignment wrapText="1"/>
    </xf>
    <xf numFmtId="0" fontId="23" fillId="19" borderId="44" xfId="6" applyFill="1" applyBorder="1" applyAlignment="1" applyProtection="1">
      <alignment wrapText="1"/>
    </xf>
    <xf numFmtId="49" fontId="6" fillId="19" borderId="147" xfId="0" applyNumberFormat="1" applyFont="1" applyFill="1" applyBorder="1" applyAlignment="1" applyProtection="1">
      <alignment horizontal="center"/>
    </xf>
    <xf numFmtId="49" fontId="6" fillId="19" borderId="90" xfId="0" applyNumberFormat="1" applyFont="1" applyFill="1" applyBorder="1" applyAlignment="1" applyProtection="1">
      <alignment horizontal="center"/>
    </xf>
    <xf numFmtId="0" fontId="4" fillId="19" borderId="212" xfId="0" applyFont="1" applyFill="1" applyBorder="1" applyAlignment="1" applyProtection="1">
      <alignment horizontal="center"/>
    </xf>
    <xf numFmtId="49" fontId="4" fillId="19" borderId="150" xfId="0" applyNumberFormat="1" applyFont="1" applyFill="1" applyBorder="1" applyAlignment="1" applyProtection="1">
      <alignment horizontal="center"/>
    </xf>
    <xf numFmtId="49" fontId="4" fillId="19" borderId="162" xfId="0" applyNumberFormat="1" applyFont="1" applyFill="1" applyBorder="1" applyAlignment="1" applyProtection="1">
      <alignment horizontal="center"/>
    </xf>
    <xf numFmtId="0" fontId="4" fillId="19" borderId="35" xfId="0" applyFont="1" applyFill="1" applyBorder="1" applyAlignment="1" applyProtection="1">
      <alignment horizontal="center"/>
    </xf>
    <xf numFmtId="0" fontId="4" fillId="19" borderId="70" xfId="0" applyFont="1" applyFill="1" applyBorder="1" applyAlignment="1" applyProtection="1">
      <alignment horizontal="center"/>
    </xf>
    <xf numFmtId="3" fontId="4" fillId="19" borderId="27" xfId="0" applyNumberFormat="1" applyFont="1" applyFill="1" applyBorder="1" applyAlignment="1" applyProtection="1"/>
    <xf numFmtId="0" fontId="30" fillId="7" borderId="0" xfId="0" applyFont="1" applyFill="1" applyBorder="1" applyProtection="1"/>
    <xf numFmtId="1" fontId="16" fillId="0" borderId="0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 wrapText="1"/>
    </xf>
    <xf numFmtId="165" fontId="4" fillId="0" borderId="0" xfId="0" applyNumberFormat="1" applyFont="1" applyFill="1" applyBorder="1" applyProtection="1"/>
    <xf numFmtId="0" fontId="6" fillId="0" borderId="0" xfId="0" applyNumberFormat="1" applyFont="1" applyFill="1" applyBorder="1" applyAlignment="1" applyProtection="1">
      <alignment horizontal="center"/>
    </xf>
    <xf numFmtId="49" fontId="6" fillId="0" borderId="0" xfId="0" applyNumberFormat="1" applyFont="1" applyFill="1" applyBorder="1" applyAlignment="1" applyProtection="1">
      <alignment horizontal="center"/>
    </xf>
    <xf numFmtId="49" fontId="15" fillId="0" borderId="0" xfId="0" applyNumberFormat="1" applyFont="1" applyFill="1" applyBorder="1" applyAlignment="1" applyProtection="1">
      <alignment horizontal="center"/>
    </xf>
    <xf numFmtId="1" fontId="6" fillId="0" borderId="0" xfId="0" applyNumberFormat="1" applyFont="1" applyFill="1" applyBorder="1" applyAlignment="1" applyProtection="1">
      <alignment horizontal="center" wrapText="1"/>
    </xf>
    <xf numFmtId="3" fontId="9" fillId="0" borderId="0" xfId="0" applyNumberFormat="1" applyFont="1" applyFill="1" applyBorder="1" applyAlignment="1" applyProtection="1">
      <alignment horizontal="center"/>
    </xf>
    <xf numFmtId="3" fontId="6" fillId="0" borderId="0" xfId="0" applyNumberFormat="1" applyFont="1" applyFill="1" applyBorder="1" applyAlignment="1" applyProtection="1">
      <alignment horizontal="center"/>
    </xf>
    <xf numFmtId="3" fontId="3" fillId="20" borderId="25" xfId="0" applyNumberFormat="1" applyFont="1" applyFill="1" applyBorder="1" applyProtection="1"/>
    <xf numFmtId="3" fontId="3" fillId="20" borderId="26" xfId="0" applyNumberFormat="1" applyFont="1" applyFill="1" applyBorder="1" applyProtection="1"/>
    <xf numFmtId="0" fontId="4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left" vertical="top"/>
    </xf>
    <xf numFmtId="1" fontId="4" fillId="0" borderId="0" xfId="0" applyNumberFormat="1" applyFont="1" applyFill="1" applyBorder="1" applyAlignment="1" applyProtection="1">
      <alignment horizontal="center" vertical="top" wrapText="1"/>
    </xf>
    <xf numFmtId="2" fontId="4" fillId="0" borderId="0" xfId="0" applyNumberFormat="1" applyFont="1" applyFill="1" applyBorder="1" applyAlignment="1" applyProtection="1">
      <alignment horizontal="center" wrapText="1"/>
    </xf>
    <xf numFmtId="49" fontId="4" fillId="0" borderId="0" xfId="0" applyNumberFormat="1" applyFont="1" applyFill="1" applyBorder="1" applyAlignment="1" applyProtection="1">
      <alignment horizontal="center" wrapText="1"/>
    </xf>
    <xf numFmtId="49" fontId="132" fillId="0" borderId="0" xfId="0" applyNumberFormat="1" applyFont="1" applyFill="1" applyBorder="1" applyAlignment="1" applyProtection="1">
      <alignment horizontal="center" wrapText="1"/>
    </xf>
    <xf numFmtId="1" fontId="132" fillId="0" borderId="0" xfId="0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1" fontId="9" fillId="0" borderId="0" xfId="0" applyNumberFormat="1" applyFont="1" applyFill="1" applyBorder="1" applyAlignment="1" applyProtection="1">
      <alignment horizontal="center" vertical="center" wrapText="1"/>
    </xf>
    <xf numFmtId="3" fontId="3" fillId="2" borderId="114" xfId="0" applyNumberFormat="1" applyFont="1" applyFill="1" applyBorder="1" applyAlignment="1" applyProtection="1">
      <alignment horizontal="right"/>
      <protection locked="0"/>
    </xf>
    <xf numFmtId="3" fontId="3" fillId="2" borderId="6" xfId="0" applyNumberFormat="1" applyFont="1" applyFill="1" applyBorder="1" applyAlignment="1" applyProtection="1">
      <alignment horizontal="right"/>
      <protection locked="0"/>
    </xf>
    <xf numFmtId="49" fontId="4" fillId="19" borderId="35" xfId="0" applyNumberFormat="1" applyFont="1" applyFill="1" applyBorder="1" applyAlignment="1" applyProtection="1">
      <alignment horizontal="left" wrapText="1"/>
    </xf>
    <xf numFmtId="3" fontId="6" fillId="19" borderId="158" xfId="6" applyNumberFormat="1" applyFont="1" applyFill="1" applyBorder="1" applyAlignment="1" applyProtection="1">
      <alignment vertical="top"/>
    </xf>
    <xf numFmtId="3" fontId="5" fillId="0" borderId="0" xfId="0" applyNumberFormat="1" applyFont="1" applyFill="1" applyBorder="1" applyProtection="1"/>
    <xf numFmtId="49" fontId="13" fillId="0" borderId="0" xfId="0" applyNumberFormat="1" applyFont="1" applyFill="1" applyBorder="1" applyAlignment="1" applyProtection="1">
      <alignment horizontal="center"/>
    </xf>
    <xf numFmtId="3" fontId="4" fillId="0" borderId="0" xfId="0" applyNumberFormat="1" applyFont="1" applyFill="1" applyBorder="1" applyAlignment="1" applyProtection="1"/>
    <xf numFmtId="0" fontId="8" fillId="19" borderId="161" xfId="0" applyFont="1" applyFill="1" applyBorder="1" applyAlignment="1">
      <alignment vertical="top" wrapText="1"/>
    </xf>
    <xf numFmtId="3" fontId="4" fillId="19" borderId="119" xfId="0" applyNumberFormat="1" applyFont="1" applyFill="1" applyBorder="1" applyAlignment="1" applyProtection="1">
      <alignment wrapText="1"/>
    </xf>
    <xf numFmtId="0" fontId="0" fillId="19" borderId="150" xfId="0" applyFill="1" applyBorder="1" applyAlignment="1">
      <alignment vertical="center"/>
    </xf>
    <xf numFmtId="0" fontId="0" fillId="19" borderId="42" xfId="0" applyFill="1" applyBorder="1" applyAlignment="1">
      <alignment vertical="center"/>
    </xf>
    <xf numFmtId="0" fontId="8" fillId="19" borderId="42" xfId="0" applyFont="1" applyFill="1" applyBorder="1" applyAlignment="1" applyProtection="1"/>
    <xf numFmtId="0" fontId="0" fillId="19" borderId="163" xfId="0" applyFill="1" applyBorder="1" applyAlignment="1" applyProtection="1">
      <alignment wrapText="1"/>
    </xf>
    <xf numFmtId="0" fontId="0" fillId="19" borderId="42" xfId="0" applyFill="1" applyBorder="1" applyAlignment="1">
      <alignment vertical="center" wrapText="1"/>
    </xf>
    <xf numFmtId="0" fontId="8" fillId="19" borderId="42" xfId="0" applyFont="1" applyFill="1" applyBorder="1" applyProtection="1"/>
    <xf numFmtId="0" fontId="0" fillId="19" borderId="142" xfId="0" applyFill="1" applyBorder="1" applyAlignment="1">
      <alignment horizontal="left" vertical="center"/>
    </xf>
    <xf numFmtId="0" fontId="0" fillId="19" borderId="1" xfId="0" applyFill="1" applyBorder="1" applyAlignment="1">
      <alignment horizontal="left" vertical="center"/>
    </xf>
    <xf numFmtId="0" fontId="0" fillId="19" borderId="89" xfId="0" applyFill="1" applyBorder="1" applyAlignment="1">
      <alignment horizontal="left" vertical="center"/>
    </xf>
    <xf numFmtId="0" fontId="0" fillId="19" borderId="90" xfId="0" applyFill="1" applyBorder="1" applyAlignment="1">
      <alignment horizontal="left" wrapText="1"/>
    </xf>
    <xf numFmtId="0" fontId="6" fillId="19" borderId="159" xfId="0" applyFont="1" applyFill="1" applyBorder="1" applyAlignment="1" applyProtection="1">
      <alignment vertical="top" wrapText="1"/>
    </xf>
    <xf numFmtId="0" fontId="4" fillId="19" borderId="16" xfId="0" applyFont="1" applyFill="1" applyBorder="1" applyAlignment="1" applyProtection="1">
      <alignment vertical="center"/>
    </xf>
    <xf numFmtId="0" fontId="4" fillId="19" borderId="15" xfId="0" applyFont="1" applyFill="1" applyBorder="1" applyAlignment="1" applyProtection="1">
      <alignment vertical="center"/>
    </xf>
    <xf numFmtId="0" fontId="4" fillId="19" borderId="15" xfId="0" applyFont="1" applyFill="1" applyBorder="1" applyAlignment="1" applyProtection="1">
      <alignment vertical="center" wrapText="1"/>
    </xf>
    <xf numFmtId="0" fontId="0" fillId="19" borderId="195" xfId="0" applyFill="1" applyBorder="1" applyAlignment="1">
      <alignment horizontal="center" vertical="center"/>
    </xf>
    <xf numFmtId="0" fontId="0" fillId="19" borderId="177" xfId="0" applyFill="1" applyBorder="1" applyAlignment="1" applyProtection="1">
      <alignment vertical="top" wrapText="1"/>
    </xf>
    <xf numFmtId="0" fontId="4" fillId="19" borderId="123" xfId="0" applyFont="1" applyFill="1" applyBorder="1" applyAlignment="1" applyProtection="1">
      <alignment vertical="top"/>
    </xf>
    <xf numFmtId="0" fontId="4" fillId="19" borderId="68" xfId="0" applyFont="1" applyFill="1" applyBorder="1" applyAlignment="1" applyProtection="1">
      <alignment horizontal="left" vertical="top" wrapText="1"/>
    </xf>
    <xf numFmtId="0" fontId="16" fillId="19" borderId="169" xfId="0" applyFont="1" applyFill="1" applyBorder="1" applyAlignment="1" applyProtection="1">
      <alignment horizontal="center" vertical="center" wrapText="1"/>
    </xf>
    <xf numFmtId="0" fontId="8" fillId="19" borderId="160" xfId="0" applyFont="1" applyFill="1" applyBorder="1" applyAlignment="1" applyProtection="1"/>
    <xf numFmtId="0" fontId="4" fillId="19" borderId="15" xfId="0" applyFont="1" applyFill="1" applyBorder="1" applyAlignment="1" applyProtection="1"/>
    <xf numFmtId="0" fontId="4" fillId="19" borderId="130" xfId="0" applyFont="1" applyFill="1" applyBorder="1" applyAlignment="1" applyProtection="1">
      <alignment horizontal="left" vertical="top" wrapText="1"/>
    </xf>
    <xf numFmtId="0" fontId="4" fillId="19" borderId="128" xfId="0" applyFont="1" applyFill="1" applyBorder="1" applyAlignment="1" applyProtection="1">
      <alignment horizontal="left" vertical="top" wrapText="1"/>
    </xf>
    <xf numFmtId="0" fontId="4" fillId="19" borderId="69" xfId="0" applyFont="1" applyFill="1" applyBorder="1" applyAlignment="1" applyProtection="1">
      <alignment horizontal="left" vertical="top" wrapText="1"/>
    </xf>
    <xf numFmtId="0" fontId="4" fillId="19" borderId="58" xfId="0" applyFont="1" applyFill="1" applyBorder="1" applyAlignment="1" applyProtection="1">
      <alignment horizontal="left" vertical="center"/>
    </xf>
    <xf numFmtId="0" fontId="4" fillId="19" borderId="0" xfId="0" applyFont="1" applyFill="1" applyBorder="1" applyAlignment="1" applyProtection="1">
      <alignment horizontal="left" vertical="center"/>
    </xf>
    <xf numFmtId="0" fontId="4" fillId="19" borderId="155" xfId="0" applyFont="1" applyFill="1" applyBorder="1" applyAlignment="1" applyProtection="1">
      <alignment horizontal="left" vertical="center"/>
    </xf>
    <xf numFmtId="0" fontId="4" fillId="19" borderId="60" xfId="0" applyFont="1" applyFill="1" applyBorder="1" applyAlignment="1" applyProtection="1">
      <alignment horizontal="left" wrapText="1"/>
    </xf>
    <xf numFmtId="3" fontId="4" fillId="19" borderId="160" xfId="6" applyNumberFormat="1" applyFont="1" applyFill="1" applyBorder="1" applyAlignment="1" applyProtection="1"/>
    <xf numFmtId="3" fontId="6" fillId="19" borderId="160" xfId="6" applyNumberFormat="1" applyFont="1" applyFill="1" applyBorder="1" applyAlignment="1" applyProtection="1">
      <alignment vertical="top" wrapText="1"/>
    </xf>
    <xf numFmtId="3" fontId="4" fillId="19" borderId="169" xfId="6" applyNumberFormat="1" applyFont="1" applyFill="1" applyBorder="1" applyAlignment="1" applyProtection="1"/>
    <xf numFmtId="0" fontId="6" fillId="19" borderId="162" xfId="6" applyFont="1" applyFill="1" applyBorder="1" applyAlignment="1" applyProtection="1">
      <alignment vertical="top"/>
    </xf>
    <xf numFmtId="0" fontId="4" fillId="19" borderId="68" xfId="0" applyFont="1" applyFill="1" applyBorder="1" applyAlignment="1" applyProtection="1">
      <alignment vertical="top"/>
    </xf>
    <xf numFmtId="0" fontId="6" fillId="19" borderId="27" xfId="6" applyFont="1" applyFill="1" applyBorder="1" applyAlignment="1" applyProtection="1"/>
    <xf numFmtId="0" fontId="4" fillId="19" borderId="155" xfId="6" applyFont="1" applyFill="1" applyBorder="1" applyAlignment="1" applyProtection="1"/>
    <xf numFmtId="0" fontId="4" fillId="19" borderId="15" xfId="6" applyFont="1" applyFill="1" applyBorder="1" applyAlignment="1" applyProtection="1"/>
    <xf numFmtId="0" fontId="4" fillId="19" borderId="15" xfId="6" applyFont="1" applyFill="1" applyBorder="1" applyAlignment="1" applyProtection="1">
      <alignment horizontal="left" vertical="top" wrapText="1"/>
    </xf>
    <xf numFmtId="0" fontId="4" fillId="19" borderId="16" xfId="6" applyFont="1" applyFill="1" applyBorder="1" applyAlignment="1" applyProtection="1">
      <alignment horizontal="left" vertical="top" wrapText="1"/>
    </xf>
    <xf numFmtId="49" fontId="4" fillId="19" borderId="160" xfId="6" applyNumberFormat="1" applyFont="1" applyFill="1" applyBorder="1" applyAlignment="1" applyProtection="1">
      <alignment vertical="top"/>
    </xf>
    <xf numFmtId="0" fontId="0" fillId="19" borderId="15" xfId="0" applyFill="1" applyBorder="1" applyAlignment="1">
      <alignment vertical="top" wrapText="1"/>
    </xf>
    <xf numFmtId="0" fontId="4" fillId="19" borderId="177" xfId="0" applyFont="1" applyFill="1" applyBorder="1" applyAlignment="1" applyProtection="1">
      <alignment horizontal="left" vertical="center"/>
    </xf>
    <xf numFmtId="3" fontId="125" fillId="0" borderId="58" xfId="0" applyNumberFormat="1" applyFont="1" applyFill="1" applyBorder="1" applyProtection="1"/>
    <xf numFmtId="3" fontId="4" fillId="30" borderId="42" xfId="0" applyNumberFormat="1" applyFont="1" applyFill="1" applyBorder="1" applyAlignment="1" applyProtection="1">
      <alignment horizontal="left" vertical="top" wrapText="1"/>
    </xf>
    <xf numFmtId="3" fontId="4" fillId="19" borderId="42" xfId="0" applyNumberFormat="1" applyFont="1" applyFill="1" applyBorder="1" applyAlignment="1" applyProtection="1">
      <alignment horizontal="left" vertical="top"/>
    </xf>
    <xf numFmtId="0" fontId="0" fillId="19" borderId="44" xfId="0" applyFill="1" applyBorder="1" applyProtection="1"/>
    <xf numFmtId="0" fontId="0" fillId="19" borderId="160" xfId="0" applyFill="1" applyBorder="1" applyProtection="1"/>
    <xf numFmtId="3" fontId="36" fillId="19" borderId="182" xfId="6" quotePrefix="1" applyNumberFormat="1" applyFont="1" applyFill="1" applyBorder="1" applyAlignment="1" applyProtection="1">
      <alignment horizontal="left"/>
    </xf>
    <xf numFmtId="0" fontId="0" fillId="19" borderId="181" xfId="0" applyFill="1" applyBorder="1" applyProtection="1"/>
    <xf numFmtId="3" fontId="6" fillId="19" borderId="213" xfId="0" applyNumberFormat="1" applyFont="1" applyFill="1" applyBorder="1" applyAlignment="1" applyProtection="1">
      <alignment horizontal="left" vertical="center" wrapText="1"/>
    </xf>
    <xf numFmtId="3" fontId="3" fillId="19" borderId="109" xfId="0" applyNumberFormat="1" applyFont="1" applyFill="1" applyBorder="1" applyAlignment="1" applyProtection="1">
      <alignment horizontal="right"/>
    </xf>
    <xf numFmtId="3" fontId="3" fillId="19" borderId="108" xfId="0" applyNumberFormat="1" applyFont="1" applyFill="1" applyBorder="1" applyAlignment="1" applyProtection="1">
      <alignment horizontal="right"/>
    </xf>
    <xf numFmtId="3" fontId="3" fillId="19" borderId="158" xfId="0" applyNumberFormat="1" applyFont="1" applyFill="1" applyBorder="1" applyAlignment="1" applyProtection="1">
      <alignment horizontal="right"/>
    </xf>
    <xf numFmtId="3" fontId="3" fillId="19" borderId="93" xfId="0" applyNumberFormat="1" applyFont="1" applyFill="1" applyBorder="1" applyAlignment="1" applyProtection="1">
      <alignment horizontal="right"/>
    </xf>
    <xf numFmtId="3" fontId="3" fillId="19" borderId="193" xfId="0" applyNumberFormat="1" applyFont="1" applyFill="1" applyBorder="1" applyAlignment="1" applyProtection="1">
      <alignment horizontal="right"/>
    </xf>
    <xf numFmtId="3" fontId="47" fillId="19" borderId="182" xfId="13" applyNumberFormat="1" applyFont="1" applyFill="1" applyBorder="1" applyAlignment="1" applyProtection="1">
      <alignment horizontal="center"/>
    </xf>
    <xf numFmtId="3" fontId="47" fillId="19" borderId="182" xfId="10" applyNumberFormat="1" applyFont="1" applyFill="1" applyBorder="1" applyAlignment="1" applyProtection="1">
      <alignment horizontal="center"/>
    </xf>
    <xf numFmtId="3" fontId="113" fillId="19" borderId="182" xfId="10" applyNumberFormat="1" applyFont="1" applyFill="1" applyBorder="1" applyAlignment="1" applyProtection="1">
      <alignment horizontal="center"/>
    </xf>
    <xf numFmtId="3" fontId="47" fillId="19" borderId="214" xfId="10" applyNumberFormat="1" applyFont="1" applyFill="1" applyBorder="1" applyAlignment="1" applyProtection="1">
      <alignment horizontal="center"/>
    </xf>
    <xf numFmtId="3" fontId="6" fillId="19" borderId="215" xfId="0" applyNumberFormat="1" applyFont="1" applyFill="1" applyBorder="1" applyAlignment="1" applyProtection="1">
      <alignment horizontal="left" vertical="center" wrapText="1"/>
    </xf>
    <xf numFmtId="3" fontId="3" fillId="19" borderId="30" xfId="0" applyNumberFormat="1" applyFont="1" applyFill="1" applyBorder="1" applyAlignment="1" applyProtection="1">
      <alignment horizontal="right"/>
    </xf>
    <xf numFmtId="0" fontId="10" fillId="19" borderId="47" xfId="0" applyFont="1" applyFill="1" applyBorder="1" applyProtection="1"/>
    <xf numFmtId="3" fontId="3" fillId="19" borderId="187" xfId="0" applyNumberFormat="1" applyFont="1" applyFill="1" applyBorder="1" applyAlignment="1" applyProtection="1">
      <alignment horizontal="right"/>
    </xf>
    <xf numFmtId="3" fontId="3" fillId="19" borderId="105" xfId="0" applyNumberFormat="1" applyFont="1" applyFill="1" applyBorder="1" applyAlignment="1" applyProtection="1">
      <alignment horizontal="right"/>
    </xf>
    <xf numFmtId="3" fontId="3" fillId="19" borderId="216" xfId="0" applyNumberFormat="1" applyFont="1" applyFill="1" applyBorder="1" applyAlignment="1" applyProtection="1">
      <alignment horizontal="right"/>
    </xf>
    <xf numFmtId="0" fontId="0" fillId="19" borderId="192" xfId="0" applyFill="1" applyBorder="1" applyProtection="1"/>
    <xf numFmtId="0" fontId="6" fillId="19" borderId="24" xfId="0" applyFont="1" applyFill="1" applyBorder="1" applyAlignment="1" applyProtection="1">
      <alignment vertical="top"/>
    </xf>
    <xf numFmtId="3" fontId="6" fillId="19" borderId="25" xfId="0" applyNumberFormat="1" applyFont="1" applyFill="1" applyBorder="1" applyAlignment="1" applyProtection="1">
      <alignment vertical="top"/>
    </xf>
    <xf numFmtId="0" fontId="4" fillId="19" borderId="133" xfId="0" applyFont="1" applyFill="1" applyBorder="1" applyProtection="1"/>
    <xf numFmtId="3" fontId="10" fillId="2" borderId="211" xfId="0" applyNumberFormat="1" applyFont="1" applyFill="1" applyBorder="1" applyProtection="1">
      <protection locked="0"/>
    </xf>
    <xf numFmtId="0" fontId="122" fillId="2" borderId="0" xfId="5" applyFont="1" applyFill="1" applyAlignment="1" applyProtection="1">
      <alignment vertical="top"/>
    </xf>
    <xf numFmtId="0" fontId="6" fillId="19" borderId="96" xfId="6" applyFont="1" applyFill="1" applyBorder="1" applyProtection="1"/>
    <xf numFmtId="0" fontId="6" fillId="19" borderId="44" xfId="6" applyFont="1" applyFill="1" applyBorder="1" applyProtection="1"/>
    <xf numFmtId="0" fontId="6" fillId="19" borderId="27" xfId="6" applyFont="1" applyFill="1" applyBorder="1" applyAlignment="1" applyProtection="1">
      <alignment horizontal="left"/>
    </xf>
    <xf numFmtId="0" fontId="6" fillId="19" borderId="194" xfId="6" applyFont="1" applyFill="1" applyBorder="1" applyAlignment="1" applyProtection="1">
      <alignment horizontal="left"/>
    </xf>
    <xf numFmtId="0" fontId="4" fillId="19" borderId="56" xfId="6" applyFont="1" applyFill="1" applyBorder="1" applyAlignment="1" applyProtection="1">
      <alignment vertical="top"/>
    </xf>
    <xf numFmtId="0" fontId="4" fillId="19" borderId="56" xfId="6" applyFont="1" applyFill="1" applyBorder="1" applyAlignment="1" applyProtection="1">
      <alignment horizontal="left" vertical="center"/>
    </xf>
    <xf numFmtId="3" fontId="4" fillId="19" borderId="44" xfId="6" applyNumberFormat="1" applyFont="1" applyFill="1" applyBorder="1" applyAlignment="1" applyProtection="1">
      <alignment wrapText="1"/>
    </xf>
    <xf numFmtId="3" fontId="4" fillId="19" borderId="44" xfId="6" applyNumberFormat="1" applyFont="1" applyFill="1" applyBorder="1" applyAlignment="1" applyProtection="1">
      <alignment vertical="top"/>
    </xf>
    <xf numFmtId="3" fontId="4" fillId="19" borderId="44" xfId="6" applyNumberFormat="1" applyFont="1" applyFill="1" applyBorder="1" applyAlignment="1" applyProtection="1">
      <alignment vertical="center" wrapText="1"/>
    </xf>
    <xf numFmtId="0" fontId="6" fillId="19" borderId="194" xfId="0" applyFont="1" applyFill="1" applyBorder="1" applyAlignment="1" applyProtection="1">
      <alignment horizontal="left"/>
    </xf>
    <xf numFmtId="0" fontId="6" fillId="19" borderId="96" xfId="0" applyFont="1" applyFill="1" applyBorder="1" applyAlignment="1" applyProtection="1">
      <alignment horizontal="left"/>
    </xf>
    <xf numFmtId="0" fontId="6" fillId="19" borderId="27" xfId="0" applyFont="1" applyFill="1" applyBorder="1" applyAlignment="1" applyProtection="1">
      <alignment horizontal="left"/>
    </xf>
    <xf numFmtId="0" fontId="6" fillId="19" borderId="44" xfId="0" applyFont="1" applyFill="1" applyBorder="1" applyAlignment="1" applyProtection="1">
      <alignment horizontal="left"/>
    </xf>
    <xf numFmtId="3" fontId="4" fillId="19" borderId="193" xfId="0" applyNumberFormat="1" applyFont="1" applyFill="1" applyBorder="1" applyAlignment="1" applyProtection="1">
      <alignment vertical="top" wrapText="1"/>
    </xf>
    <xf numFmtId="0" fontId="4" fillId="19" borderId="160" xfId="0" applyFont="1" applyFill="1" applyBorder="1" applyAlignment="1" applyProtection="1">
      <alignment horizontal="center"/>
    </xf>
    <xf numFmtId="0" fontId="4" fillId="19" borderId="160" xfId="6" applyFont="1" applyFill="1" applyBorder="1" applyAlignment="1" applyProtection="1">
      <alignment horizontal="center" vertical="top"/>
    </xf>
    <xf numFmtId="0" fontId="4" fillId="19" borderId="56" xfId="6" applyFont="1" applyFill="1" applyBorder="1" applyAlignment="1" applyProtection="1">
      <alignment vertical="top" wrapText="1"/>
    </xf>
    <xf numFmtId="0" fontId="4" fillId="19" borderId="62" xfId="6" applyFont="1" applyFill="1" applyBorder="1" applyProtection="1"/>
    <xf numFmtId="1" fontId="4" fillId="19" borderId="16" xfId="6" applyNumberFormat="1" applyFont="1" applyFill="1" applyBorder="1" applyAlignment="1" applyProtection="1">
      <alignment horizontal="center"/>
    </xf>
    <xf numFmtId="1" fontId="4" fillId="19" borderId="169" xfId="6" applyNumberFormat="1" applyFont="1" applyFill="1" applyBorder="1" applyAlignment="1" applyProtection="1">
      <alignment horizontal="center"/>
    </xf>
    <xf numFmtId="3" fontId="6" fillId="19" borderId="177" xfId="6" applyNumberFormat="1" applyFont="1" applyFill="1" applyBorder="1" applyAlignment="1" applyProtection="1">
      <alignment vertical="top"/>
    </xf>
    <xf numFmtId="3" fontId="6" fillId="19" borderId="44" xfId="6" applyNumberFormat="1" applyFont="1" applyFill="1" applyBorder="1" applyAlignment="1" applyProtection="1">
      <alignment vertical="center"/>
    </xf>
    <xf numFmtId="3" fontId="6" fillId="19" borderId="44" xfId="0" applyNumberFormat="1" applyFont="1" applyFill="1" applyBorder="1" applyAlignment="1" applyProtection="1">
      <alignment vertical="center"/>
    </xf>
    <xf numFmtId="3" fontId="6" fillId="19" borderId="177" xfId="0" applyNumberFormat="1" applyFont="1" applyFill="1" applyBorder="1" applyAlignment="1" applyProtection="1">
      <alignment vertical="top"/>
    </xf>
    <xf numFmtId="0" fontId="4" fillId="19" borderId="160" xfId="6" applyFont="1" applyFill="1" applyBorder="1" applyAlignment="1" applyProtection="1">
      <alignment vertical="top" wrapText="1"/>
    </xf>
    <xf numFmtId="0" fontId="4" fillId="19" borderId="160" xfId="6" applyFont="1" applyFill="1" applyBorder="1" applyAlignment="1" applyProtection="1">
      <alignment vertical="center" wrapText="1"/>
    </xf>
    <xf numFmtId="0" fontId="4" fillId="10" borderId="58" xfId="0" applyFont="1" applyFill="1" applyBorder="1" applyAlignment="1" applyProtection="1">
      <alignment horizontal="center"/>
    </xf>
    <xf numFmtId="0" fontId="6" fillId="19" borderId="15" xfId="0" applyFont="1" applyFill="1" applyBorder="1" applyAlignment="1" applyProtection="1">
      <alignment horizontal="left" vertical="center" wrapText="1"/>
    </xf>
    <xf numFmtId="0" fontId="20" fillId="19" borderId="15" xfId="0" applyFont="1" applyFill="1" applyBorder="1" applyProtection="1"/>
    <xf numFmtId="0" fontId="5" fillId="19" borderId="15" xfId="0" applyFont="1" applyFill="1" applyBorder="1" applyProtection="1"/>
    <xf numFmtId="0" fontId="9" fillId="19" borderId="217" xfId="0" applyFont="1" applyFill="1" applyBorder="1" applyAlignment="1" applyProtection="1">
      <alignment horizontal="left"/>
    </xf>
    <xf numFmtId="0" fontId="9" fillId="19" borderId="66" xfId="0" applyFont="1" applyFill="1" applyBorder="1" applyAlignment="1" applyProtection="1">
      <alignment horizontal="left"/>
    </xf>
    <xf numFmtId="0" fontId="4" fillId="19" borderId="66" xfId="0" applyFont="1" applyFill="1" applyBorder="1" applyAlignment="1" applyProtection="1">
      <alignment horizontal="left"/>
    </xf>
    <xf numFmtId="3" fontId="44" fillId="19" borderId="29" xfId="0" applyNumberFormat="1" applyFont="1" applyFill="1" applyBorder="1" applyAlignment="1" applyProtection="1">
      <alignment vertical="top" wrapText="1"/>
    </xf>
    <xf numFmtId="0" fontId="15" fillId="19" borderId="94" xfId="0" applyFont="1" applyFill="1" applyBorder="1" applyAlignment="1" applyProtection="1">
      <alignment wrapText="1"/>
    </xf>
    <xf numFmtId="3" fontId="47" fillId="19" borderId="162" xfId="0" applyNumberFormat="1" applyFont="1" applyFill="1" applyBorder="1" applyProtection="1"/>
    <xf numFmtId="3" fontId="47" fillId="19" borderId="128" xfId="0" applyNumberFormat="1" applyFont="1" applyFill="1" applyBorder="1" applyProtection="1"/>
    <xf numFmtId="3" fontId="3" fillId="19" borderId="46" xfId="0" applyNumberFormat="1" applyFont="1" applyFill="1" applyBorder="1" applyAlignment="1" applyProtection="1">
      <alignment horizontal="right" vertical="top" wrapText="1"/>
    </xf>
    <xf numFmtId="3" fontId="47" fillId="19" borderId="16" xfId="0" applyNumberFormat="1" applyFont="1" applyFill="1" applyBorder="1" applyProtection="1"/>
    <xf numFmtId="3" fontId="47" fillId="19" borderId="68" xfId="0" applyNumberFormat="1" applyFont="1" applyFill="1" applyBorder="1" applyProtection="1"/>
    <xf numFmtId="3" fontId="134" fillId="3" borderId="63" xfId="0" applyNumberFormat="1" applyFont="1" applyFill="1" applyBorder="1" applyAlignment="1" applyProtection="1">
      <alignment horizontal="right"/>
    </xf>
    <xf numFmtId="3" fontId="134" fillId="3" borderId="214" xfId="0" applyNumberFormat="1" applyFont="1" applyFill="1" applyBorder="1" applyAlignment="1" applyProtection="1">
      <alignment horizontal="right"/>
    </xf>
    <xf numFmtId="3" fontId="4" fillId="19" borderId="55" xfId="0" applyNumberFormat="1" applyFont="1" applyFill="1" applyBorder="1" applyAlignment="1" applyProtection="1"/>
    <xf numFmtId="3" fontId="4" fillId="0" borderId="0" xfId="0" applyNumberFormat="1" applyFont="1" applyFill="1" applyBorder="1" applyAlignment="1" applyProtection="1">
      <alignment horizontal="center"/>
    </xf>
    <xf numFmtId="3" fontId="6" fillId="0" borderId="0" xfId="0" applyNumberFormat="1" applyFont="1" applyFill="1" applyBorder="1" applyAlignment="1" applyProtection="1"/>
    <xf numFmtId="3" fontId="9" fillId="0" borderId="0" xfId="0" applyNumberFormat="1" applyFont="1" applyFill="1" applyBorder="1" applyAlignment="1" applyProtection="1"/>
    <xf numFmtId="3" fontId="4" fillId="19" borderId="12" xfId="0" applyNumberFormat="1" applyFont="1" applyFill="1" applyBorder="1" applyAlignment="1" applyProtection="1"/>
    <xf numFmtId="3" fontId="9" fillId="19" borderId="12" xfId="0" applyNumberFormat="1" applyFont="1" applyFill="1" applyBorder="1" applyAlignment="1" applyProtection="1"/>
    <xf numFmtId="1" fontId="9" fillId="19" borderId="35" xfId="0" applyNumberFormat="1" applyFont="1" applyFill="1" applyBorder="1" applyAlignment="1" applyProtection="1">
      <alignment horizontal="center"/>
    </xf>
    <xf numFmtId="1" fontId="4" fillId="19" borderId="35" xfId="0" applyNumberFormat="1" applyFont="1" applyFill="1" applyBorder="1" applyAlignment="1" applyProtection="1">
      <alignment horizontal="left"/>
    </xf>
    <xf numFmtId="3" fontId="14" fillId="2" borderId="64" xfId="0" applyNumberFormat="1" applyFont="1" applyFill="1" applyBorder="1" applyAlignment="1" applyProtection="1">
      <alignment horizontal="right"/>
      <protection locked="0"/>
    </xf>
    <xf numFmtId="1" fontId="4" fillId="19" borderId="70" xfId="0" applyNumberFormat="1" applyFont="1" applyFill="1" applyBorder="1" applyAlignment="1" applyProtection="1">
      <alignment horizontal="left"/>
    </xf>
    <xf numFmtId="0" fontId="126" fillId="0" borderId="0" xfId="0" applyFont="1" applyFill="1" applyProtection="1"/>
    <xf numFmtId="3" fontId="38" fillId="0" borderId="0" xfId="0" applyNumberFormat="1" applyFont="1" applyFill="1" applyBorder="1" applyAlignment="1" applyProtection="1">
      <alignment horizontal="left"/>
    </xf>
    <xf numFmtId="0" fontId="126" fillId="0" borderId="0" xfId="0" applyFont="1" applyFill="1" applyBorder="1" applyProtection="1"/>
    <xf numFmtId="0" fontId="126" fillId="2" borderId="0" xfId="0" applyFont="1" applyFill="1" applyBorder="1" applyProtection="1"/>
    <xf numFmtId="49" fontId="132" fillId="19" borderId="127" xfId="0" applyNumberFormat="1" applyFont="1" applyFill="1" applyBorder="1" applyAlignment="1" applyProtection="1">
      <alignment horizontal="center"/>
    </xf>
    <xf numFmtId="3" fontId="3" fillId="19" borderId="45" xfId="0" applyNumberFormat="1" applyFont="1" applyFill="1" applyBorder="1" applyProtection="1"/>
    <xf numFmtId="3" fontId="3" fillId="19" borderId="93" xfId="0" applyNumberFormat="1" applyFont="1" applyFill="1" applyBorder="1" applyProtection="1"/>
    <xf numFmtId="49" fontId="4" fillId="19" borderId="12" xfId="0" applyNumberFormat="1" applyFont="1" applyFill="1" applyBorder="1" applyAlignment="1" applyProtection="1">
      <alignment horizontal="left" vertical="top" wrapText="1"/>
    </xf>
    <xf numFmtId="0" fontId="4" fillId="19" borderId="8" xfId="0" applyFont="1" applyFill="1" applyBorder="1" applyAlignment="1" applyProtection="1">
      <alignment vertical="top" wrapText="1"/>
    </xf>
    <xf numFmtId="3" fontId="47" fillId="21" borderId="138" xfId="0" applyNumberFormat="1" applyFont="1" applyFill="1" applyBorder="1" applyProtection="1"/>
    <xf numFmtId="9" fontId="0" fillId="0" borderId="0" xfId="0" applyNumberFormat="1"/>
    <xf numFmtId="3" fontId="11" fillId="0" borderId="0" xfId="0" applyNumberFormat="1" applyFont="1" applyFill="1" applyBorder="1" applyAlignment="1" applyProtection="1">
      <alignment horizontal="right"/>
    </xf>
    <xf numFmtId="0" fontId="130" fillId="0" borderId="0" xfId="0" applyFont="1" applyFill="1" applyProtection="1"/>
    <xf numFmtId="49" fontId="4" fillId="19" borderId="12" xfId="0" applyNumberFormat="1" applyFont="1" applyFill="1" applyBorder="1" applyAlignment="1" applyProtection="1">
      <alignment horizontal="right" vertical="center" wrapText="1"/>
    </xf>
    <xf numFmtId="0" fontId="4" fillId="19" borderId="8" xfId="0" applyFont="1" applyFill="1" applyBorder="1" applyAlignment="1" applyProtection="1">
      <alignment horizontal="left" vertical="top" wrapText="1"/>
    </xf>
    <xf numFmtId="0" fontId="4" fillId="19" borderId="25" xfId="6" applyFont="1" applyFill="1" applyBorder="1" applyProtection="1"/>
    <xf numFmtId="3" fontId="125" fillId="0" borderId="0" xfId="0" applyNumberFormat="1" applyFont="1" applyFill="1" applyBorder="1" applyAlignment="1" applyProtection="1">
      <alignment vertical="top"/>
    </xf>
    <xf numFmtId="3" fontId="3" fillId="0" borderId="18" xfId="0" applyNumberFormat="1" applyFont="1" applyFill="1" applyBorder="1" applyProtection="1">
      <protection locked="0"/>
    </xf>
    <xf numFmtId="3" fontId="10" fillId="0" borderId="0" xfId="0" applyNumberFormat="1" applyFont="1" applyFill="1" applyBorder="1" applyProtection="1"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49" fontId="4" fillId="19" borderId="218" xfId="0" applyNumberFormat="1" applyFont="1" applyFill="1" applyBorder="1" applyAlignment="1" applyProtection="1">
      <alignment horizontal="left"/>
    </xf>
    <xf numFmtId="0" fontId="54" fillId="2" borderId="170" xfId="0" applyFont="1" applyFill="1" applyBorder="1" applyProtection="1"/>
    <xf numFmtId="0" fontId="54" fillId="2" borderId="168" xfId="0" applyFont="1" applyFill="1" applyBorder="1" applyProtection="1"/>
    <xf numFmtId="3" fontId="3" fillId="2" borderId="43" xfId="0" applyNumberFormat="1" applyFont="1" applyFill="1" applyBorder="1" applyAlignment="1" applyProtection="1">
      <alignment horizontal="right"/>
      <protection locked="0"/>
    </xf>
    <xf numFmtId="0" fontId="0" fillId="2" borderId="57" xfId="0" applyFill="1" applyBorder="1" applyProtection="1"/>
    <xf numFmtId="0" fontId="3" fillId="0" borderId="0" xfId="0" applyFont="1" applyBorder="1" applyAlignment="1" applyProtection="1">
      <alignment wrapText="1"/>
      <protection locked="0"/>
    </xf>
    <xf numFmtId="0" fontId="54" fillId="2" borderId="1" xfId="0" applyFont="1" applyFill="1" applyBorder="1" applyProtection="1"/>
    <xf numFmtId="0" fontId="0" fillId="2" borderId="62" xfId="0" applyFill="1" applyBorder="1" applyProtection="1"/>
    <xf numFmtId="49" fontId="4" fillId="0" borderId="209" xfId="0" applyNumberFormat="1" applyFont="1" applyFill="1" applyBorder="1" applyAlignment="1" applyProtection="1">
      <alignment horizontal="center"/>
    </xf>
    <xf numFmtId="3" fontId="3" fillId="2" borderId="14" xfId="0" applyNumberFormat="1" applyFont="1" applyFill="1" applyBorder="1" applyAlignment="1" applyProtection="1">
      <alignment horizontal="right"/>
      <protection locked="0"/>
    </xf>
    <xf numFmtId="0" fontId="54" fillId="2" borderId="43" xfId="0" applyFont="1" applyFill="1" applyBorder="1" applyProtection="1"/>
    <xf numFmtId="3" fontId="3" fillId="9" borderId="85" xfId="0" applyNumberFormat="1" applyFont="1" applyFill="1" applyBorder="1" applyProtection="1"/>
    <xf numFmtId="3" fontId="14" fillId="2" borderId="35" xfId="0" applyNumberFormat="1" applyFont="1" applyFill="1" applyBorder="1" applyAlignment="1" applyProtection="1">
      <alignment horizontal="right"/>
      <protection locked="0"/>
    </xf>
    <xf numFmtId="3" fontId="14" fillId="2" borderId="40" xfId="0" applyNumberFormat="1" applyFont="1" applyFill="1" applyBorder="1" applyAlignment="1" applyProtection="1">
      <alignment horizontal="right"/>
      <protection locked="0"/>
    </xf>
    <xf numFmtId="3" fontId="14" fillId="2" borderId="70" xfId="0" applyNumberFormat="1" applyFont="1" applyFill="1" applyBorder="1" applyAlignment="1" applyProtection="1">
      <alignment horizontal="right"/>
      <protection locked="0"/>
    </xf>
    <xf numFmtId="0" fontId="4" fillId="19" borderId="133" xfId="0" applyFont="1" applyFill="1" applyBorder="1" applyAlignment="1" applyProtection="1">
      <alignment horizontal="center"/>
    </xf>
    <xf numFmtId="3" fontId="14" fillId="2" borderId="69" xfId="0" applyNumberFormat="1" applyFont="1" applyFill="1" applyBorder="1" applyAlignment="1" applyProtection="1">
      <alignment horizontal="right"/>
      <protection locked="0"/>
    </xf>
    <xf numFmtId="3" fontId="3" fillId="0" borderId="36" xfId="0" applyNumberFormat="1" applyFont="1" applyFill="1" applyBorder="1" applyProtection="1"/>
    <xf numFmtId="166" fontId="6" fillId="19" borderId="147" xfId="0" applyNumberFormat="1" applyFont="1" applyFill="1" applyBorder="1" applyAlignment="1" applyProtection="1">
      <alignment horizontal="left"/>
    </xf>
    <xf numFmtId="3" fontId="14" fillId="2" borderId="107" xfId="0" applyNumberFormat="1" applyFont="1" applyFill="1" applyBorder="1" applyAlignment="1" applyProtection="1">
      <alignment horizontal="right"/>
      <protection locked="0"/>
    </xf>
    <xf numFmtId="166" fontId="6" fillId="19" borderId="95" xfId="0" applyNumberFormat="1" applyFont="1" applyFill="1" applyBorder="1" applyAlignment="1" applyProtection="1">
      <alignment horizontal="left"/>
    </xf>
    <xf numFmtId="166" fontId="4" fillId="19" borderId="56" xfId="0" applyNumberFormat="1" applyFont="1" applyFill="1" applyBorder="1" applyAlignment="1" applyProtection="1">
      <alignment horizontal="left"/>
    </xf>
    <xf numFmtId="1" fontId="9" fillId="19" borderId="70" xfId="0" applyNumberFormat="1" applyFont="1" applyFill="1" applyBorder="1" applyAlignment="1" applyProtection="1">
      <alignment horizontal="center"/>
    </xf>
    <xf numFmtId="0" fontId="4" fillId="19" borderId="34" xfId="0" applyNumberFormat="1" applyFont="1" applyFill="1" applyBorder="1" applyAlignment="1" applyProtection="1">
      <alignment horizontal="center"/>
    </xf>
    <xf numFmtId="49" fontId="4" fillId="19" borderId="35" xfId="0" applyNumberFormat="1" applyFont="1" applyFill="1" applyBorder="1" applyAlignment="1" applyProtection="1">
      <alignment horizontal="center" wrapText="1"/>
    </xf>
    <xf numFmtId="3" fontId="3" fillId="9" borderId="26" xfId="0" applyNumberFormat="1" applyFont="1" applyFill="1" applyBorder="1" applyAlignment="1" applyProtection="1"/>
    <xf numFmtId="1" fontId="135" fillId="19" borderId="90" xfId="0" applyNumberFormat="1" applyFont="1" applyFill="1" applyBorder="1" applyAlignment="1" applyProtection="1">
      <alignment horizontal="left" vertical="top" wrapText="1"/>
    </xf>
    <xf numFmtId="0" fontId="4" fillId="19" borderId="203" xfId="0" applyFont="1" applyFill="1" applyBorder="1" applyAlignment="1" applyProtection="1">
      <alignment wrapText="1"/>
    </xf>
    <xf numFmtId="0" fontId="4" fillId="19" borderId="211" xfId="0" applyFont="1" applyFill="1" applyBorder="1" applyAlignment="1" applyProtection="1">
      <alignment horizontal="left" wrapText="1"/>
    </xf>
    <xf numFmtId="0" fontId="137" fillId="19" borderId="150" xfId="0" applyFont="1" applyFill="1" applyBorder="1" applyProtection="1"/>
    <xf numFmtId="3" fontId="3" fillId="3" borderId="114" xfId="0" applyNumberFormat="1" applyFont="1" applyFill="1" applyBorder="1" applyProtection="1"/>
    <xf numFmtId="3" fontId="3" fillId="3" borderId="7" xfId="0" applyNumberFormat="1" applyFont="1" applyFill="1" applyBorder="1" applyProtection="1"/>
    <xf numFmtId="3" fontId="11" fillId="2" borderId="6" xfId="0" quotePrefix="1" applyNumberFormat="1" applyFont="1" applyFill="1" applyBorder="1" applyAlignment="1" applyProtection="1">
      <alignment horizontal="right"/>
      <protection locked="0"/>
    </xf>
    <xf numFmtId="3" fontId="11" fillId="0" borderId="6" xfId="0" quotePrefix="1" applyNumberFormat="1" applyFont="1" applyFill="1" applyBorder="1" applyAlignment="1" applyProtection="1">
      <alignment horizontal="right"/>
      <protection locked="0"/>
    </xf>
    <xf numFmtId="3" fontId="3" fillId="9" borderId="178" xfId="0" applyNumberFormat="1" applyFont="1" applyFill="1" applyBorder="1" applyAlignment="1" applyProtection="1"/>
    <xf numFmtId="3" fontId="3" fillId="9" borderId="91" xfId="0" applyNumberFormat="1" applyFont="1" applyFill="1" applyBorder="1" applyAlignment="1" applyProtection="1"/>
    <xf numFmtId="0" fontId="4" fillId="0" borderId="0" xfId="0" applyFont="1" applyAlignment="1"/>
    <xf numFmtId="1" fontId="3" fillId="0" borderId="0" xfId="0" applyNumberFormat="1" applyFont="1" applyFill="1" applyBorder="1" applyAlignment="1" applyProtection="1">
      <alignment horizontal="left" vertical="top"/>
    </xf>
    <xf numFmtId="3" fontId="3" fillId="0" borderId="18" xfId="6" applyNumberFormat="1" applyFont="1" applyFill="1" applyBorder="1" applyAlignment="1" applyProtection="1">
      <alignment horizontal="right"/>
      <protection locked="0"/>
    </xf>
    <xf numFmtId="0" fontId="4" fillId="19" borderId="23" xfId="0" applyFont="1" applyFill="1" applyBorder="1" applyAlignment="1" applyProtection="1">
      <alignment horizontal="left" vertical="top" wrapText="1"/>
    </xf>
    <xf numFmtId="0" fontId="6" fillId="19" borderId="9" xfId="0" applyFont="1" applyFill="1" applyBorder="1" applyAlignment="1" applyProtection="1">
      <alignment wrapText="1"/>
    </xf>
    <xf numFmtId="0" fontId="4" fillId="19" borderId="23" xfId="6" applyFont="1" applyFill="1" applyBorder="1" applyAlignment="1" applyProtection="1">
      <alignment horizontal="left" vertical="top" wrapText="1"/>
    </xf>
    <xf numFmtId="0" fontId="6" fillId="19" borderId="9" xfId="6" applyFont="1" applyFill="1" applyBorder="1" applyAlignment="1" applyProtection="1">
      <alignment wrapText="1"/>
    </xf>
    <xf numFmtId="0" fontId="3" fillId="0" borderId="0" xfId="0" quotePrefix="1" applyFont="1" applyFill="1" applyBorder="1" applyAlignment="1" applyProtection="1">
      <alignment vertical="top"/>
    </xf>
    <xf numFmtId="49" fontId="4" fillId="19" borderId="0" xfId="6" applyNumberFormat="1" applyFont="1" applyFill="1" applyBorder="1" applyAlignment="1" applyProtection="1">
      <alignment horizontal="center"/>
    </xf>
    <xf numFmtId="0" fontId="4" fillId="19" borderId="36" xfId="6" applyFont="1" applyFill="1" applyBorder="1" applyAlignment="1" applyProtection="1">
      <alignment horizontal="left" vertical="top" wrapText="1"/>
    </xf>
    <xf numFmtId="0" fontId="6" fillId="19" borderId="15" xfId="6" applyFont="1" applyFill="1" applyBorder="1" applyProtection="1"/>
    <xf numFmtId="0" fontId="4" fillId="19" borderId="42" xfId="6" applyFont="1" applyFill="1" applyBorder="1" applyProtection="1"/>
    <xf numFmtId="3" fontId="3" fillId="3" borderId="63" xfId="6" applyNumberFormat="1" applyFont="1" applyFill="1" applyBorder="1" applyAlignment="1" applyProtection="1">
      <alignment horizontal="right"/>
    </xf>
    <xf numFmtId="0" fontId="36" fillId="2" borderId="0" xfId="6" applyFont="1" applyFill="1" applyBorder="1" applyAlignment="1" applyProtection="1">
      <alignment horizontal="left" vertical="top"/>
    </xf>
    <xf numFmtId="3" fontId="3" fillId="3" borderId="84" xfId="6" applyNumberFormat="1" applyFont="1" applyFill="1" applyBorder="1" applyAlignment="1" applyProtection="1">
      <alignment horizontal="right"/>
    </xf>
    <xf numFmtId="0" fontId="6" fillId="19" borderId="118" xfId="6" applyFont="1" applyFill="1" applyBorder="1" applyAlignment="1" applyProtection="1">
      <alignment horizontal="left"/>
    </xf>
    <xf numFmtId="0" fontId="3" fillId="0" borderId="0" xfId="6" applyFont="1" applyFill="1" applyBorder="1" applyAlignment="1" applyProtection="1">
      <alignment vertical="top"/>
    </xf>
    <xf numFmtId="0" fontId="4" fillId="19" borderId="15" xfId="6" applyFont="1" applyFill="1" applyBorder="1" applyProtection="1"/>
    <xf numFmtId="3" fontId="3" fillId="0" borderId="2" xfId="6" applyNumberFormat="1" applyFont="1" applyFill="1" applyBorder="1" applyAlignment="1" applyProtection="1">
      <alignment horizontal="right"/>
      <protection locked="0"/>
    </xf>
    <xf numFmtId="3" fontId="3" fillId="0" borderId="15" xfId="6" applyNumberFormat="1" applyFont="1" applyFill="1" applyBorder="1" applyAlignment="1" applyProtection="1">
      <alignment horizontal="right"/>
      <protection locked="0"/>
    </xf>
    <xf numFmtId="3" fontId="3" fillId="0" borderId="60" xfId="6" applyNumberFormat="1" applyFont="1" applyFill="1" applyBorder="1" applyAlignment="1" applyProtection="1">
      <alignment horizontal="right"/>
      <protection locked="0"/>
    </xf>
    <xf numFmtId="0" fontId="2" fillId="2" borderId="0" xfId="6" applyFont="1" applyFill="1" applyAlignment="1" applyProtection="1">
      <alignment vertical="top"/>
    </xf>
    <xf numFmtId="3" fontId="36" fillId="2" borderId="0" xfId="6" applyNumberFormat="1" applyFont="1" applyFill="1" applyAlignment="1" applyProtection="1">
      <alignment vertical="top"/>
    </xf>
    <xf numFmtId="0" fontId="73" fillId="2" borderId="0" xfId="6" applyFont="1" applyFill="1" applyAlignment="1" applyProtection="1">
      <alignment vertical="top"/>
    </xf>
    <xf numFmtId="0" fontId="23" fillId="2" borderId="0" xfId="6" applyFill="1" applyBorder="1" applyAlignment="1" applyProtection="1">
      <alignment horizontal="left" vertical="top"/>
    </xf>
    <xf numFmtId="0" fontId="23" fillId="2" borderId="0" xfId="6" applyFill="1" applyAlignment="1" applyProtection="1">
      <alignment vertical="top"/>
    </xf>
    <xf numFmtId="0" fontId="74" fillId="2" borderId="0" xfId="6" applyFont="1" applyFill="1" applyAlignment="1" applyProtection="1">
      <alignment vertical="top"/>
    </xf>
    <xf numFmtId="3" fontId="4" fillId="19" borderId="20" xfId="0" applyNumberFormat="1" applyFont="1" applyFill="1" applyBorder="1" applyAlignment="1" applyProtection="1">
      <alignment horizontal="center"/>
    </xf>
    <xf numFmtId="3" fontId="4" fillId="19" borderId="57" xfId="0" applyNumberFormat="1" applyFont="1" applyFill="1" applyBorder="1" applyAlignment="1" applyProtection="1">
      <alignment vertical="center" wrapText="1"/>
    </xf>
    <xf numFmtId="3" fontId="3" fillId="19" borderId="35" xfId="6" applyNumberFormat="1" applyFont="1" applyFill="1" applyBorder="1" applyProtection="1"/>
    <xf numFmtId="3" fontId="4" fillId="19" borderId="160" xfId="6" applyNumberFormat="1" applyFont="1" applyFill="1" applyBorder="1" applyProtection="1"/>
    <xf numFmtId="3" fontId="3" fillId="19" borderId="5" xfId="6" applyNumberFormat="1" applyFont="1" applyFill="1" applyBorder="1" applyProtection="1"/>
    <xf numFmtId="3" fontId="44" fillId="19" borderId="39" xfId="6" applyNumberFormat="1" applyFont="1" applyFill="1" applyBorder="1" applyAlignment="1" applyProtection="1">
      <alignment horizontal="right"/>
    </xf>
    <xf numFmtId="168" fontId="43" fillId="19" borderId="150" xfId="6" applyNumberFormat="1" applyFont="1" applyFill="1" applyBorder="1" applyProtection="1"/>
    <xf numFmtId="168" fontId="43" fillId="19" borderId="195" xfId="6" applyNumberFormat="1" applyFont="1" applyFill="1" applyBorder="1" applyProtection="1"/>
    <xf numFmtId="0" fontId="4" fillId="19" borderId="158" xfId="6" applyFont="1" applyFill="1" applyBorder="1" applyProtection="1"/>
    <xf numFmtId="3" fontId="6" fillId="19" borderId="111" xfId="6" applyNumberFormat="1" applyFont="1" applyFill="1" applyBorder="1" applyAlignment="1" applyProtection="1">
      <alignment vertical="top"/>
    </xf>
    <xf numFmtId="3" fontId="4" fillId="19" borderId="0" xfId="6" applyNumberFormat="1" applyFont="1" applyFill="1" applyBorder="1" applyAlignment="1" applyProtection="1">
      <alignment vertical="top"/>
    </xf>
    <xf numFmtId="168" fontId="4" fillId="19" borderId="1" xfId="6" applyNumberFormat="1" applyFont="1" applyFill="1" applyBorder="1" applyProtection="1"/>
    <xf numFmtId="3" fontId="3" fillId="19" borderId="68" xfId="6" applyNumberFormat="1" applyFont="1" applyFill="1" applyBorder="1" applyProtection="1"/>
    <xf numFmtId="3" fontId="47" fillId="19" borderId="35" xfId="6" quotePrefix="1" applyNumberFormat="1" applyFont="1" applyFill="1" applyBorder="1" applyAlignment="1" applyProtection="1">
      <alignment horizontal="right"/>
    </xf>
    <xf numFmtId="3" fontId="47" fillId="19" borderId="35" xfId="6" applyNumberFormat="1" applyFont="1" applyFill="1" applyBorder="1" applyProtection="1"/>
    <xf numFmtId="3" fontId="4" fillId="19" borderId="174" xfId="6" applyNumberFormat="1" applyFont="1" applyFill="1" applyBorder="1" applyAlignment="1" applyProtection="1">
      <alignment vertical="top" wrapText="1"/>
    </xf>
    <xf numFmtId="0" fontId="4" fillId="19" borderId="170" xfId="6" applyFont="1" applyFill="1" applyBorder="1" applyAlignment="1" applyProtection="1">
      <alignment vertical="top" wrapText="1"/>
    </xf>
    <xf numFmtId="3" fontId="4" fillId="19" borderId="160" xfId="6" applyNumberFormat="1" applyFont="1" applyFill="1" applyBorder="1" applyAlignment="1" applyProtection="1">
      <alignment vertical="center"/>
    </xf>
    <xf numFmtId="0" fontId="4" fillId="19" borderId="16" xfId="6" applyFont="1" applyFill="1" applyBorder="1" applyAlignment="1" applyProtection="1">
      <alignment horizontal="left" vertical="center"/>
    </xf>
    <xf numFmtId="0" fontId="4" fillId="19" borderId="16" xfId="6" applyFont="1" applyFill="1" applyBorder="1" applyAlignment="1" applyProtection="1">
      <alignment vertical="top"/>
    </xf>
    <xf numFmtId="3" fontId="3" fillId="19" borderId="15" xfId="6" applyNumberFormat="1" applyFont="1" applyFill="1" applyBorder="1" applyProtection="1"/>
    <xf numFmtId="3" fontId="3" fillId="19" borderId="13" xfId="6" applyNumberFormat="1" applyFont="1" applyFill="1" applyBorder="1" applyProtection="1"/>
    <xf numFmtId="0" fontId="4" fillId="19" borderId="194" xfId="0" applyFont="1" applyFill="1" applyBorder="1" applyAlignment="1" applyProtection="1"/>
    <xf numFmtId="3" fontId="4" fillId="19" borderId="158" xfId="0" applyNumberFormat="1" applyFont="1" applyFill="1" applyBorder="1" applyAlignment="1" applyProtection="1"/>
    <xf numFmtId="3" fontId="4" fillId="19" borderId="160" xfId="0" applyNumberFormat="1" applyFont="1" applyFill="1" applyBorder="1" applyAlignment="1" applyProtection="1"/>
    <xf numFmtId="0" fontId="0" fillId="2" borderId="0" xfId="0" applyFill="1" applyAlignment="1" applyProtection="1"/>
    <xf numFmtId="0" fontId="4" fillId="0" borderId="0" xfId="0" applyFont="1" applyFill="1" applyAlignment="1" applyProtection="1"/>
    <xf numFmtId="0" fontId="4" fillId="19" borderId="118" xfId="0" applyFont="1" applyFill="1" applyBorder="1" applyAlignment="1" applyProtection="1"/>
    <xf numFmtId="3" fontId="6" fillId="19" borderId="96" xfId="0" applyNumberFormat="1" applyFont="1" applyFill="1" applyBorder="1" applyAlignment="1" applyProtection="1"/>
    <xf numFmtId="3" fontId="4" fillId="19" borderId="0" xfId="0" applyNumberFormat="1" applyFont="1" applyFill="1" applyBorder="1" applyAlignment="1" applyProtection="1"/>
    <xf numFmtId="3" fontId="4" fillId="19" borderId="57" xfId="0" applyNumberFormat="1" applyFont="1" applyFill="1" applyBorder="1" applyAlignment="1" applyProtection="1"/>
    <xf numFmtId="3" fontId="3" fillId="9" borderId="5" xfId="0" applyNumberFormat="1" applyFont="1" applyFill="1" applyBorder="1" applyAlignment="1" applyProtection="1"/>
    <xf numFmtId="0" fontId="4" fillId="19" borderId="56" xfId="0" applyFont="1" applyFill="1" applyBorder="1" applyAlignment="1" applyProtection="1"/>
    <xf numFmtId="0" fontId="4" fillId="19" borderId="111" xfId="6" applyFont="1" applyFill="1" applyBorder="1" applyAlignment="1" applyProtection="1"/>
    <xf numFmtId="0" fontId="4" fillId="19" borderId="62" xfId="6" applyFont="1" applyFill="1" applyBorder="1" applyAlignment="1" applyProtection="1"/>
    <xf numFmtId="0" fontId="4" fillId="19" borderId="0" xfId="0" applyFont="1" applyFill="1" applyBorder="1" applyAlignment="1" applyProtection="1"/>
    <xf numFmtId="0" fontId="4" fillId="19" borderId="169" xfId="0" applyFont="1" applyFill="1" applyBorder="1" applyAlignment="1" applyProtection="1"/>
    <xf numFmtId="0" fontId="4" fillId="19" borderId="160" xfId="0" applyFont="1" applyFill="1" applyBorder="1" applyAlignment="1" applyProtection="1"/>
    <xf numFmtId="0" fontId="4" fillId="19" borderId="147" xfId="0" applyFont="1" applyFill="1" applyBorder="1" applyAlignment="1" applyProtection="1"/>
    <xf numFmtId="168" fontId="4" fillId="19" borderId="177" xfId="0" applyNumberFormat="1" applyFont="1" applyFill="1" applyBorder="1" applyAlignment="1" applyProtection="1"/>
    <xf numFmtId="0" fontId="6" fillId="19" borderId="54" xfId="0" applyFont="1" applyFill="1" applyBorder="1" applyAlignment="1" applyProtection="1"/>
    <xf numFmtId="3" fontId="3" fillId="9" borderId="35" xfId="0" applyNumberFormat="1" applyFont="1" applyFill="1" applyBorder="1" applyAlignment="1" applyProtection="1"/>
    <xf numFmtId="3" fontId="3" fillId="9" borderId="136" xfId="0" applyNumberFormat="1" applyFont="1" applyFill="1" applyBorder="1" applyAlignment="1" applyProtection="1"/>
    <xf numFmtId="0" fontId="4" fillId="0" borderId="0" xfId="6" applyFont="1" applyBorder="1" applyAlignment="1" applyProtection="1"/>
    <xf numFmtId="0" fontId="23" fillId="0" borderId="0" xfId="6" applyBorder="1" applyAlignment="1" applyProtection="1"/>
    <xf numFmtId="0" fontId="4" fillId="19" borderId="5" xfId="0" applyFont="1" applyFill="1" applyBorder="1" applyAlignment="1" applyProtection="1"/>
    <xf numFmtId="0" fontId="6" fillId="19" borderId="5" xfId="0" applyFont="1" applyFill="1" applyBorder="1" applyAlignment="1" applyProtection="1"/>
    <xf numFmtId="0" fontId="4" fillId="19" borderId="107" xfId="0" applyFont="1" applyFill="1" applyBorder="1" applyAlignment="1" applyProtection="1"/>
    <xf numFmtId="0" fontId="6" fillId="19" borderId="55" xfId="0" applyFont="1" applyFill="1" applyBorder="1" applyAlignment="1" applyProtection="1"/>
    <xf numFmtId="3" fontId="3" fillId="9" borderId="2" xfId="0" applyNumberFormat="1" applyFont="1" applyFill="1" applyBorder="1" applyAlignment="1" applyProtection="1"/>
    <xf numFmtId="3" fontId="3" fillId="9" borderId="54" xfId="0" applyNumberFormat="1" applyFont="1" applyFill="1" applyBorder="1" applyAlignment="1" applyProtection="1"/>
    <xf numFmtId="0" fontId="4" fillId="19" borderId="2" xfId="0" applyFont="1" applyFill="1" applyBorder="1" applyAlignment="1" applyProtection="1"/>
    <xf numFmtId="0" fontId="6" fillId="19" borderId="2" xfId="0" applyFont="1" applyFill="1" applyBorder="1" applyAlignment="1" applyProtection="1"/>
    <xf numFmtId="0" fontId="4" fillId="19" borderId="25" xfId="0" applyFont="1" applyFill="1" applyBorder="1" applyAlignment="1" applyProtection="1"/>
    <xf numFmtId="0" fontId="6" fillId="19" borderId="13" xfId="0" applyFont="1" applyFill="1" applyBorder="1" applyAlignment="1" applyProtection="1"/>
    <xf numFmtId="0" fontId="6" fillId="19" borderId="15" xfId="0" applyFont="1" applyFill="1" applyBorder="1" applyAlignment="1" applyProtection="1"/>
    <xf numFmtId="0" fontId="11" fillId="0" borderId="0" xfId="0" applyFont="1" applyFill="1" applyBorder="1" applyAlignment="1" applyProtection="1"/>
    <xf numFmtId="0" fontId="23" fillId="0" borderId="0" xfId="0" applyFont="1" applyFill="1" applyAlignment="1" applyProtection="1"/>
    <xf numFmtId="0" fontId="23" fillId="0" borderId="0" xfId="0" applyFont="1" applyFill="1" applyBorder="1" applyAlignment="1" applyProtection="1"/>
    <xf numFmtId="1" fontId="4" fillId="19" borderId="89" xfId="0" applyNumberFormat="1" applyFont="1" applyFill="1" applyBorder="1" applyAlignment="1" applyProtection="1">
      <alignment horizontal="center" vertical="top" wrapText="1"/>
    </xf>
    <xf numFmtId="1" fontId="4" fillId="19" borderId="42" xfId="0" applyNumberFormat="1" applyFont="1" applyFill="1" applyBorder="1" applyAlignment="1" applyProtection="1">
      <alignment horizontal="left" wrapText="1"/>
    </xf>
    <xf numFmtId="3" fontId="4" fillId="19" borderId="160" xfId="0" applyNumberFormat="1" applyFont="1" applyFill="1" applyBorder="1" applyAlignment="1" applyProtection="1">
      <alignment vertical="top"/>
    </xf>
    <xf numFmtId="3" fontId="44" fillId="0" borderId="0" xfId="6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3" fontId="44" fillId="0" borderId="0" xfId="6" quotePrefix="1" applyNumberFormat="1" applyFont="1" applyFill="1" applyBorder="1" applyAlignment="1" applyProtection="1"/>
    <xf numFmtId="3" fontId="44" fillId="0" borderId="0" xfId="6" quotePrefix="1" applyNumberFormat="1" applyFont="1" applyFill="1" applyBorder="1" applyAlignment="1" applyProtection="1">
      <alignment horizontal="right"/>
    </xf>
    <xf numFmtId="3" fontId="125" fillId="2" borderId="0" xfId="0" applyNumberFormat="1" applyFont="1" applyFill="1" applyProtection="1"/>
    <xf numFmtId="3" fontId="3" fillId="0" borderId="7" xfId="0" applyNumberFormat="1" applyFont="1" applyFill="1" applyBorder="1" applyAlignment="1" applyProtection="1">
      <alignment horizontal="right"/>
      <protection locked="0"/>
    </xf>
    <xf numFmtId="49" fontId="8" fillId="2" borderId="0" xfId="0" applyNumberFormat="1" applyFont="1" applyFill="1" applyBorder="1" applyAlignment="1" applyProtection="1">
      <alignment vertical="top"/>
    </xf>
    <xf numFmtId="3" fontId="44" fillId="0" borderId="124" xfId="6" applyNumberFormat="1" applyFont="1" applyFill="1" applyBorder="1" applyAlignment="1" applyProtection="1">
      <alignment horizontal="right"/>
    </xf>
    <xf numFmtId="3" fontId="36" fillId="0" borderId="124" xfId="6" quotePrefix="1" applyNumberFormat="1" applyFont="1" applyFill="1" applyBorder="1" applyAlignment="1" applyProtection="1">
      <alignment horizontal="left"/>
    </xf>
    <xf numFmtId="49" fontId="4" fillId="19" borderId="130" xfId="0" applyNumberFormat="1" applyFont="1" applyFill="1" applyBorder="1" applyAlignment="1" applyProtection="1">
      <alignment horizontal="left"/>
    </xf>
    <xf numFmtId="49" fontId="4" fillId="19" borderId="172" xfId="0" applyNumberFormat="1" applyFont="1" applyFill="1" applyBorder="1" applyProtection="1"/>
    <xf numFmtId="1" fontId="4" fillId="19" borderId="220" xfId="0" applyNumberFormat="1" applyFont="1" applyFill="1" applyBorder="1" applyAlignment="1" applyProtection="1">
      <alignment horizontal="left"/>
    </xf>
    <xf numFmtId="1" fontId="4" fillId="19" borderId="220" xfId="0" applyNumberFormat="1" applyFont="1" applyFill="1" applyBorder="1" applyProtection="1"/>
    <xf numFmtId="1" fontId="3" fillId="19" borderId="221" xfId="0" applyNumberFormat="1" applyFont="1" applyFill="1" applyBorder="1" applyAlignment="1" applyProtection="1"/>
    <xf numFmtId="1" fontId="4" fillId="19" borderId="223" xfId="0" applyNumberFormat="1" applyFont="1" applyFill="1" applyBorder="1" applyProtection="1"/>
    <xf numFmtId="1" fontId="139" fillId="19" borderId="222" xfId="0" applyNumberFormat="1" applyFont="1" applyFill="1" applyBorder="1" applyAlignment="1" applyProtection="1"/>
    <xf numFmtId="1" fontId="139" fillId="19" borderId="180" xfId="0" applyNumberFormat="1" applyFont="1" applyFill="1" applyBorder="1" applyAlignment="1" applyProtection="1"/>
    <xf numFmtId="1" fontId="139" fillId="19" borderId="39" xfId="0" applyNumberFormat="1" applyFont="1" applyFill="1" applyBorder="1" applyAlignment="1" applyProtection="1"/>
    <xf numFmtId="1" fontId="139" fillId="19" borderId="59" xfId="0" applyNumberFormat="1" applyFont="1" applyFill="1" applyBorder="1" applyAlignment="1" applyProtection="1"/>
    <xf numFmtId="1" fontId="139" fillId="19" borderId="0" xfId="0" applyNumberFormat="1" applyFont="1" applyFill="1" applyBorder="1" applyAlignment="1" applyProtection="1"/>
    <xf numFmtId="0" fontId="132" fillId="19" borderId="39" xfId="0" applyNumberFormat="1" applyFont="1" applyFill="1" applyBorder="1" applyAlignment="1" applyProtection="1"/>
    <xf numFmtId="0" fontId="132" fillId="19" borderId="66" xfId="0" applyNumberFormat="1" applyFont="1" applyFill="1" applyBorder="1" applyAlignment="1" applyProtection="1"/>
    <xf numFmtId="0" fontId="132" fillId="19" borderId="180" xfId="0" applyNumberFormat="1" applyFont="1" applyFill="1" applyBorder="1" applyAlignment="1" applyProtection="1"/>
    <xf numFmtId="49" fontId="139" fillId="19" borderId="39" xfId="0" applyNumberFormat="1" applyFont="1" applyFill="1" applyBorder="1" applyAlignment="1" applyProtection="1"/>
    <xf numFmtId="0" fontId="132" fillId="19" borderId="59" xfId="0" applyNumberFormat="1" applyFont="1" applyFill="1" applyBorder="1" applyAlignment="1" applyProtection="1"/>
    <xf numFmtId="3" fontId="3" fillId="2" borderId="91" xfId="0" applyNumberFormat="1" applyFont="1" applyFill="1" applyBorder="1" applyAlignment="1" applyProtection="1">
      <alignment horizontal="right"/>
      <protection locked="0"/>
    </xf>
    <xf numFmtId="0" fontId="23" fillId="19" borderId="161" xfId="6" applyFont="1" applyFill="1" applyBorder="1" applyAlignment="1" applyProtection="1">
      <alignment horizontal="left" wrapText="1"/>
    </xf>
    <xf numFmtId="168" fontId="43" fillId="19" borderId="161" xfId="6" applyNumberFormat="1" applyFont="1" applyFill="1" applyBorder="1" applyProtection="1"/>
    <xf numFmtId="0" fontId="23" fillId="19" borderId="161" xfId="6" applyFill="1" applyBorder="1" applyProtection="1"/>
    <xf numFmtId="3" fontId="44" fillId="19" borderId="161" xfId="6" applyNumberFormat="1" applyFont="1" applyFill="1" applyBorder="1" applyProtection="1"/>
    <xf numFmtId="3" fontId="3" fillId="19" borderId="32" xfId="6" applyNumberFormat="1" applyFont="1" applyFill="1" applyBorder="1" applyAlignment="1" applyProtection="1">
      <alignment horizontal="right"/>
    </xf>
    <xf numFmtId="3" fontId="3" fillId="19" borderId="31" xfId="6" applyNumberFormat="1" applyFont="1" applyFill="1" applyBorder="1" applyAlignment="1" applyProtection="1">
      <alignment horizontal="right"/>
    </xf>
    <xf numFmtId="3" fontId="3" fillId="19" borderId="33" xfId="6" applyNumberFormat="1" applyFont="1" applyFill="1" applyBorder="1" applyAlignment="1" applyProtection="1">
      <alignment horizontal="right"/>
    </xf>
    <xf numFmtId="3" fontId="3" fillId="19" borderId="119" xfId="6" applyNumberFormat="1" applyFont="1" applyFill="1" applyBorder="1" applyAlignment="1" applyProtection="1">
      <alignment horizontal="right"/>
    </xf>
    <xf numFmtId="3" fontId="3" fillId="19" borderId="103" xfId="6" applyNumberFormat="1" applyFont="1" applyFill="1" applyBorder="1" applyAlignment="1" applyProtection="1">
      <alignment horizontal="right"/>
    </xf>
    <xf numFmtId="3" fontId="3" fillId="19" borderId="219" xfId="6" applyNumberFormat="1" applyFont="1" applyFill="1" applyBorder="1" applyAlignment="1" applyProtection="1">
      <alignment horizontal="right"/>
    </xf>
    <xf numFmtId="3" fontId="3" fillId="19" borderId="214" xfId="6" applyNumberFormat="1" applyFont="1" applyFill="1" applyBorder="1" applyAlignment="1" applyProtection="1">
      <alignment horizontal="right"/>
    </xf>
    <xf numFmtId="3" fontId="3" fillId="19" borderId="33" xfId="6" applyNumberFormat="1" applyFont="1" applyFill="1" applyBorder="1" applyProtection="1"/>
    <xf numFmtId="0" fontId="23" fillId="19" borderId="182" xfId="6" applyFill="1" applyBorder="1" applyProtection="1"/>
    <xf numFmtId="3" fontId="47" fillId="20" borderId="130" xfId="0" applyNumberFormat="1" applyFont="1" applyFill="1" applyBorder="1" applyProtection="1"/>
    <xf numFmtId="0" fontId="0" fillId="0" borderId="57" xfId="0" applyFill="1" applyBorder="1" applyProtection="1"/>
    <xf numFmtId="3" fontId="125" fillId="0" borderId="124" xfId="6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wrapText="1"/>
      <protection locked="0"/>
    </xf>
    <xf numFmtId="3" fontId="3" fillId="0" borderId="19" xfId="0" applyNumberFormat="1" applyFont="1" applyFill="1" applyBorder="1" applyAlignment="1" applyProtection="1">
      <alignment horizontal="right"/>
      <protection locked="0"/>
    </xf>
    <xf numFmtId="3" fontId="4" fillId="19" borderId="56" xfId="0" applyNumberFormat="1" applyFont="1" applyFill="1" applyBorder="1" applyAlignment="1" applyProtection="1">
      <alignment horizontal="left" wrapText="1"/>
    </xf>
    <xf numFmtId="3" fontId="4" fillId="19" borderId="56" xfId="0" applyNumberFormat="1" applyFont="1" applyFill="1" applyBorder="1" applyAlignment="1" applyProtection="1">
      <alignment horizontal="left" vertical="top"/>
    </xf>
    <xf numFmtId="3" fontId="4" fillId="19" borderId="147" xfId="0" applyNumberFormat="1" applyFont="1" applyFill="1" applyBorder="1" applyAlignment="1" applyProtection="1">
      <alignment horizontal="left" vertical="top"/>
    </xf>
    <xf numFmtId="170" fontId="4" fillId="19" borderId="225" xfId="0" applyNumberFormat="1" applyFont="1" applyFill="1" applyBorder="1" applyAlignment="1" applyProtection="1">
      <alignment horizontal="left"/>
    </xf>
    <xf numFmtId="3" fontId="14" fillId="2" borderId="147" xfId="0" applyNumberFormat="1" applyFont="1" applyFill="1" applyBorder="1" applyAlignment="1" applyProtection="1">
      <alignment horizontal="right"/>
      <protection locked="0"/>
    </xf>
    <xf numFmtId="3" fontId="3" fillId="3" borderId="226" xfId="0" applyNumberFormat="1" applyFont="1" applyFill="1" applyBorder="1" applyAlignment="1" applyProtection="1">
      <alignment horizontal="right"/>
    </xf>
    <xf numFmtId="3" fontId="14" fillId="6" borderId="147" xfId="0" applyNumberFormat="1" applyFont="1" applyFill="1" applyBorder="1" applyAlignment="1" applyProtection="1">
      <alignment horizontal="right"/>
      <protection locked="0"/>
    </xf>
    <xf numFmtId="3" fontId="3" fillId="19" borderId="225" xfId="0" applyNumberFormat="1" applyFont="1" applyFill="1" applyBorder="1" applyAlignment="1" applyProtection="1">
      <alignment horizontal="right"/>
    </xf>
    <xf numFmtId="3" fontId="3" fillId="3" borderId="147" xfId="0" applyNumberFormat="1" applyFont="1" applyFill="1" applyBorder="1" applyAlignment="1" applyProtection="1">
      <alignment horizontal="right"/>
    </xf>
    <xf numFmtId="3" fontId="3" fillId="3" borderId="218" xfId="0" applyNumberFormat="1" applyFont="1" applyFill="1" applyBorder="1" applyAlignment="1" applyProtection="1">
      <alignment horizontal="right"/>
    </xf>
    <xf numFmtId="3" fontId="14" fillId="2" borderId="86" xfId="0" applyNumberFormat="1" applyFont="1" applyFill="1" applyBorder="1" applyAlignment="1" applyProtection="1">
      <alignment horizontal="right"/>
      <protection locked="0"/>
    </xf>
    <xf numFmtId="3" fontId="3" fillId="3" borderId="206" xfId="0" applyNumberFormat="1" applyFont="1" applyFill="1" applyBorder="1" applyAlignment="1" applyProtection="1">
      <alignment horizontal="right"/>
    </xf>
    <xf numFmtId="3" fontId="6" fillId="0" borderId="58" xfId="0" applyNumberFormat="1" applyFont="1" applyFill="1" applyBorder="1" applyAlignment="1" applyProtection="1">
      <alignment horizontal="left"/>
    </xf>
    <xf numFmtId="3" fontId="4" fillId="0" borderId="0" xfId="0" applyNumberFormat="1" applyFont="1" applyFill="1" applyBorder="1" applyAlignment="1" applyProtection="1">
      <alignment horizontal="left"/>
    </xf>
    <xf numFmtId="3" fontId="6" fillId="0" borderId="58" xfId="0" applyNumberFormat="1" applyFont="1" applyFill="1" applyBorder="1" applyAlignment="1" applyProtection="1">
      <alignment horizontal="left" vertical="top" wrapText="1"/>
    </xf>
    <xf numFmtId="3" fontId="4" fillId="0" borderId="0" xfId="0" applyNumberFormat="1" applyFont="1" applyFill="1" applyBorder="1" applyAlignment="1" applyProtection="1">
      <alignment horizontal="left" wrapText="1"/>
    </xf>
    <xf numFmtId="0" fontId="6" fillId="0" borderId="58" xfId="0" applyFont="1" applyFill="1" applyBorder="1" applyAlignment="1" applyProtection="1">
      <alignment horizontal="left"/>
    </xf>
    <xf numFmtId="3" fontId="4" fillId="0" borderId="0" xfId="0" applyNumberFormat="1" applyFont="1" applyFill="1" applyBorder="1" applyAlignment="1" applyProtection="1">
      <alignment horizontal="left" vertical="top"/>
    </xf>
    <xf numFmtId="3" fontId="4" fillId="0" borderId="58" xfId="0" applyNumberFormat="1" applyFont="1" applyFill="1" applyBorder="1" applyAlignment="1" applyProtection="1">
      <alignment horizontal="left" vertical="top" wrapText="1"/>
    </xf>
    <xf numFmtId="0" fontId="3" fillId="0" borderId="0" xfId="0" applyFont="1" applyBorder="1" applyAlignment="1" applyProtection="1"/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vertical="top"/>
    </xf>
    <xf numFmtId="0" fontId="4" fillId="0" borderId="0" xfId="0" applyFont="1" applyBorder="1" applyAlignment="1" applyProtection="1"/>
    <xf numFmtId="49" fontId="9" fillId="19" borderId="10" xfId="0" applyNumberFormat="1" applyFont="1" applyFill="1" applyBorder="1" applyAlignment="1" applyProtection="1">
      <alignment horizontal="left"/>
    </xf>
    <xf numFmtId="49" fontId="9" fillId="19" borderId="106" xfId="0" applyNumberFormat="1" applyFont="1" applyFill="1" applyBorder="1" applyAlignment="1" applyProtection="1">
      <alignment horizontal="center"/>
    </xf>
    <xf numFmtId="49" fontId="4" fillId="19" borderId="70" xfId="0" applyNumberFormat="1" applyFont="1" applyFill="1" applyBorder="1" applyAlignment="1" applyProtection="1">
      <alignment horizontal="center" wrapText="1"/>
    </xf>
    <xf numFmtId="49" fontId="9" fillId="19" borderId="71" xfId="0" applyNumberFormat="1" applyFont="1" applyFill="1" applyBorder="1" applyAlignment="1" applyProtection="1">
      <alignment horizontal="left"/>
    </xf>
    <xf numFmtId="49" fontId="4" fillId="19" borderId="64" xfId="0" applyNumberFormat="1" applyFont="1" applyFill="1" applyBorder="1" applyAlignment="1" applyProtection="1">
      <alignment horizontal="left"/>
    </xf>
    <xf numFmtId="49" fontId="4" fillId="19" borderId="91" xfId="0" applyNumberFormat="1" applyFont="1" applyFill="1" applyBorder="1" applyAlignment="1" applyProtection="1">
      <alignment horizontal="center"/>
    </xf>
    <xf numFmtId="49" fontId="4" fillId="19" borderId="179" xfId="0" applyNumberFormat="1" applyFont="1" applyFill="1" applyBorder="1" applyAlignment="1" applyProtection="1">
      <alignment horizontal="left"/>
    </xf>
    <xf numFmtId="49" fontId="4" fillId="19" borderId="226" xfId="0" applyNumberFormat="1" applyFont="1" applyFill="1" applyBorder="1" applyAlignment="1" applyProtection="1">
      <alignment horizontal="left"/>
    </xf>
    <xf numFmtId="3" fontId="3" fillId="2" borderId="7" xfId="0" applyNumberFormat="1" applyFont="1" applyFill="1" applyBorder="1" applyAlignment="1" applyProtection="1">
      <alignment horizontal="right"/>
      <protection locked="0"/>
    </xf>
    <xf numFmtId="3" fontId="3" fillId="2" borderId="106" xfId="0" applyNumberFormat="1" applyFont="1" applyFill="1" applyBorder="1" applyAlignment="1" applyProtection="1">
      <alignment horizontal="right"/>
      <protection locked="0"/>
    </xf>
    <xf numFmtId="0" fontId="3" fillId="19" borderId="110" xfId="0" applyFont="1" applyFill="1" applyBorder="1" applyProtection="1"/>
    <xf numFmtId="49" fontId="4" fillId="19" borderId="114" xfId="0" applyNumberFormat="1" applyFont="1" applyFill="1" applyBorder="1" applyAlignment="1" applyProtection="1">
      <alignment horizontal="left"/>
    </xf>
    <xf numFmtId="49" fontId="4" fillId="19" borderId="71" xfId="0" applyNumberFormat="1" applyFont="1" applyFill="1" applyBorder="1" applyAlignment="1" applyProtection="1">
      <alignment horizontal="left"/>
    </xf>
    <xf numFmtId="0" fontId="54" fillId="19" borderId="227" xfId="0" applyFont="1" applyFill="1" applyBorder="1" applyProtection="1"/>
    <xf numFmtId="0" fontId="126" fillId="2" borderId="67" xfId="0" applyFont="1" applyFill="1" applyBorder="1" applyProtection="1"/>
    <xf numFmtId="49" fontId="4" fillId="19" borderId="25" xfId="0" applyNumberFormat="1" applyFont="1" applyFill="1" applyBorder="1" applyAlignment="1" applyProtection="1">
      <alignment horizontal="center"/>
    </xf>
    <xf numFmtId="0" fontId="4" fillId="19" borderId="117" xfId="0" applyNumberFormat="1" applyFont="1" applyFill="1" applyBorder="1" applyAlignment="1" applyProtection="1">
      <alignment horizontal="center" vertical="top" wrapText="1"/>
    </xf>
    <xf numFmtId="0" fontId="4" fillId="19" borderId="3" xfId="0" applyNumberFormat="1" applyFont="1" applyFill="1" applyBorder="1" applyAlignment="1" applyProtection="1">
      <alignment horizontal="center" vertical="top" wrapText="1"/>
    </xf>
    <xf numFmtId="0" fontId="3" fillId="19" borderId="98" xfId="0" applyFont="1" applyFill="1" applyBorder="1" applyAlignment="1" applyProtection="1">
      <alignment horizontal="left" vertical="top" wrapText="1"/>
    </xf>
    <xf numFmtId="0" fontId="4" fillId="19" borderId="111" xfId="6" applyFont="1" applyFill="1" applyBorder="1" applyAlignment="1" applyProtection="1">
      <alignment horizontal="left" vertical="top"/>
    </xf>
    <xf numFmtId="3" fontId="47" fillId="19" borderId="9" xfId="6" applyNumberFormat="1" applyFont="1" applyFill="1" applyBorder="1" applyAlignment="1" applyProtection="1">
      <alignment horizontal="right"/>
    </xf>
    <xf numFmtId="3" fontId="4" fillId="19" borderId="0" xfId="6" applyNumberFormat="1" applyFont="1" applyFill="1" applyBorder="1" applyAlignment="1" applyProtection="1">
      <alignment horizontal="right"/>
    </xf>
    <xf numFmtId="0" fontId="4" fillId="19" borderId="3" xfId="0" applyFont="1" applyFill="1" applyBorder="1" applyAlignment="1" applyProtection="1">
      <alignment vertical="top" wrapText="1"/>
    </xf>
    <xf numFmtId="3" fontId="3" fillId="2" borderId="227" xfId="0" applyNumberFormat="1" applyFont="1" applyFill="1" applyBorder="1" applyProtection="1">
      <protection locked="0"/>
    </xf>
    <xf numFmtId="3" fontId="3" fillId="2" borderId="110" xfId="0" applyNumberFormat="1" applyFont="1" applyFill="1" applyBorder="1" applyProtection="1">
      <protection locked="0"/>
    </xf>
    <xf numFmtId="3" fontId="3" fillId="0" borderId="34" xfId="0" applyNumberFormat="1" applyFont="1" applyFill="1" applyBorder="1" applyProtection="1">
      <protection locked="0"/>
    </xf>
    <xf numFmtId="3" fontId="3" fillId="0" borderId="114" xfId="0" applyNumberFormat="1" applyFont="1" applyFill="1" applyBorder="1" applyProtection="1">
      <protection locked="0"/>
    </xf>
    <xf numFmtId="3" fontId="14" fillId="0" borderId="22" xfId="0" applyNumberFormat="1" applyFont="1" applyFill="1" applyBorder="1" applyAlignment="1" applyProtection="1">
      <alignment horizontal="right"/>
      <protection locked="0"/>
    </xf>
    <xf numFmtId="3" fontId="14" fillId="0" borderId="5" xfId="0" applyNumberFormat="1" applyFont="1" applyFill="1" applyBorder="1" applyAlignment="1" applyProtection="1">
      <alignment horizontal="right"/>
      <protection locked="0"/>
    </xf>
    <xf numFmtId="3" fontId="14" fillId="0" borderId="21" xfId="0" applyNumberFormat="1" applyFont="1" applyFill="1" applyBorder="1" applyAlignment="1" applyProtection="1">
      <alignment horizontal="right"/>
      <protection locked="0"/>
    </xf>
    <xf numFmtId="3" fontId="14" fillId="0" borderId="2" xfId="0" applyNumberFormat="1" applyFont="1" applyFill="1" applyBorder="1" applyAlignment="1" applyProtection="1">
      <alignment horizontal="right"/>
      <protection locked="0"/>
    </xf>
    <xf numFmtId="3" fontId="14" fillId="26" borderId="29" xfId="0" applyNumberFormat="1" applyFont="1" applyFill="1" applyBorder="1" applyAlignment="1" applyProtection="1">
      <alignment horizontal="right"/>
    </xf>
    <xf numFmtId="3" fontId="3" fillId="19" borderId="94" xfId="0" applyNumberFormat="1" applyFont="1" applyFill="1" applyBorder="1" applyAlignment="1" applyProtection="1">
      <alignment horizontal="right"/>
    </xf>
    <xf numFmtId="3" fontId="3" fillId="3" borderId="85" xfId="0" applyNumberFormat="1" applyFont="1" applyFill="1" applyBorder="1" applyAlignment="1" applyProtection="1">
      <alignment horizontal="right"/>
    </xf>
    <xf numFmtId="0" fontId="23" fillId="0" borderId="0" xfId="0" quotePrefix="1" applyFont="1" applyBorder="1" applyAlignment="1" applyProtection="1">
      <alignment vertical="top" wrapText="1"/>
    </xf>
    <xf numFmtId="0" fontId="4" fillId="0" borderId="0" xfId="0" applyFont="1" applyAlignment="1" applyProtection="1"/>
    <xf numFmtId="0" fontId="3" fillId="0" borderId="0" xfId="0" applyFont="1" applyBorder="1" applyAlignment="1" applyProtection="1">
      <alignment wrapText="1"/>
    </xf>
    <xf numFmtId="3" fontId="4" fillId="19" borderId="20" xfId="6" applyNumberFormat="1" applyFont="1" applyFill="1" applyBorder="1" applyAlignment="1" applyProtection="1">
      <alignment horizontal="center"/>
    </xf>
    <xf numFmtId="0" fontId="4" fillId="19" borderId="71" xfId="0" applyFont="1" applyFill="1" applyBorder="1" applyProtection="1"/>
    <xf numFmtId="3" fontId="3" fillId="31" borderId="113" xfId="6" applyNumberFormat="1" applyFont="1" applyFill="1" applyBorder="1" applyProtection="1"/>
    <xf numFmtId="3" fontId="3" fillId="31" borderId="5" xfId="6" applyNumberFormat="1" applyFont="1" applyFill="1" applyBorder="1" applyAlignment="1" applyProtection="1">
      <alignment horizontal="right"/>
    </xf>
    <xf numFmtId="3" fontId="3" fillId="31" borderId="70" xfId="6" applyNumberFormat="1" applyFont="1" applyFill="1" applyBorder="1" applyAlignment="1" applyProtection="1">
      <alignment horizontal="right"/>
    </xf>
    <xf numFmtId="3" fontId="3" fillId="31" borderId="25" xfId="6" applyNumberFormat="1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vertical="top" wrapText="1"/>
    </xf>
    <xf numFmtId="3" fontId="36" fillId="19" borderId="5" xfId="6" applyNumberFormat="1" applyFont="1" applyFill="1" applyBorder="1" applyAlignment="1" applyProtection="1">
      <alignment horizontal="left"/>
    </xf>
    <xf numFmtId="3" fontId="36" fillId="19" borderId="0" xfId="6" applyNumberFormat="1" applyFont="1" applyFill="1" applyBorder="1" applyAlignment="1" applyProtection="1">
      <alignment horizontal="right"/>
    </xf>
    <xf numFmtId="3" fontId="4" fillId="19" borderId="15" xfId="6" applyNumberFormat="1" applyFont="1" applyFill="1" applyBorder="1" applyAlignment="1" applyProtection="1">
      <alignment vertical="top" wrapText="1"/>
    </xf>
    <xf numFmtId="3" fontId="4" fillId="19" borderId="160" xfId="6" applyNumberFormat="1" applyFont="1" applyFill="1" applyBorder="1" applyAlignment="1" applyProtection="1">
      <alignment vertical="center" wrapText="1"/>
    </xf>
    <xf numFmtId="49" fontId="6" fillId="19" borderId="21" xfId="0" applyNumberFormat="1" applyFont="1" applyFill="1" applyBorder="1" applyAlignment="1" applyProtection="1">
      <alignment horizontal="center"/>
    </xf>
    <xf numFmtId="49" fontId="4" fillId="19" borderId="70" xfId="0" applyNumberFormat="1" applyFont="1" applyFill="1" applyBorder="1" applyAlignment="1" applyProtection="1">
      <alignment horizontal="center"/>
    </xf>
    <xf numFmtId="166" fontId="6" fillId="19" borderId="88" xfId="0" applyNumberFormat="1" applyFont="1" applyFill="1" applyBorder="1" applyAlignment="1" applyProtection="1">
      <alignment horizontal="left"/>
    </xf>
    <xf numFmtId="166" fontId="4" fillId="19" borderId="60" xfId="0" applyNumberFormat="1" applyFont="1" applyFill="1" applyBorder="1" applyAlignment="1" applyProtection="1">
      <alignment horizontal="left"/>
    </xf>
    <xf numFmtId="0" fontId="6" fillId="19" borderId="88" xfId="0" applyFont="1" applyFill="1" applyBorder="1" applyAlignment="1" applyProtection="1">
      <alignment horizontal="left"/>
    </xf>
    <xf numFmtId="0" fontId="136" fillId="19" borderId="101" xfId="0" applyFont="1" applyFill="1" applyBorder="1" applyAlignment="1" applyProtection="1">
      <alignment vertical="top" wrapText="1"/>
    </xf>
    <xf numFmtId="0" fontId="136" fillId="19" borderId="88" xfId="0" applyFont="1" applyFill="1" applyBorder="1" applyAlignment="1" applyProtection="1">
      <alignment vertical="top" wrapText="1"/>
    </xf>
    <xf numFmtId="0" fontId="112" fillId="19" borderId="5" xfId="0" applyFont="1" applyFill="1" applyBorder="1" applyProtection="1"/>
    <xf numFmtId="0" fontId="112" fillId="19" borderId="25" xfId="0" applyFont="1" applyFill="1" applyBorder="1" applyProtection="1"/>
    <xf numFmtId="49" fontId="4" fillId="19" borderId="22" xfId="6" applyNumberFormat="1" applyFont="1" applyFill="1" applyBorder="1" applyAlignment="1" applyProtection="1">
      <alignment horizontal="center"/>
    </xf>
    <xf numFmtId="49" fontId="4" fillId="19" borderId="24" xfId="6" applyNumberFormat="1" applyFont="1" applyFill="1" applyBorder="1" applyAlignment="1" applyProtection="1">
      <alignment horizontal="center"/>
    </xf>
    <xf numFmtId="0" fontId="6" fillId="19" borderId="84" xfId="6" applyFont="1" applyFill="1" applyBorder="1" applyProtection="1"/>
    <xf numFmtId="3" fontId="6" fillId="19" borderId="118" xfId="6" applyNumberFormat="1" applyFont="1" applyFill="1" applyBorder="1" applyAlignment="1" applyProtection="1">
      <alignment horizontal="left" vertical="top" wrapText="1"/>
    </xf>
    <xf numFmtId="3" fontId="6" fillId="19" borderId="88" xfId="6" applyNumberFormat="1" applyFont="1" applyFill="1" applyBorder="1" applyAlignment="1" applyProtection="1">
      <alignment horizontal="left" vertical="top" wrapText="1"/>
    </xf>
    <xf numFmtId="3" fontId="6" fillId="19" borderId="15" xfId="6" applyNumberFormat="1" applyFont="1" applyFill="1" applyBorder="1" applyAlignment="1" applyProtection="1">
      <alignment horizontal="left"/>
    </xf>
    <xf numFmtId="3" fontId="6" fillId="19" borderId="60" xfId="6" applyNumberFormat="1" applyFont="1" applyFill="1" applyBorder="1" applyAlignment="1" applyProtection="1">
      <alignment horizontal="left"/>
    </xf>
    <xf numFmtId="3" fontId="6" fillId="19" borderId="15" xfId="6" applyNumberFormat="1" applyFont="1" applyFill="1" applyBorder="1" applyAlignment="1" applyProtection="1">
      <alignment horizontal="left" vertical="top"/>
    </xf>
    <xf numFmtId="3" fontId="6" fillId="19" borderId="60" xfId="6" quotePrefix="1" applyNumberFormat="1" applyFont="1" applyFill="1" applyBorder="1" applyAlignment="1" applyProtection="1">
      <alignment horizontal="left" vertical="top"/>
    </xf>
    <xf numFmtId="3" fontId="4" fillId="19" borderId="15" xfId="6" applyNumberFormat="1" applyFont="1" applyFill="1" applyBorder="1" applyAlignment="1" applyProtection="1">
      <alignment horizontal="left" vertical="top" wrapText="1"/>
    </xf>
    <xf numFmtId="0" fontId="4" fillId="19" borderId="60" xfId="6" applyFont="1" applyFill="1" applyBorder="1" applyAlignment="1" applyProtection="1">
      <alignment horizontal="left" vertical="top" wrapText="1"/>
    </xf>
    <xf numFmtId="0" fontId="4" fillId="19" borderId="42" xfId="6" applyFont="1" applyFill="1" applyBorder="1" applyAlignment="1" applyProtection="1">
      <alignment horizontal="center" wrapText="1"/>
    </xf>
    <xf numFmtId="3" fontId="4" fillId="19" borderId="90" xfId="6" applyNumberFormat="1" applyFont="1" applyFill="1" applyBorder="1" applyAlignment="1" applyProtection="1">
      <alignment horizontal="center" wrapText="1"/>
    </xf>
    <xf numFmtId="3" fontId="6" fillId="19" borderId="194" xfId="6" applyNumberFormat="1" applyFont="1" applyFill="1" applyBorder="1" applyProtection="1"/>
    <xf numFmtId="3" fontId="6" fillId="19" borderId="0" xfId="6" applyNumberFormat="1" applyFont="1" applyFill="1" applyBorder="1" applyAlignment="1" applyProtection="1">
      <alignment vertical="center"/>
    </xf>
    <xf numFmtId="3" fontId="4" fillId="19" borderId="194" xfId="0" applyNumberFormat="1" applyFont="1" applyFill="1" applyBorder="1" applyAlignment="1" applyProtection="1"/>
    <xf numFmtId="49" fontId="4" fillId="19" borderId="2" xfId="0" applyNumberFormat="1" applyFont="1" applyFill="1" applyBorder="1" applyAlignment="1" applyProtection="1">
      <alignment horizontal="left" vertical="top" wrapText="1"/>
    </xf>
    <xf numFmtId="0" fontId="140" fillId="0" borderId="0" xfId="0" quotePrefix="1" applyFont="1" applyFill="1" applyProtection="1"/>
    <xf numFmtId="49" fontId="4" fillId="19" borderId="58" xfId="0" applyNumberFormat="1" applyFont="1" applyFill="1" applyBorder="1" applyAlignment="1" applyProtection="1">
      <alignment horizontal="center"/>
    </xf>
    <xf numFmtId="2" fontId="4" fillId="19" borderId="172" xfId="0" applyNumberFormat="1" applyFont="1" applyFill="1" applyBorder="1" applyAlignment="1" applyProtection="1">
      <alignment horizontal="left"/>
    </xf>
    <xf numFmtId="2" fontId="4" fillId="19" borderId="11" xfId="0" applyNumberFormat="1" applyFont="1" applyFill="1" applyBorder="1" applyAlignment="1" applyProtection="1">
      <alignment horizontal="left"/>
    </xf>
    <xf numFmtId="2" fontId="4" fillId="19" borderId="128" xfId="0" applyNumberFormat="1" applyFont="1" applyFill="1" applyBorder="1" applyAlignment="1" applyProtection="1">
      <alignment horizontal="left"/>
    </xf>
    <xf numFmtId="3" fontId="3" fillId="0" borderId="124" xfId="0" applyNumberFormat="1" applyFont="1" applyFill="1" applyBorder="1" applyAlignment="1" applyProtection="1">
      <alignment horizontal="right"/>
      <protection locked="0"/>
    </xf>
    <xf numFmtId="49" fontId="4" fillId="0" borderId="124" xfId="0" applyNumberFormat="1" applyFont="1" applyFill="1" applyBorder="1" applyAlignment="1" applyProtection="1">
      <alignment horizontal="center"/>
    </xf>
    <xf numFmtId="0" fontId="4" fillId="0" borderId="124" xfId="0" applyFont="1" applyFill="1" applyBorder="1" applyProtection="1"/>
    <xf numFmtId="0" fontId="2" fillId="0" borderId="124" xfId="0" applyFont="1" applyFill="1" applyBorder="1" applyProtection="1"/>
    <xf numFmtId="3" fontId="14" fillId="0" borderId="44" xfId="0" applyNumberFormat="1" applyFont="1" applyFill="1" applyBorder="1" applyAlignment="1" applyProtection="1">
      <alignment horizontal="right"/>
      <protection locked="0"/>
    </xf>
    <xf numFmtId="49" fontId="9" fillId="19" borderId="16" xfId="0" applyNumberFormat="1" applyFont="1" applyFill="1" applyBorder="1" applyAlignment="1" applyProtection="1">
      <alignment horizontal="center"/>
    </xf>
    <xf numFmtId="1" fontId="9" fillId="19" borderId="15" xfId="0" applyNumberFormat="1" applyFont="1" applyFill="1" applyBorder="1" applyAlignment="1" applyProtection="1">
      <alignment horizontal="center"/>
    </xf>
    <xf numFmtId="1" fontId="9" fillId="19" borderId="68" xfId="0" applyNumberFormat="1" applyFont="1" applyFill="1" applyBorder="1" applyAlignment="1" applyProtection="1">
      <alignment horizontal="left"/>
    </xf>
    <xf numFmtId="3" fontId="6" fillId="19" borderId="224" xfId="6" applyNumberFormat="1" applyFont="1" applyFill="1" applyBorder="1" applyAlignment="1" applyProtection="1">
      <alignment horizontal="left" vertical="center" wrapText="1"/>
    </xf>
    <xf numFmtId="0" fontId="142" fillId="19" borderId="2" xfId="6" applyFont="1" applyFill="1" applyBorder="1" applyAlignment="1" applyProtection="1">
      <alignment horizontal="left"/>
    </xf>
    <xf numFmtId="49" fontId="112" fillId="19" borderId="22" xfId="0" applyNumberFormat="1" applyFont="1" applyFill="1" applyBorder="1" applyAlignment="1" applyProtection="1">
      <alignment horizontal="center"/>
    </xf>
    <xf numFmtId="0" fontId="112" fillId="19" borderId="24" xfId="0" applyFont="1" applyFill="1" applyBorder="1" applyAlignment="1" applyProtection="1">
      <alignment horizontal="center"/>
    </xf>
    <xf numFmtId="49" fontId="142" fillId="19" borderId="22" xfId="6" applyNumberFormat="1" applyFont="1" applyFill="1" applyBorder="1" applyAlignment="1" applyProtection="1">
      <alignment horizontal="center"/>
    </xf>
    <xf numFmtId="49" fontId="142" fillId="19" borderId="24" xfId="6" applyNumberFormat="1" applyFont="1" applyFill="1" applyBorder="1" applyAlignment="1" applyProtection="1">
      <alignment horizontal="center"/>
    </xf>
    <xf numFmtId="49" fontId="142" fillId="19" borderId="142" xfId="0" applyNumberFormat="1" applyFont="1" applyFill="1" applyBorder="1" applyAlignment="1" applyProtection="1">
      <alignment horizontal="center"/>
    </xf>
    <xf numFmtId="49" fontId="142" fillId="19" borderId="146" xfId="6" applyNumberFormat="1" applyFont="1" applyFill="1" applyBorder="1" applyAlignment="1" applyProtection="1">
      <alignment horizontal="center"/>
    </xf>
    <xf numFmtId="0" fontId="4" fillId="19" borderId="8" xfId="0" applyFont="1" applyFill="1" applyBorder="1" applyAlignment="1" applyProtection="1">
      <alignment horizontal="left" wrapText="1"/>
    </xf>
    <xf numFmtId="0" fontId="133" fillId="19" borderId="57" xfId="0" applyFont="1" applyFill="1" applyBorder="1" applyAlignment="1"/>
    <xf numFmtId="0" fontId="133" fillId="19" borderId="57" xfId="0" applyFont="1" applyFill="1" applyBorder="1" applyAlignment="1">
      <alignment horizontal="left" vertical="top"/>
    </xf>
    <xf numFmtId="3" fontId="132" fillId="19" borderId="0" xfId="0" applyNumberFormat="1" applyFont="1" applyFill="1" applyBorder="1" applyAlignment="1" applyProtection="1">
      <alignment horizontal="left" vertical="top"/>
    </xf>
    <xf numFmtId="0" fontId="133" fillId="19" borderId="0" xfId="0" applyFont="1" applyFill="1" applyAlignment="1">
      <alignment horizontal="left" vertical="top"/>
    </xf>
    <xf numFmtId="0" fontId="133" fillId="19" borderId="59" xfId="0" applyFont="1" applyFill="1" applyBorder="1" applyAlignment="1">
      <alignment horizontal="left" vertical="top"/>
    </xf>
    <xf numFmtId="0" fontId="143" fillId="19" borderId="9" xfId="0" applyFont="1" applyFill="1" applyBorder="1" applyAlignment="1" applyProtection="1">
      <alignment horizontal="left"/>
    </xf>
    <xf numFmtId="0" fontId="142" fillId="19" borderId="5" xfId="0" applyFont="1" applyFill="1" applyBorder="1" applyAlignment="1" applyProtection="1">
      <alignment horizontal="left"/>
    </xf>
    <xf numFmtId="3" fontId="3" fillId="20" borderId="20" xfId="0" applyNumberFormat="1" applyFont="1" applyFill="1" applyBorder="1" applyProtection="1"/>
    <xf numFmtId="0" fontId="142" fillId="19" borderId="25" xfId="0" applyFont="1" applyFill="1" applyBorder="1" applyAlignment="1" applyProtection="1">
      <alignment horizontal="left"/>
    </xf>
    <xf numFmtId="3" fontId="3" fillId="9" borderId="182" xfId="0" applyNumberFormat="1" applyFont="1" applyFill="1" applyBorder="1" applyProtection="1"/>
    <xf numFmtId="3" fontId="3" fillId="19" borderId="32" xfId="0" applyNumberFormat="1" applyFont="1" applyFill="1" applyBorder="1" applyAlignment="1" applyProtection="1">
      <alignment horizontal="right"/>
    </xf>
    <xf numFmtId="0" fontId="8" fillId="19" borderId="79" xfId="0" applyFont="1" applyFill="1" applyBorder="1" applyAlignment="1" applyProtection="1">
      <alignment wrapText="1"/>
    </xf>
    <xf numFmtId="0" fontId="13" fillId="19" borderId="73" xfId="0" applyFont="1" applyFill="1" applyBorder="1" applyProtection="1"/>
    <xf numFmtId="3" fontId="3" fillId="0" borderId="19" xfId="0" applyNumberFormat="1" applyFont="1" applyFill="1" applyBorder="1" applyProtection="1">
      <protection locked="0"/>
    </xf>
    <xf numFmtId="3" fontId="3" fillId="0" borderId="26" xfId="0" applyNumberFormat="1" applyFont="1" applyFill="1" applyBorder="1" applyProtection="1">
      <protection locked="0"/>
    </xf>
    <xf numFmtId="3" fontId="3" fillId="2" borderId="83" xfId="0" applyNumberFormat="1" applyFont="1" applyFill="1" applyBorder="1" applyProtection="1">
      <protection locked="0"/>
    </xf>
    <xf numFmtId="0" fontId="132" fillId="19" borderId="27" xfId="0" applyFont="1" applyFill="1" applyBorder="1" applyAlignment="1" applyProtection="1"/>
    <xf numFmtId="0" fontId="0" fillId="19" borderId="0" xfId="0" applyFill="1" applyAlignment="1"/>
    <xf numFmtId="0" fontId="0" fillId="19" borderId="57" xfId="0" applyFill="1" applyBorder="1" applyAlignment="1"/>
    <xf numFmtId="0" fontId="142" fillId="19" borderId="0" xfId="0" applyFont="1" applyFill="1" applyAlignment="1">
      <alignment wrapText="1"/>
    </xf>
    <xf numFmtId="0" fontId="142" fillId="19" borderId="57" xfId="0" applyFont="1" applyFill="1" applyBorder="1" applyAlignment="1">
      <alignment wrapText="1"/>
    </xf>
    <xf numFmtId="0" fontId="142" fillId="19" borderId="222" xfId="0" applyFont="1" applyFill="1" applyBorder="1" applyAlignment="1">
      <alignment wrapText="1"/>
    </xf>
    <xf numFmtId="0" fontId="142" fillId="19" borderId="223" xfId="0" applyFont="1" applyFill="1" applyBorder="1" applyAlignment="1">
      <alignment wrapText="1"/>
    </xf>
    <xf numFmtId="0" fontId="133" fillId="19" borderId="56" xfId="0" applyFont="1" applyFill="1" applyBorder="1" applyAlignment="1"/>
    <xf numFmtId="0" fontId="145" fillId="19" borderId="0" xfId="0" applyFont="1" applyFill="1" applyBorder="1" applyAlignment="1">
      <alignment vertical="top" wrapText="1"/>
    </xf>
    <xf numFmtId="0" fontId="144" fillId="19" borderId="0" xfId="0" applyFont="1" applyFill="1" applyAlignment="1">
      <alignment vertical="top" wrapText="1"/>
    </xf>
    <xf numFmtId="0" fontId="144" fillId="19" borderId="57" xfId="0" applyFont="1" applyFill="1" applyBorder="1" applyAlignment="1">
      <alignment vertical="top" wrapText="1"/>
    </xf>
    <xf numFmtId="0" fontId="144" fillId="19" borderId="0" xfId="0" applyFont="1" applyFill="1" applyAlignment="1">
      <alignment wrapText="1"/>
    </xf>
    <xf numFmtId="0" fontId="144" fillId="19" borderId="57" xfId="0" applyFont="1" applyFill="1" applyBorder="1" applyAlignment="1">
      <alignment wrapText="1"/>
    </xf>
    <xf numFmtId="0" fontId="143" fillId="19" borderId="0" xfId="0" applyFont="1" applyFill="1" applyAlignment="1">
      <alignment wrapText="1"/>
    </xf>
    <xf numFmtId="0" fontId="143" fillId="19" borderId="57" xfId="0" applyFont="1" applyFill="1" applyBorder="1" applyAlignment="1">
      <alignment wrapText="1"/>
    </xf>
    <xf numFmtId="0" fontId="125" fillId="19" borderId="0" xfId="0" applyFont="1" applyFill="1" applyBorder="1" applyAlignment="1" applyProtection="1">
      <alignment wrapText="1"/>
    </xf>
    <xf numFmtId="0" fontId="0" fillId="19" borderId="0" xfId="0" applyFill="1" applyAlignment="1">
      <alignment wrapText="1"/>
    </xf>
    <xf numFmtId="3" fontId="132" fillId="19" borderId="56" xfId="6" applyNumberFormat="1" applyFont="1" applyFill="1" applyBorder="1" applyAlignment="1" applyProtection="1">
      <alignment horizontal="left" vertical="top"/>
    </xf>
    <xf numFmtId="0" fontId="145" fillId="19" borderId="0" xfId="0" applyFont="1" applyFill="1" applyAlignment="1">
      <alignment vertical="top" wrapText="1"/>
    </xf>
    <xf numFmtId="0" fontId="146" fillId="19" borderId="39" xfId="0" applyFont="1" applyFill="1" applyBorder="1" applyAlignment="1">
      <alignment horizontal="left" vertical="top"/>
    </xf>
    <xf numFmtId="3" fontId="4" fillId="19" borderId="124" xfId="6" applyNumberFormat="1" applyFont="1" applyFill="1" applyBorder="1" applyAlignment="1" applyProtection="1">
      <alignment horizontal="right"/>
    </xf>
    <xf numFmtId="3" fontId="4" fillId="19" borderId="56" xfId="6" applyNumberFormat="1" applyFont="1" applyFill="1" applyBorder="1" applyAlignment="1" applyProtection="1">
      <alignment horizontal="right"/>
    </xf>
    <xf numFmtId="3" fontId="132" fillId="19" borderId="0" xfId="6" applyNumberFormat="1" applyFont="1" applyFill="1" applyBorder="1" applyAlignment="1" applyProtection="1">
      <alignment horizontal="left" vertical="top"/>
    </xf>
    <xf numFmtId="0" fontId="146" fillId="19" borderId="0" xfId="0" applyFont="1" applyFill="1" applyBorder="1" applyAlignment="1">
      <alignment horizontal="left" vertical="top"/>
    </xf>
    <xf numFmtId="0" fontId="0" fillId="19" borderId="57" xfId="0" applyFill="1" applyBorder="1" applyAlignment="1">
      <alignment wrapText="1"/>
    </xf>
    <xf numFmtId="0" fontId="0" fillId="19" borderId="0" xfId="0" applyFill="1" applyAlignment="1">
      <alignment horizontal="left" vertical="top" wrapText="1"/>
    </xf>
    <xf numFmtId="0" fontId="142" fillId="19" borderId="39" xfId="0" applyFont="1" applyFill="1" applyBorder="1" applyAlignment="1">
      <alignment wrapText="1"/>
    </xf>
    <xf numFmtId="0" fontId="142" fillId="19" borderId="59" xfId="0" applyFont="1" applyFill="1" applyBorder="1" applyAlignment="1">
      <alignment wrapText="1"/>
    </xf>
    <xf numFmtId="0" fontId="8" fillId="19" borderId="0" xfId="0" applyFont="1" applyFill="1" applyAlignment="1">
      <alignment wrapText="1"/>
    </xf>
    <xf numFmtId="0" fontId="8" fillId="19" borderId="57" xfId="0" applyFont="1" applyFill="1" applyBorder="1" applyAlignment="1">
      <alignment wrapText="1"/>
    </xf>
    <xf numFmtId="0" fontId="0" fillId="19" borderId="57" xfId="0" applyFill="1" applyBorder="1" applyAlignment="1">
      <alignment horizontal="left" vertical="top" wrapText="1"/>
    </xf>
    <xf numFmtId="0" fontId="143" fillId="19" borderId="73" xfId="6" applyFont="1" applyFill="1" applyBorder="1" applyAlignment="1" applyProtection="1">
      <alignment horizontal="right" wrapText="1"/>
    </xf>
    <xf numFmtId="0" fontId="4" fillId="19" borderId="79" xfId="6" applyFont="1" applyFill="1" applyBorder="1" applyAlignment="1" applyProtection="1">
      <alignment horizontal="left" wrapText="1"/>
    </xf>
    <xf numFmtId="1" fontId="125" fillId="0" borderId="58" xfId="0" applyNumberFormat="1" applyFont="1" applyFill="1" applyBorder="1" applyAlignment="1" applyProtection="1">
      <alignment horizontal="left"/>
    </xf>
    <xf numFmtId="0" fontId="140" fillId="0" borderId="0" xfId="0" applyFont="1" applyFill="1" applyBorder="1" applyProtection="1"/>
    <xf numFmtId="3" fontId="36" fillId="19" borderId="5" xfId="6" quotePrefix="1" applyNumberFormat="1" applyFont="1" applyFill="1" applyBorder="1" applyAlignment="1" applyProtection="1">
      <alignment horizontal="left"/>
    </xf>
    <xf numFmtId="3" fontId="36" fillId="19" borderId="2" xfId="6" applyNumberFormat="1" applyFont="1" applyFill="1" applyBorder="1" applyAlignment="1" applyProtection="1">
      <alignment horizontal="left"/>
    </xf>
    <xf numFmtId="3" fontId="36" fillId="0" borderId="56" xfId="6" quotePrefix="1" applyNumberFormat="1" applyFont="1" applyFill="1" applyBorder="1" applyAlignment="1" applyProtection="1">
      <alignment horizontal="left"/>
    </xf>
    <xf numFmtId="3" fontId="141" fillId="0" borderId="73" xfId="6" quotePrefix="1" applyNumberFormat="1" applyFont="1" applyFill="1" applyBorder="1" applyAlignment="1" applyProtection="1">
      <alignment horizontal="left"/>
    </xf>
    <xf numFmtId="3" fontId="141" fillId="0" borderId="75" xfId="6" quotePrefix="1" applyNumberFormat="1" applyFont="1" applyFill="1" applyBorder="1" applyAlignment="1" applyProtection="1">
      <alignment horizontal="left"/>
    </xf>
    <xf numFmtId="0" fontId="53" fillId="0" borderId="75" xfId="6" applyFont="1" applyFill="1" applyBorder="1" applyProtection="1"/>
    <xf numFmtId="0" fontId="53" fillId="0" borderId="123" xfId="6" applyFont="1" applyFill="1" applyBorder="1" applyProtection="1"/>
    <xf numFmtId="3" fontId="36" fillId="0" borderId="73" xfId="6" quotePrefix="1" applyNumberFormat="1" applyFont="1" applyFill="1" applyBorder="1" applyAlignment="1" applyProtection="1">
      <alignment horizontal="left"/>
    </xf>
    <xf numFmtId="0" fontId="38" fillId="0" borderId="75" xfId="6" applyFont="1" applyFill="1" applyBorder="1" applyProtection="1"/>
    <xf numFmtId="0" fontId="38" fillId="0" borderId="73" xfId="6" applyFont="1" applyFill="1" applyBorder="1" applyProtection="1"/>
    <xf numFmtId="3" fontId="36" fillId="0" borderId="77" xfId="6" quotePrefix="1" applyNumberFormat="1" applyFont="1" applyFill="1" applyBorder="1" applyAlignment="1" applyProtection="1">
      <alignment horizontal="left"/>
    </xf>
    <xf numFmtId="0" fontId="125" fillId="0" borderId="0" xfId="0" applyFont="1" applyFill="1" applyAlignment="1" applyProtection="1"/>
    <xf numFmtId="49" fontId="142" fillId="19" borderId="7" xfId="0" applyNumberFormat="1" applyFont="1" applyFill="1" applyBorder="1" applyAlignment="1" applyProtection="1">
      <alignment horizontal="center"/>
    </xf>
    <xf numFmtId="3" fontId="3" fillId="0" borderId="32" xfId="0" applyNumberFormat="1" applyFont="1" applyFill="1" applyBorder="1" applyProtection="1">
      <protection locked="0"/>
    </xf>
    <xf numFmtId="0" fontId="150" fillId="2" borderId="0" xfId="0" applyFont="1" applyFill="1" applyBorder="1" applyAlignment="1" applyProtection="1">
      <alignment horizontal="left"/>
    </xf>
    <xf numFmtId="0" fontId="130" fillId="2" borderId="0" xfId="0" applyFont="1" applyFill="1" applyBorder="1" applyAlignment="1" applyProtection="1">
      <alignment horizontal="left"/>
    </xf>
    <xf numFmtId="166" fontId="130" fillId="0" borderId="0" xfId="0" applyNumberFormat="1" applyFont="1" applyFill="1" applyBorder="1" applyProtection="1"/>
    <xf numFmtId="0" fontId="151" fillId="2" borderId="0" xfId="0" applyFont="1" applyFill="1" applyProtection="1"/>
    <xf numFmtId="0" fontId="151" fillId="0" borderId="58" xfId="0" applyFont="1" applyFill="1" applyBorder="1" applyProtection="1"/>
    <xf numFmtId="0" fontId="151" fillId="0" borderId="0" xfId="0" applyFont="1" applyFill="1" applyProtection="1"/>
    <xf numFmtId="0" fontId="154" fillId="0" borderId="0" xfId="0" applyFont="1" applyBorder="1"/>
    <xf numFmtId="0" fontId="130" fillId="0" borderId="0" xfId="0" applyFont="1" applyFill="1" applyAlignment="1" applyProtection="1"/>
    <xf numFmtId="3" fontId="130" fillId="0" borderId="0" xfId="0" applyNumberFormat="1" applyFont="1" applyFill="1" applyBorder="1" applyProtection="1"/>
    <xf numFmtId="0" fontId="155" fillId="0" borderId="0" xfId="0" applyFont="1" applyFill="1" applyProtection="1"/>
    <xf numFmtId="0" fontId="156" fillId="0" borderId="57" xfId="0" applyFont="1" applyFill="1" applyBorder="1" applyProtection="1"/>
    <xf numFmtId="0" fontId="156" fillId="2" borderId="0" xfId="0" applyFont="1" applyFill="1" applyProtection="1"/>
    <xf numFmtId="0" fontId="0" fillId="27" borderId="0" xfId="0" applyFill="1" applyProtection="1"/>
    <xf numFmtId="0" fontId="156" fillId="0" borderId="0" xfId="0" applyFont="1" applyFill="1" applyProtection="1"/>
    <xf numFmtId="0" fontId="130" fillId="2" borderId="0" xfId="0" applyFont="1" applyFill="1" applyAlignment="1" applyProtection="1">
      <alignment vertical="top" wrapText="1"/>
    </xf>
    <xf numFmtId="3" fontId="11" fillId="32" borderId="52" xfId="0" applyNumberFormat="1" applyFont="1" applyFill="1" applyBorder="1" applyAlignment="1" applyProtection="1">
      <alignment horizontal="right"/>
      <protection locked="0"/>
    </xf>
    <xf numFmtId="0" fontId="130" fillId="0" borderId="0" xfId="0" quotePrefix="1" applyFont="1" applyFill="1" applyProtection="1"/>
    <xf numFmtId="0" fontId="157" fillId="0" borderId="0" xfId="0" applyFont="1" applyFill="1" applyAlignment="1" applyProtection="1">
      <alignment wrapText="1"/>
    </xf>
    <xf numFmtId="0" fontId="130" fillId="0" borderId="0" xfId="0" applyFont="1" applyFill="1" applyBorder="1" applyProtection="1"/>
    <xf numFmtId="3" fontId="130" fillId="2" borderId="0" xfId="0" applyNumberFormat="1" applyFont="1" applyFill="1" applyAlignment="1" applyProtection="1">
      <alignment vertical="top" wrapText="1"/>
    </xf>
    <xf numFmtId="0" fontId="158" fillId="2" borderId="0" xfId="0" applyFont="1" applyFill="1" applyProtection="1"/>
    <xf numFmtId="171" fontId="130" fillId="0" borderId="0" xfId="6" applyNumberFormat="1" applyFont="1" applyFill="1" applyBorder="1" applyAlignment="1" applyProtection="1">
      <alignment vertical="top" wrapText="1"/>
    </xf>
    <xf numFmtId="3" fontId="11" fillId="32" borderId="10" xfId="0" applyNumberFormat="1" applyFont="1" applyFill="1" applyBorder="1" applyAlignment="1" applyProtection="1">
      <alignment horizontal="right"/>
      <protection locked="0"/>
    </xf>
    <xf numFmtId="9" fontId="4" fillId="19" borderId="199" xfId="0" applyNumberFormat="1" applyFont="1" applyFill="1" applyBorder="1" applyAlignment="1" applyProtection="1">
      <alignment horizontal="right"/>
    </xf>
    <xf numFmtId="9" fontId="4" fillId="19" borderId="88" xfId="0" applyNumberFormat="1" applyFont="1" applyFill="1" applyBorder="1" applyAlignment="1" applyProtection="1">
      <alignment horizontal="right"/>
    </xf>
    <xf numFmtId="9" fontId="4" fillId="19" borderId="60" xfId="0" applyNumberFormat="1" applyFont="1" applyFill="1" applyBorder="1" applyAlignment="1" applyProtection="1">
      <alignment horizontal="right"/>
    </xf>
    <xf numFmtId="9" fontId="4" fillId="19" borderId="18" xfId="0" applyNumberFormat="1" applyFont="1" applyFill="1" applyBorder="1" applyAlignment="1" applyProtection="1">
      <alignment horizontal="right"/>
    </xf>
    <xf numFmtId="9" fontId="4" fillId="19" borderId="26" xfId="0" applyNumberFormat="1" applyFont="1" applyFill="1" applyBorder="1" applyAlignment="1" applyProtection="1">
      <alignment horizontal="right"/>
    </xf>
    <xf numFmtId="9" fontId="4" fillId="19" borderId="69" xfId="0" applyNumberFormat="1" applyFont="1" applyFill="1" applyBorder="1" applyAlignment="1" applyProtection="1">
      <alignment horizontal="right"/>
    </xf>
    <xf numFmtId="9" fontId="4" fillId="19" borderId="85" xfId="0" applyNumberFormat="1" applyFont="1" applyFill="1" applyBorder="1" applyAlignment="1" applyProtection="1">
      <alignment horizontal="right"/>
    </xf>
    <xf numFmtId="9" fontId="4" fillId="19" borderId="19" xfId="0" applyNumberFormat="1" applyFont="1" applyFill="1" applyBorder="1" applyAlignment="1" applyProtection="1">
      <alignment horizontal="right"/>
    </xf>
    <xf numFmtId="0" fontId="159" fillId="27" borderId="0" xfId="0" applyFont="1" applyFill="1" applyBorder="1" applyAlignment="1" applyProtection="1">
      <alignment horizontal="center"/>
    </xf>
    <xf numFmtId="0" fontId="130" fillId="27" borderId="0" xfId="0" applyFont="1" applyFill="1" applyBorder="1" applyAlignment="1" applyProtection="1">
      <alignment horizontal="left"/>
    </xf>
    <xf numFmtId="0" fontId="130" fillId="27" borderId="0" xfId="0" applyFont="1" applyFill="1" applyBorder="1" applyAlignment="1" applyProtection="1">
      <alignment horizontal="right"/>
    </xf>
    <xf numFmtId="9" fontId="130" fillId="27" borderId="0" xfId="0" applyNumberFormat="1" applyFont="1" applyFill="1" applyBorder="1" applyAlignment="1" applyProtection="1">
      <alignment horizontal="right"/>
    </xf>
    <xf numFmtId="0" fontId="20" fillId="0" borderId="0" xfId="0" applyFont="1" applyFill="1" applyProtection="1"/>
    <xf numFmtId="49" fontId="142" fillId="19" borderId="2" xfId="0" applyNumberFormat="1" applyFont="1" applyFill="1" applyBorder="1" applyAlignment="1" applyProtection="1">
      <alignment horizontal="center" vertical="top" wrapText="1"/>
    </xf>
    <xf numFmtId="0" fontId="19" fillId="27" borderId="0" xfId="0" applyFont="1" applyFill="1" applyBorder="1" applyAlignment="1" applyProtection="1">
      <alignment horizontal="left"/>
    </xf>
    <xf numFmtId="0" fontId="155" fillId="2" borderId="0" xfId="0" applyFont="1" applyFill="1" applyProtection="1"/>
    <xf numFmtId="0" fontId="149" fillId="2" borderId="0" xfId="0" applyFont="1" applyFill="1" applyProtection="1"/>
    <xf numFmtId="0" fontId="155" fillId="0" borderId="0" xfId="0" applyFont="1" applyFill="1" applyAlignment="1" applyProtection="1">
      <alignment horizontal="right" vertical="top" wrapText="1"/>
    </xf>
    <xf numFmtId="0" fontId="130" fillId="0" borderId="0" xfId="0" applyFont="1" applyFill="1" applyAlignment="1" applyProtection="1">
      <alignment horizontal="right" vertical="top"/>
    </xf>
    <xf numFmtId="0" fontId="155" fillId="0" borderId="0" xfId="0" applyFont="1" applyFill="1" applyAlignment="1" applyProtection="1">
      <alignment vertical="top" wrapText="1"/>
    </xf>
    <xf numFmtId="0" fontId="155" fillId="0" borderId="0" xfId="0" applyFont="1" applyFill="1" applyAlignment="1" applyProtection="1">
      <alignment horizontal="right"/>
    </xf>
    <xf numFmtId="0" fontId="155" fillId="0" borderId="0" xfId="0" applyFont="1" applyFill="1" applyAlignment="1" applyProtection="1">
      <alignment horizontal="left" wrapText="1"/>
    </xf>
    <xf numFmtId="49" fontId="4" fillId="19" borderId="42" xfId="0" applyNumberFormat="1" applyFont="1" applyFill="1" applyBorder="1" applyAlignment="1" applyProtection="1">
      <alignment horizontal="center"/>
    </xf>
    <xf numFmtId="3" fontId="11" fillId="32" borderId="0" xfId="0" applyNumberFormat="1" applyFont="1" applyFill="1" applyBorder="1" applyAlignment="1" applyProtection="1">
      <alignment horizontal="right"/>
      <protection locked="0"/>
    </xf>
    <xf numFmtId="0" fontId="0" fillId="27" borderId="0" xfId="0" applyFill="1" applyBorder="1" applyProtection="1"/>
    <xf numFmtId="0" fontId="159" fillId="2" borderId="0" xfId="0" applyFont="1" applyFill="1" applyBorder="1" applyAlignment="1" applyProtection="1">
      <alignment horizontal="right"/>
    </xf>
    <xf numFmtId="0" fontId="151" fillId="2" borderId="0" xfId="0" applyFont="1" applyFill="1" applyBorder="1" applyProtection="1"/>
    <xf numFmtId="0" fontId="160" fillId="2" borderId="0" xfId="0" applyFont="1" applyFill="1" applyProtection="1"/>
    <xf numFmtId="0" fontId="130" fillId="2" borderId="0" xfId="0" applyFont="1" applyFill="1" applyAlignment="1" applyProtection="1">
      <alignment horizontal="right"/>
    </xf>
    <xf numFmtId="0" fontId="130" fillId="2" borderId="0" xfId="0" applyFont="1" applyFill="1" applyAlignment="1" applyProtection="1"/>
    <xf numFmtId="0" fontId="156" fillId="0" borderId="0" xfId="0" applyFont="1" applyFill="1" applyBorder="1" applyProtection="1"/>
    <xf numFmtId="0" fontId="156" fillId="2" borderId="0" xfId="0" applyFont="1" applyFill="1" applyBorder="1" applyAlignment="1" applyProtection="1"/>
    <xf numFmtId="0" fontId="156" fillId="2" borderId="0" xfId="0" applyFont="1" applyFill="1" applyBorder="1" applyAlignment="1" applyProtection="1">
      <alignment vertical="top"/>
    </xf>
    <xf numFmtId="0" fontId="156" fillId="0" borderId="0" xfId="0" applyFont="1" applyBorder="1" applyAlignment="1">
      <alignment vertical="top"/>
    </xf>
    <xf numFmtId="0" fontId="158" fillId="0" borderId="0" xfId="0" applyFont="1" applyFill="1" applyBorder="1" applyProtection="1"/>
    <xf numFmtId="49" fontId="156" fillId="2" borderId="0" xfId="0" applyNumberFormat="1" applyFont="1" applyFill="1" applyProtection="1"/>
    <xf numFmtId="49" fontId="130" fillId="0" borderId="209" xfId="0" applyNumberFormat="1" applyFont="1" applyFill="1" applyBorder="1" applyAlignment="1" applyProtection="1">
      <alignment horizontal="center"/>
    </xf>
    <xf numFmtId="49" fontId="130" fillId="0" borderId="209" xfId="0" applyNumberFormat="1" applyFont="1" applyFill="1" applyBorder="1" applyAlignment="1" applyProtection="1">
      <alignment horizontal="center" wrapText="1"/>
    </xf>
    <xf numFmtId="49" fontId="130" fillId="0" borderId="209" xfId="0" applyNumberFormat="1" applyFont="1" applyFill="1" applyBorder="1" applyAlignment="1" applyProtection="1">
      <alignment horizontal="left"/>
    </xf>
    <xf numFmtId="49" fontId="130" fillId="0" borderId="67" xfId="0" applyNumberFormat="1" applyFont="1" applyFill="1" applyBorder="1" applyAlignment="1" applyProtection="1">
      <alignment horizontal="center"/>
    </xf>
    <xf numFmtId="49" fontId="130" fillId="0" borderId="67" xfId="0" applyNumberFormat="1" applyFont="1" applyFill="1" applyBorder="1" applyAlignment="1" applyProtection="1">
      <alignment horizontal="left"/>
    </xf>
    <xf numFmtId="49" fontId="130" fillId="0" borderId="0" xfId="0" applyNumberFormat="1" applyFont="1" applyFill="1" applyBorder="1" applyAlignment="1" applyProtection="1">
      <alignment horizontal="center"/>
    </xf>
    <xf numFmtId="49" fontId="130" fillId="0" borderId="0" xfId="0" applyNumberFormat="1" applyFont="1" applyFill="1" applyBorder="1" applyAlignment="1" applyProtection="1">
      <alignment horizontal="left"/>
    </xf>
    <xf numFmtId="3" fontId="151" fillId="0" borderId="0" xfId="0" applyNumberFormat="1" applyFont="1" applyFill="1" applyBorder="1" applyAlignment="1" applyProtection="1">
      <alignment horizontal="right"/>
      <protection locked="0"/>
    </xf>
    <xf numFmtId="3" fontId="151" fillId="2" borderId="0" xfId="0" applyNumberFormat="1" applyFont="1" applyFill="1" applyBorder="1" applyAlignment="1" applyProtection="1">
      <alignment horizontal="right"/>
      <protection locked="0"/>
    </xf>
    <xf numFmtId="0" fontId="156" fillId="2" borderId="0" xfId="0" applyFont="1" applyFill="1" applyBorder="1" applyProtection="1"/>
    <xf numFmtId="0" fontId="149" fillId="0" borderId="0" xfId="0" applyFont="1" applyFill="1" applyProtection="1"/>
    <xf numFmtId="165" fontId="155" fillId="0" borderId="1" xfId="0" applyNumberFormat="1" applyFont="1" applyFill="1" applyBorder="1" applyAlignment="1" applyProtection="1">
      <alignment horizontal="center" vertical="center"/>
    </xf>
    <xf numFmtId="0" fontId="161" fillId="2" borderId="0" xfId="0" applyFont="1" applyFill="1" applyProtection="1"/>
    <xf numFmtId="0" fontId="158" fillId="2" borderId="1" xfId="0" applyFont="1" applyFill="1" applyBorder="1" applyProtection="1"/>
    <xf numFmtId="0" fontId="156" fillId="0" borderId="0" xfId="0" applyFont="1" applyProtection="1"/>
    <xf numFmtId="0" fontId="149" fillId="2" borderId="0" xfId="0" applyFont="1" applyFill="1" applyBorder="1" applyProtection="1"/>
    <xf numFmtId="165" fontId="149" fillId="0" borderId="0" xfId="0" applyNumberFormat="1" applyFont="1" applyFill="1" applyBorder="1" applyAlignment="1" applyProtection="1">
      <alignment horizontal="center" vertical="center"/>
    </xf>
    <xf numFmtId="0" fontId="130" fillId="0" borderId="0" xfId="0" applyFont="1" applyProtection="1"/>
    <xf numFmtId="3" fontId="151" fillId="0" borderId="0" xfId="0" applyNumberFormat="1" applyFont="1" applyFill="1" applyBorder="1" applyAlignment="1" applyProtection="1">
      <alignment horizontal="right"/>
    </xf>
    <xf numFmtId="1" fontId="130" fillId="0" borderId="0" xfId="0" applyNumberFormat="1" applyFont="1" applyFill="1" applyBorder="1" applyAlignment="1" applyProtection="1">
      <alignment horizontal="center"/>
    </xf>
    <xf numFmtId="0" fontId="130" fillId="0" borderId="0" xfId="0" applyFont="1" applyFill="1" applyBorder="1" applyAlignment="1" applyProtection="1">
      <alignment horizontal="left"/>
    </xf>
    <xf numFmtId="0" fontId="156" fillId="0" borderId="0" xfId="0" applyFont="1" applyBorder="1" applyAlignment="1"/>
    <xf numFmtId="0" fontId="151" fillId="0" borderId="0" xfId="0" applyFont="1" applyBorder="1" applyAlignment="1" applyProtection="1">
      <alignment vertical="top" wrapText="1"/>
      <protection locked="0"/>
    </xf>
    <xf numFmtId="3" fontId="151" fillId="0" borderId="0" xfId="0" applyNumberFormat="1" applyFont="1" applyFill="1" applyBorder="1" applyProtection="1"/>
    <xf numFmtId="0" fontId="130" fillId="0" borderId="58" xfId="0" applyFont="1" applyFill="1" applyBorder="1" applyAlignment="1" applyProtection="1">
      <alignment horizontal="center"/>
    </xf>
    <xf numFmtId="0" fontId="130" fillId="0" borderId="58" xfId="0" applyFont="1" applyFill="1" applyBorder="1" applyAlignment="1" applyProtection="1">
      <alignment horizontal="left"/>
    </xf>
    <xf numFmtId="0" fontId="159" fillId="0" borderId="58" xfId="0" applyFont="1" applyFill="1" applyBorder="1" applyProtection="1"/>
    <xf numFmtId="1" fontId="130" fillId="0" borderId="58" xfId="0" applyNumberFormat="1" applyFont="1" applyFill="1" applyBorder="1" applyAlignment="1" applyProtection="1">
      <alignment horizontal="left"/>
    </xf>
    <xf numFmtId="3" fontId="130" fillId="0" borderId="0" xfId="0" applyNumberFormat="1" applyFont="1" applyFill="1" applyBorder="1" applyAlignment="1" applyProtection="1">
      <alignment horizontal="center"/>
    </xf>
    <xf numFmtId="0" fontId="162" fillId="0" borderId="0" xfId="0" applyFont="1" applyFill="1" applyBorder="1" applyAlignment="1" applyProtection="1">
      <alignment horizontal="center"/>
    </xf>
    <xf numFmtId="0" fontId="159" fillId="0" borderId="0" xfId="0" applyFont="1" applyFill="1" applyBorder="1" applyProtection="1"/>
    <xf numFmtId="0" fontId="130" fillId="0" borderId="0" xfId="0" applyFont="1" applyFill="1" applyBorder="1" applyAlignment="1" applyProtection="1">
      <alignment horizontal="center"/>
    </xf>
    <xf numFmtId="1" fontId="13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0" fontId="130" fillId="0" borderId="0" xfId="0" applyFont="1" applyFill="1" applyBorder="1" applyAlignment="1" applyProtection="1">
      <alignment vertical="top"/>
    </xf>
    <xf numFmtId="0" fontId="20" fillId="0" borderId="0" xfId="0" applyFont="1" applyFill="1" applyAlignment="1" applyProtection="1">
      <alignment horizontal="right"/>
    </xf>
    <xf numFmtId="0" fontId="127" fillId="0" borderId="0" xfId="0" applyNumberFormat="1" applyFont="1" applyFill="1" applyProtection="1"/>
    <xf numFmtId="3" fontId="3" fillId="0" borderId="39" xfId="0" applyNumberFormat="1" applyFont="1" applyFill="1" applyBorder="1" applyProtection="1"/>
    <xf numFmtId="0" fontId="91" fillId="0" borderId="0" xfId="0" applyFont="1" applyFill="1" applyBorder="1" applyProtection="1"/>
    <xf numFmtId="3" fontId="159" fillId="0" borderId="0" xfId="0" applyNumberFormat="1" applyFont="1" applyFill="1" applyBorder="1" applyProtection="1"/>
    <xf numFmtId="0" fontId="164" fillId="2" borderId="0" xfId="0" applyFont="1" applyFill="1" applyAlignment="1" applyProtection="1"/>
    <xf numFmtId="0" fontId="164" fillId="0" borderId="0" xfId="0" applyFont="1" applyFill="1" applyBorder="1" applyAlignment="1" applyProtection="1"/>
    <xf numFmtId="0" fontId="130" fillId="0" borderId="0" xfId="0" applyNumberFormat="1" applyFont="1" applyFill="1" applyBorder="1" applyAlignment="1" applyProtection="1">
      <alignment horizontal="left" wrapText="1"/>
    </xf>
    <xf numFmtId="3" fontId="130" fillId="0" borderId="0" xfId="0" applyNumberFormat="1" applyFont="1" applyFill="1" applyBorder="1" applyAlignment="1" applyProtection="1">
      <alignment horizontal="right"/>
    </xf>
    <xf numFmtId="0" fontId="130" fillId="0" borderId="0" xfId="0" applyNumberFormat="1" applyFont="1" applyFill="1" applyBorder="1" applyAlignment="1" applyProtection="1">
      <alignment horizontal="left"/>
    </xf>
    <xf numFmtId="0" fontId="130" fillId="2" borderId="0" xfId="0" applyNumberFormat="1" applyFont="1" applyFill="1" applyAlignment="1" applyProtection="1"/>
    <xf numFmtId="167" fontId="130" fillId="2" borderId="0" xfId="0" applyNumberFormat="1" applyFont="1" applyFill="1" applyAlignment="1" applyProtection="1"/>
    <xf numFmtId="0" fontId="130" fillId="0" borderId="0" xfId="0" applyFont="1" applyFill="1" applyBorder="1" applyAlignment="1" applyProtection="1"/>
    <xf numFmtId="49" fontId="130" fillId="0" borderId="0" xfId="0" applyNumberFormat="1" applyFont="1" applyFill="1" applyAlignment="1" applyProtection="1"/>
    <xf numFmtId="0" fontId="130" fillId="2" borderId="0" xfId="0" applyNumberFormat="1" applyFont="1" applyFill="1" applyBorder="1" applyAlignment="1" applyProtection="1">
      <alignment vertical="top"/>
    </xf>
    <xf numFmtId="0" fontId="130" fillId="0" borderId="0" xfId="0" applyNumberFormat="1" applyFont="1" applyBorder="1" applyAlignment="1" applyProtection="1">
      <alignment vertical="top"/>
    </xf>
    <xf numFmtId="0" fontId="149" fillId="0" borderId="0" xfId="0" applyNumberFormat="1" applyFont="1" applyBorder="1" applyAlignment="1" applyProtection="1">
      <alignment vertical="top"/>
    </xf>
    <xf numFmtId="0" fontId="165" fillId="2" borderId="0" xfId="0" applyFont="1" applyFill="1" applyBorder="1" applyAlignment="1" applyProtection="1"/>
    <xf numFmtId="3" fontId="130" fillId="2" borderId="0" xfId="0" applyNumberFormat="1" applyFont="1" applyFill="1" applyBorder="1" applyAlignment="1" applyProtection="1"/>
    <xf numFmtId="0" fontId="130" fillId="2" borderId="0" xfId="0" applyFont="1" applyFill="1" applyBorder="1" applyAlignment="1" applyProtection="1"/>
    <xf numFmtId="170" fontId="130" fillId="0" borderId="58" xfId="0" applyNumberFormat="1" applyFont="1" applyFill="1" applyBorder="1" applyAlignment="1" applyProtection="1">
      <alignment horizontal="left"/>
    </xf>
    <xf numFmtId="170" fontId="130" fillId="0" borderId="0" xfId="0" applyNumberFormat="1" applyFont="1" applyFill="1" applyBorder="1" applyAlignment="1" applyProtection="1">
      <alignment horizontal="left"/>
    </xf>
    <xf numFmtId="170" fontId="130" fillId="2" borderId="0" xfId="0" applyNumberFormat="1" applyFont="1" applyFill="1" applyBorder="1" applyAlignment="1" applyProtection="1">
      <alignment horizontal="left"/>
    </xf>
    <xf numFmtId="3" fontId="130" fillId="2" borderId="0" xfId="0" applyNumberFormat="1" applyFont="1" applyFill="1" applyBorder="1" applyProtection="1"/>
    <xf numFmtId="0" fontId="130" fillId="0" borderId="58" xfId="0" applyNumberFormat="1" applyFont="1" applyFill="1" applyBorder="1" applyAlignment="1" applyProtection="1">
      <alignment horizontal="left"/>
    </xf>
    <xf numFmtId="171" fontId="130" fillId="0" borderId="0" xfId="0" applyNumberFormat="1" applyFont="1" applyFill="1" applyProtection="1"/>
    <xf numFmtId="172" fontId="130" fillId="0" borderId="0" xfId="0" applyNumberFormat="1" applyFont="1" applyFill="1" applyBorder="1" applyAlignment="1" applyProtection="1">
      <alignment horizontal="left" vertical="justify" wrapText="1"/>
    </xf>
    <xf numFmtId="171" fontId="130" fillId="0" borderId="0" xfId="0" applyNumberFormat="1" applyFont="1" applyFill="1" applyBorder="1" applyAlignment="1" applyProtection="1">
      <alignment horizontal="left" vertical="top" wrapText="1"/>
    </xf>
    <xf numFmtId="0" fontId="130" fillId="0" borderId="0" xfId="0" applyNumberFormat="1" applyFont="1" applyFill="1" applyBorder="1" applyAlignment="1" applyProtection="1"/>
    <xf numFmtId="0" fontId="156" fillId="0" borderId="0" xfId="0" applyFont="1" applyBorder="1" applyAlignment="1" applyProtection="1">
      <alignment vertical="top" wrapText="1"/>
    </xf>
    <xf numFmtId="0" fontId="156" fillId="0" borderId="0" xfId="0" applyFont="1" applyFill="1" applyBorder="1" applyAlignment="1" applyProtection="1">
      <alignment vertical="top" wrapText="1"/>
    </xf>
    <xf numFmtId="49" fontId="167" fillId="7" borderId="0" xfId="0" applyNumberFormat="1" applyFont="1" applyFill="1" applyProtection="1"/>
    <xf numFmtId="0" fontId="143" fillId="19" borderId="98" xfId="0" applyFont="1" applyFill="1" applyBorder="1" applyAlignment="1" applyProtection="1">
      <alignment horizontal="left"/>
    </xf>
    <xf numFmtId="0" fontId="143" fillId="19" borderId="127" xfId="0" applyFont="1" applyFill="1" applyBorder="1" applyAlignment="1" applyProtection="1">
      <alignment horizontal="left" vertical="top"/>
    </xf>
    <xf numFmtId="0" fontId="6" fillId="19" borderId="233" xfId="0" applyFont="1" applyFill="1" applyBorder="1" applyAlignment="1" applyProtection="1">
      <alignment horizontal="right"/>
    </xf>
    <xf numFmtId="0" fontId="168" fillId="0" borderId="0" xfId="0" applyFont="1" applyFill="1" applyProtection="1"/>
    <xf numFmtId="0" fontId="143" fillId="19" borderId="47" xfId="0" applyFont="1" applyFill="1" applyBorder="1" applyAlignment="1" applyProtection="1">
      <alignment horizontal="left"/>
    </xf>
    <xf numFmtId="0" fontId="143" fillId="19" borderId="159" xfId="0" applyFont="1" applyFill="1" applyBorder="1" applyAlignment="1" applyProtection="1">
      <alignment horizontal="left" vertical="top"/>
    </xf>
    <xf numFmtId="0" fontId="6" fillId="19" borderId="182" xfId="0" applyFont="1" applyFill="1" applyBorder="1" applyAlignment="1" applyProtection="1">
      <alignment horizontal="center"/>
    </xf>
    <xf numFmtId="0" fontId="143" fillId="19" borderId="127" xfId="0" applyFont="1" applyFill="1" applyBorder="1" applyAlignment="1" applyProtection="1">
      <alignment vertical="top"/>
    </xf>
    <xf numFmtId="1" fontId="6" fillId="19" borderId="118" xfId="0" applyNumberFormat="1" applyFont="1" applyFill="1" applyBorder="1" applyAlignment="1" applyProtection="1">
      <alignment horizontal="center"/>
    </xf>
    <xf numFmtId="1" fontId="143" fillId="19" borderId="15" xfId="0" applyNumberFormat="1" applyFont="1" applyFill="1" applyBorder="1" applyAlignment="1" applyProtection="1">
      <alignment horizontal="left"/>
    </xf>
    <xf numFmtId="166" fontId="6" fillId="19" borderId="60" xfId="0" applyNumberFormat="1" applyFont="1" applyFill="1" applyBorder="1" applyAlignment="1" applyProtection="1">
      <alignment horizontal="left"/>
    </xf>
    <xf numFmtId="0" fontId="6" fillId="19" borderId="142" xfId="0" applyFont="1" applyFill="1" applyBorder="1" applyAlignment="1" applyProtection="1">
      <alignment horizontal="left"/>
    </xf>
    <xf numFmtId="0" fontId="4" fillId="19" borderId="42" xfId="0" applyFont="1" applyFill="1" applyBorder="1" applyAlignment="1" applyProtection="1">
      <alignment horizontal="left"/>
    </xf>
    <xf numFmtId="1" fontId="143" fillId="19" borderId="155" xfId="0" applyNumberFormat="1" applyFont="1" applyFill="1" applyBorder="1" applyAlignment="1" applyProtection="1">
      <alignment horizontal="left"/>
    </xf>
    <xf numFmtId="0" fontId="158" fillId="2" borderId="57" xfId="0" applyFont="1" applyFill="1" applyBorder="1" applyProtection="1"/>
    <xf numFmtId="1" fontId="6" fillId="19" borderId="98" xfId="0" applyNumberFormat="1" applyFont="1" applyFill="1" applyBorder="1" applyAlignment="1" applyProtection="1">
      <alignment horizontal="center"/>
    </xf>
    <xf numFmtId="1" fontId="6" fillId="19" borderId="120" xfId="0" applyNumberFormat="1" applyFont="1" applyFill="1" applyBorder="1" applyAlignment="1" applyProtection="1">
      <alignment horizontal="center"/>
    </xf>
    <xf numFmtId="0" fontId="156" fillId="2" borderId="57" xfId="0" applyFont="1" applyFill="1" applyBorder="1" applyProtection="1"/>
    <xf numFmtId="1" fontId="143" fillId="19" borderId="127" xfId="0" applyNumberFormat="1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27" xfId="0" applyFont="1" applyFill="1" applyBorder="1" applyAlignment="1" applyProtection="1">
      <alignment horizontal="left" vertical="center"/>
    </xf>
    <xf numFmtId="0" fontId="149" fillId="0" borderId="0" xfId="0" applyFont="1" applyFill="1" applyBorder="1" applyAlignment="1" applyProtection="1">
      <alignment horizontal="center"/>
    </xf>
    <xf numFmtId="3" fontId="151" fillId="0" borderId="39" xfId="0" applyNumberFormat="1" applyFont="1" applyFill="1" applyBorder="1" applyProtection="1"/>
    <xf numFmtId="0" fontId="130" fillId="0" borderId="39" xfId="0" applyFont="1" applyFill="1" applyBorder="1" applyProtection="1"/>
    <xf numFmtId="0" fontId="156" fillId="0" borderId="39" xfId="0" applyFont="1" applyFill="1" applyBorder="1" applyProtection="1"/>
    <xf numFmtId="49" fontId="159" fillId="0" borderId="39" xfId="0" applyNumberFormat="1" applyFont="1" applyFill="1" applyBorder="1" applyAlignment="1" applyProtection="1">
      <alignment horizontal="right"/>
    </xf>
    <xf numFmtId="0" fontId="149" fillId="0" borderId="39" xfId="0" applyFont="1" applyFill="1" applyBorder="1" applyAlignment="1" applyProtection="1">
      <alignment horizontal="center"/>
    </xf>
    <xf numFmtId="3" fontId="4" fillId="19" borderId="107" xfId="0" applyNumberFormat="1" applyFont="1" applyFill="1" applyBorder="1" applyProtection="1"/>
    <xf numFmtId="3" fontId="4" fillId="19" borderId="58" xfId="0" applyNumberFormat="1" applyFont="1" applyFill="1" applyBorder="1" applyAlignment="1" applyProtection="1">
      <alignment horizontal="left" vertical="top" wrapText="1"/>
    </xf>
    <xf numFmtId="0" fontId="4" fillId="19" borderId="5" xfId="0" applyFont="1" applyFill="1" applyBorder="1" applyAlignment="1" applyProtection="1">
      <alignment horizontal="left" vertical="top" wrapText="1"/>
    </xf>
    <xf numFmtId="0" fontId="4" fillId="19" borderId="24" xfId="0" applyFont="1" applyFill="1" applyBorder="1" applyAlignment="1" applyProtection="1">
      <alignment horizontal="left" vertical="top"/>
    </xf>
    <xf numFmtId="0" fontId="130" fillId="0" borderId="0" xfId="0" applyFont="1" applyFill="1" applyBorder="1" applyAlignment="1" applyProtection="1">
      <alignment vertical="top" wrapText="1"/>
    </xf>
    <xf numFmtId="0" fontId="130" fillId="0" borderId="0" xfId="0" applyFont="1" applyFill="1" applyBorder="1" applyAlignment="1" applyProtection="1">
      <alignment wrapText="1"/>
    </xf>
    <xf numFmtId="3" fontId="130" fillId="0" borderId="44" xfId="0" applyNumberFormat="1" applyFont="1" applyFill="1" applyBorder="1" applyAlignment="1" applyProtection="1">
      <alignment horizontal="left"/>
    </xf>
    <xf numFmtId="3" fontId="130" fillId="0" borderId="0" xfId="0" applyNumberFormat="1" applyFont="1" applyFill="1" applyBorder="1" applyAlignment="1" applyProtection="1">
      <alignment horizontal="left"/>
    </xf>
    <xf numFmtId="0" fontId="130" fillId="0" borderId="0" xfId="0" applyFont="1" applyFill="1" applyAlignment="1" applyProtection="1">
      <alignment horizontal="left"/>
    </xf>
    <xf numFmtId="0" fontId="130" fillId="0" borderId="0" xfId="0" applyFont="1" applyFill="1" applyBorder="1" applyAlignment="1" applyProtection="1">
      <alignment horizontal="right"/>
    </xf>
    <xf numFmtId="3" fontId="130" fillId="0" borderId="0" xfId="0" applyNumberFormat="1" applyFont="1" applyFill="1" applyBorder="1" applyAlignment="1" applyProtection="1"/>
    <xf numFmtId="0" fontId="159" fillId="0" borderId="44" xfId="0" applyFont="1" applyFill="1" applyBorder="1" applyAlignment="1" applyProtection="1">
      <alignment vertical="center"/>
    </xf>
    <xf numFmtId="0" fontId="169" fillId="0" borderId="0" xfId="0" applyFont="1" applyFill="1" applyBorder="1" applyProtection="1"/>
    <xf numFmtId="0" fontId="130" fillId="0" borderId="57" xfId="0" applyFont="1" applyFill="1" applyBorder="1" applyProtection="1"/>
    <xf numFmtId="0" fontId="130" fillId="0" borderId="171" xfId="0" applyFont="1" applyFill="1" applyBorder="1" applyAlignment="1" applyProtection="1">
      <alignment wrapText="1"/>
    </xf>
    <xf numFmtId="3" fontId="159" fillId="0" borderId="44" xfId="0" applyNumberFormat="1" applyFont="1" applyFill="1" applyBorder="1" applyAlignment="1" applyProtection="1">
      <alignment horizontal="left" vertical="top" wrapText="1"/>
    </xf>
    <xf numFmtId="0" fontId="156" fillId="0" borderId="232" xfId="0" applyFont="1" applyFill="1" applyBorder="1" applyProtection="1"/>
    <xf numFmtId="0" fontId="4" fillId="19" borderId="88" xfId="0" applyFont="1" applyFill="1" applyBorder="1" applyAlignment="1" applyProtection="1">
      <alignment horizontal="left" vertical="top" wrapText="1"/>
    </xf>
    <xf numFmtId="0" fontId="34" fillId="19" borderId="60" xfId="0" applyFont="1" applyFill="1" applyBorder="1" applyAlignment="1" applyProtection="1">
      <alignment horizontal="left" vertical="top" wrapText="1"/>
    </xf>
    <xf numFmtId="0" fontId="34" fillId="19" borderId="85" xfId="0" applyFont="1" applyFill="1" applyBorder="1" applyAlignment="1" applyProtection="1">
      <alignment horizontal="left" vertical="top" wrapText="1"/>
    </xf>
    <xf numFmtId="0" fontId="5" fillId="19" borderId="60" xfId="0" applyFont="1" applyFill="1" applyBorder="1" applyProtection="1"/>
    <xf numFmtId="0" fontId="130" fillId="0" borderId="44" xfId="0" applyFont="1" applyFill="1" applyBorder="1" applyProtection="1"/>
    <xf numFmtId="3" fontId="130" fillId="0" borderId="44" xfId="6" quotePrefix="1" applyNumberFormat="1" applyFont="1" applyFill="1" applyBorder="1" applyAlignment="1" applyProtection="1">
      <alignment horizontal="left"/>
    </xf>
    <xf numFmtId="3" fontId="99" fillId="19" borderId="60" xfId="0" applyNumberFormat="1" applyFont="1" applyFill="1" applyBorder="1" applyProtection="1"/>
    <xf numFmtId="9" fontId="47" fillId="19" borderId="18" xfId="0" quotePrefix="1" applyNumberFormat="1" applyFont="1" applyFill="1" applyBorder="1" applyProtection="1"/>
    <xf numFmtId="3" fontId="99" fillId="19" borderId="26" xfId="0" applyNumberFormat="1" applyFont="1" applyFill="1" applyBorder="1" applyProtection="1"/>
    <xf numFmtId="9" fontId="47" fillId="19" borderId="18" xfId="0" applyNumberFormat="1" applyFont="1" applyFill="1" applyBorder="1" applyProtection="1"/>
    <xf numFmtId="9" fontId="47" fillId="19" borderId="69" xfId="0" applyNumberFormat="1" applyFont="1" applyFill="1" applyBorder="1" applyProtection="1"/>
    <xf numFmtId="9" fontId="47" fillId="19" borderId="19" xfId="0" applyNumberFormat="1" applyFont="1" applyFill="1" applyBorder="1" applyProtection="1"/>
    <xf numFmtId="4" fontId="130" fillId="0" borderId="57" xfId="10" applyNumberFormat="1" applyFont="1" applyFill="1" applyBorder="1" applyProtection="1"/>
    <xf numFmtId="3" fontId="99" fillId="19" borderId="18" xfId="0" applyNumberFormat="1" applyFont="1" applyFill="1" applyBorder="1" applyProtection="1"/>
    <xf numFmtId="3" fontId="3" fillId="20" borderId="26" xfId="0" applyNumberFormat="1" applyFont="1" applyFill="1" applyBorder="1" applyAlignment="1" applyProtection="1">
      <alignment horizontal="right"/>
    </xf>
    <xf numFmtId="9" fontId="47" fillId="19" borderId="26" xfId="0" applyNumberFormat="1" applyFont="1" applyFill="1" applyBorder="1" applyProtection="1"/>
    <xf numFmtId="3" fontId="99" fillId="19" borderId="234" xfId="0" applyNumberFormat="1" applyFont="1" applyFill="1" applyBorder="1" applyProtection="1"/>
    <xf numFmtId="3" fontId="3" fillId="19" borderId="51" xfId="0" applyNumberFormat="1" applyFont="1" applyFill="1" applyBorder="1" applyAlignment="1" applyProtection="1">
      <alignment horizontal="right"/>
    </xf>
    <xf numFmtId="3" fontId="99" fillId="19" borderId="57" xfId="0" applyNumberFormat="1" applyFont="1" applyFill="1" applyBorder="1" applyProtection="1"/>
    <xf numFmtId="3" fontId="44" fillId="19" borderId="47" xfId="0" applyNumberFormat="1" applyFont="1" applyFill="1" applyBorder="1" applyAlignment="1" applyProtection="1">
      <alignment vertical="top" wrapText="1"/>
    </xf>
    <xf numFmtId="3" fontId="14" fillId="6" borderId="122" xfId="0" applyNumberFormat="1" applyFont="1" applyFill="1" applyBorder="1" applyAlignment="1" applyProtection="1">
      <alignment horizontal="right"/>
    </xf>
    <xf numFmtId="3" fontId="17" fillId="19" borderId="60" xfId="0" applyNumberFormat="1" applyFont="1" applyFill="1" applyBorder="1" applyProtection="1"/>
    <xf numFmtId="3" fontId="17" fillId="19" borderId="16" xfId="0" applyNumberFormat="1" applyFont="1" applyFill="1" applyBorder="1" applyProtection="1"/>
    <xf numFmtId="3" fontId="46" fillId="19" borderId="15" xfId="0" applyNumberFormat="1" applyFont="1" applyFill="1" applyBorder="1" applyProtection="1"/>
    <xf numFmtId="3" fontId="99" fillId="19" borderId="15" xfId="0" applyNumberFormat="1" applyFont="1" applyFill="1" applyBorder="1" applyProtection="1"/>
    <xf numFmtId="3" fontId="45" fillId="19" borderId="217" xfId="0" applyNumberFormat="1" applyFont="1" applyFill="1" applyBorder="1" applyProtection="1"/>
    <xf numFmtId="3" fontId="46" fillId="19" borderId="66" xfId="0" applyNumberFormat="1" applyFont="1" applyFill="1" applyBorder="1" applyProtection="1"/>
    <xf numFmtId="3" fontId="99" fillId="19" borderId="66" xfId="0" applyNumberFormat="1" applyFont="1" applyFill="1" applyBorder="1" applyProtection="1"/>
    <xf numFmtId="3" fontId="99" fillId="19" borderId="85" xfId="0" applyNumberFormat="1" applyFont="1" applyFill="1" applyBorder="1" applyProtection="1"/>
    <xf numFmtId="3" fontId="46" fillId="19" borderId="16" xfId="0" applyNumberFormat="1" applyFont="1" applyFill="1" applyBorder="1" applyProtection="1"/>
    <xf numFmtId="3" fontId="3" fillId="19" borderId="16" xfId="0" applyNumberFormat="1" applyFont="1" applyFill="1" applyBorder="1" applyAlignment="1" applyProtection="1">
      <alignment vertical="top"/>
    </xf>
    <xf numFmtId="0" fontId="3" fillId="19" borderId="16" xfId="0" applyFont="1" applyFill="1" applyBorder="1" applyAlignment="1" applyProtection="1">
      <alignment vertical="top"/>
    </xf>
    <xf numFmtId="0" fontId="3" fillId="19" borderId="4" xfId="0" applyFont="1" applyFill="1" applyBorder="1" applyAlignment="1" applyProtection="1">
      <alignment vertical="top"/>
    </xf>
    <xf numFmtId="3" fontId="47" fillId="19" borderId="78" xfId="0" applyNumberFormat="1" applyFont="1" applyFill="1" applyBorder="1" applyProtection="1"/>
    <xf numFmtId="0" fontId="3" fillId="19" borderId="15" xfId="0" applyFont="1" applyFill="1" applyBorder="1" applyAlignment="1" applyProtection="1">
      <alignment vertical="top"/>
    </xf>
    <xf numFmtId="0" fontId="3" fillId="19" borderId="2" xfId="0" applyFont="1" applyFill="1" applyBorder="1" applyAlignment="1" applyProtection="1">
      <alignment vertical="top"/>
    </xf>
    <xf numFmtId="3" fontId="47" fillId="19" borderId="25" xfId="0" applyNumberFormat="1" applyFont="1" applyFill="1" applyBorder="1" applyProtection="1"/>
    <xf numFmtId="3" fontId="47" fillId="19" borderId="15" xfId="0" applyNumberFormat="1" applyFont="1" applyFill="1" applyBorder="1" applyProtection="1"/>
    <xf numFmtId="3" fontId="11" fillId="19" borderId="15" xfId="0" applyNumberFormat="1" applyFont="1" applyFill="1" applyBorder="1" applyAlignment="1" applyProtection="1">
      <alignment vertical="top"/>
      <protection locked="0"/>
    </xf>
    <xf numFmtId="9" fontId="47" fillId="19" borderId="55" xfId="0" applyNumberFormat="1" applyFont="1" applyFill="1" applyBorder="1" applyProtection="1"/>
    <xf numFmtId="3" fontId="47" fillId="19" borderId="57" xfId="10" applyNumberFormat="1" applyFont="1" applyFill="1" applyBorder="1" applyAlignment="1" applyProtection="1">
      <alignment horizontal="center"/>
    </xf>
    <xf numFmtId="3" fontId="130" fillId="0" borderId="122" xfId="6" quotePrefix="1" applyNumberFormat="1" applyFont="1" applyFill="1" applyBorder="1" applyAlignment="1" applyProtection="1">
      <alignment horizontal="left"/>
    </xf>
    <xf numFmtId="0" fontId="130" fillId="0" borderId="122" xfId="0" applyFont="1" applyFill="1" applyBorder="1" applyProtection="1"/>
    <xf numFmtId="3" fontId="130" fillId="0" borderId="122" xfId="0" applyNumberFormat="1" applyFont="1" applyFill="1" applyBorder="1" applyAlignment="1" applyProtection="1">
      <alignment horizontal="left"/>
    </xf>
    <xf numFmtId="9" fontId="47" fillId="19" borderId="60" xfId="0" applyNumberFormat="1" applyFont="1" applyFill="1" applyBorder="1" applyProtection="1"/>
    <xf numFmtId="0" fontId="130" fillId="0" borderId="192" xfId="0" applyFont="1" applyFill="1" applyBorder="1" applyProtection="1"/>
    <xf numFmtId="0" fontId="3" fillId="19" borderId="155" xfId="0" applyFont="1" applyFill="1" applyBorder="1" applyAlignment="1" applyProtection="1">
      <alignment vertical="top"/>
    </xf>
    <xf numFmtId="0" fontId="3" fillId="19" borderId="82" xfId="0" applyFont="1" applyFill="1" applyBorder="1" applyAlignment="1" applyProtection="1">
      <alignment vertical="top"/>
    </xf>
    <xf numFmtId="3" fontId="11" fillId="19" borderId="57" xfId="0" applyNumberFormat="1" applyFont="1" applyFill="1" applyBorder="1" applyAlignment="1" applyProtection="1">
      <alignment vertical="top"/>
      <protection locked="0"/>
    </xf>
    <xf numFmtId="0" fontId="10" fillId="19" borderId="131" xfId="0" applyFont="1" applyFill="1" applyBorder="1" applyProtection="1"/>
    <xf numFmtId="3" fontId="46" fillId="19" borderId="2" xfId="0" applyNumberFormat="1" applyFont="1" applyFill="1" applyBorder="1" applyProtection="1"/>
    <xf numFmtId="3" fontId="17" fillId="19" borderId="4" xfId="0" applyNumberFormat="1" applyFont="1" applyFill="1" applyBorder="1" applyProtection="1"/>
    <xf numFmtId="3" fontId="3" fillId="19" borderId="50" xfId="0" applyNumberFormat="1" applyFont="1" applyFill="1" applyBorder="1" applyAlignment="1" applyProtection="1">
      <alignment horizontal="right"/>
    </xf>
    <xf numFmtId="3" fontId="3" fillId="19" borderId="58" xfId="0" applyNumberFormat="1" applyFont="1" applyFill="1" applyBorder="1" applyAlignment="1" applyProtection="1">
      <alignment horizontal="right"/>
    </xf>
    <xf numFmtId="3" fontId="44" fillId="19" borderId="50" xfId="0" applyNumberFormat="1" applyFont="1" applyFill="1" applyBorder="1" applyAlignment="1" applyProtection="1">
      <alignment vertical="top" wrapText="1"/>
    </xf>
    <xf numFmtId="3" fontId="3" fillId="20" borderId="131" xfId="0" applyNumberFormat="1" applyFont="1" applyFill="1" applyBorder="1" applyAlignment="1" applyProtection="1">
      <alignment horizontal="right"/>
    </xf>
    <xf numFmtId="3" fontId="44" fillId="19" borderId="36" xfId="0" applyNumberFormat="1" applyFont="1" applyFill="1" applyBorder="1" applyAlignment="1" applyProtection="1">
      <alignment vertical="top" wrapText="1"/>
    </xf>
    <xf numFmtId="3" fontId="44" fillId="19" borderId="131" xfId="0" applyNumberFormat="1" applyFont="1" applyFill="1" applyBorder="1" applyProtection="1"/>
    <xf numFmtId="0" fontId="23" fillId="19" borderId="15" xfId="0" applyFont="1" applyFill="1" applyBorder="1" applyProtection="1"/>
    <xf numFmtId="3" fontId="17" fillId="19" borderId="15" xfId="0" applyNumberFormat="1" applyFont="1" applyFill="1" applyBorder="1" applyProtection="1"/>
    <xf numFmtId="0" fontId="3" fillId="19" borderId="60" xfId="0" applyFont="1" applyFill="1" applyBorder="1" applyAlignment="1" applyProtection="1">
      <alignment vertical="top"/>
    </xf>
    <xf numFmtId="0" fontId="3" fillId="19" borderId="18" xfId="0" applyFont="1" applyFill="1" applyBorder="1" applyAlignment="1" applyProtection="1">
      <alignment vertical="top"/>
    </xf>
    <xf numFmtId="49" fontId="12" fillId="19" borderId="189" xfId="0" applyNumberFormat="1" applyFont="1" applyFill="1" applyBorder="1" applyProtection="1"/>
    <xf numFmtId="49" fontId="12" fillId="19" borderId="15" xfId="0" applyNumberFormat="1" applyFont="1" applyFill="1" applyBorder="1" applyProtection="1"/>
    <xf numFmtId="49" fontId="12" fillId="19" borderId="60" xfId="0" applyNumberFormat="1" applyFont="1" applyFill="1" applyBorder="1" applyProtection="1"/>
    <xf numFmtId="3" fontId="11" fillId="19" borderId="16" xfId="0" applyNumberFormat="1" applyFont="1" applyFill="1" applyBorder="1" applyAlignment="1" applyProtection="1">
      <alignment vertical="top"/>
      <protection locked="0"/>
    </xf>
    <xf numFmtId="3" fontId="17" fillId="19" borderId="2" xfId="0" applyNumberFormat="1" applyFont="1" applyFill="1" applyBorder="1" applyProtection="1"/>
    <xf numFmtId="3" fontId="130" fillId="0" borderId="57" xfId="6" quotePrefix="1" applyNumberFormat="1" applyFont="1" applyFill="1" applyBorder="1" applyAlignment="1" applyProtection="1">
      <alignment horizontal="left"/>
    </xf>
    <xf numFmtId="3" fontId="47" fillId="19" borderId="5" xfId="0" applyNumberFormat="1" applyFont="1" applyFill="1" applyBorder="1" applyProtection="1"/>
    <xf numFmtId="3" fontId="11" fillId="19" borderId="4" xfId="0" applyNumberFormat="1" applyFont="1" applyFill="1" applyBorder="1" applyAlignment="1" applyProtection="1">
      <alignment vertical="top"/>
      <protection locked="0"/>
    </xf>
    <xf numFmtId="3" fontId="11" fillId="19" borderId="2" xfId="0" applyNumberFormat="1" applyFont="1" applyFill="1" applyBorder="1" applyAlignment="1" applyProtection="1">
      <alignment vertical="top"/>
      <protection locked="0"/>
    </xf>
    <xf numFmtId="3" fontId="11" fillId="19" borderId="53" xfId="0" applyNumberFormat="1" applyFont="1" applyFill="1" applyBorder="1" applyAlignment="1" applyProtection="1">
      <alignment vertical="top"/>
      <protection locked="0"/>
    </xf>
    <xf numFmtId="3" fontId="17" fillId="19" borderId="18" xfId="0" applyNumberFormat="1" applyFont="1" applyFill="1" applyBorder="1" applyProtection="1"/>
    <xf numFmtId="0" fontId="130" fillId="0" borderId="159" xfId="0" applyFont="1" applyFill="1" applyBorder="1" applyProtection="1"/>
    <xf numFmtId="3" fontId="47" fillId="19" borderId="8" xfId="0" applyNumberFormat="1" applyFont="1" applyFill="1" applyBorder="1" applyProtection="1"/>
    <xf numFmtId="0" fontId="24" fillId="10" borderId="88" xfId="0" applyFont="1" applyFill="1" applyBorder="1" applyProtection="1"/>
    <xf numFmtId="3" fontId="4" fillId="19" borderId="60" xfId="0" applyNumberFormat="1" applyFont="1" applyFill="1" applyBorder="1" applyProtection="1"/>
    <xf numFmtId="3" fontId="44" fillId="19" borderId="29" xfId="0" applyNumberFormat="1" applyFont="1" applyFill="1" applyBorder="1" applyAlignment="1" applyProtection="1">
      <alignment vertical="top"/>
    </xf>
    <xf numFmtId="3" fontId="3" fillId="20" borderId="51" xfId="0" applyNumberFormat="1" applyFont="1" applyFill="1" applyBorder="1" applyAlignment="1" applyProtection="1">
      <alignment horizontal="right"/>
    </xf>
    <xf numFmtId="3" fontId="3" fillId="20" borderId="36" xfId="0" applyNumberFormat="1" applyFont="1" applyFill="1" applyBorder="1" applyAlignment="1" applyProtection="1">
      <alignment horizontal="left"/>
    </xf>
    <xf numFmtId="0" fontId="23" fillId="19" borderId="58" xfId="0" applyFont="1" applyFill="1" applyBorder="1" applyAlignment="1" applyProtection="1">
      <alignment horizontal="left" wrapText="1"/>
    </xf>
    <xf numFmtId="168" fontId="43" fillId="19" borderId="58" xfId="0" applyNumberFormat="1" applyFont="1" applyFill="1" applyBorder="1" applyProtection="1"/>
    <xf numFmtId="3" fontId="3" fillId="19" borderId="144" xfId="0" applyNumberFormat="1" applyFont="1" applyFill="1" applyBorder="1" applyAlignment="1" applyProtection="1">
      <alignment horizontal="right"/>
    </xf>
    <xf numFmtId="0" fontId="9" fillId="19" borderId="16" xfId="0" applyFont="1" applyFill="1" applyBorder="1" applyAlignment="1" applyProtection="1">
      <alignment horizontal="left"/>
    </xf>
    <xf numFmtId="0" fontId="9" fillId="19" borderId="16" xfId="0" applyFont="1" applyFill="1" applyBorder="1" applyProtection="1"/>
    <xf numFmtId="0" fontId="20" fillId="19" borderId="27" xfId="0" applyFont="1" applyFill="1" applyBorder="1" applyProtection="1"/>
    <xf numFmtId="49" fontId="12" fillId="19" borderId="16" xfId="0" applyNumberFormat="1" applyFont="1" applyFill="1" applyBorder="1" applyProtection="1"/>
    <xf numFmtId="3" fontId="49" fillId="19" borderId="16" xfId="0" applyNumberFormat="1" applyFont="1" applyFill="1" applyBorder="1" applyProtection="1"/>
    <xf numFmtId="3" fontId="47" fillId="19" borderId="180" xfId="0" applyNumberFormat="1" applyFont="1" applyFill="1" applyBorder="1" applyProtection="1"/>
    <xf numFmtId="3" fontId="47" fillId="19" borderId="7" xfId="0" applyNumberFormat="1" applyFont="1" applyFill="1" applyBorder="1" applyProtection="1"/>
    <xf numFmtId="0" fontId="24" fillId="10" borderId="101" xfId="0" applyFont="1" applyFill="1" applyBorder="1" applyProtection="1"/>
    <xf numFmtId="3" fontId="4" fillId="19" borderId="16" xfId="0" applyNumberFormat="1" applyFont="1" applyFill="1" applyBorder="1" applyProtection="1"/>
    <xf numFmtId="3" fontId="99" fillId="19" borderId="16" xfId="0" applyNumberFormat="1" applyFont="1" applyFill="1" applyBorder="1" applyProtection="1"/>
    <xf numFmtId="0" fontId="3" fillId="19" borderId="57" xfId="0" applyFont="1" applyFill="1" applyBorder="1" applyAlignment="1" applyProtection="1">
      <alignment vertical="top"/>
      <protection locked="0"/>
    </xf>
    <xf numFmtId="3" fontId="99" fillId="19" borderId="121" xfId="0" applyNumberFormat="1" applyFont="1" applyFill="1" applyBorder="1" applyProtection="1"/>
    <xf numFmtId="3" fontId="17" fillId="19" borderId="101" xfId="0" applyNumberFormat="1" applyFont="1" applyFill="1" applyBorder="1" applyProtection="1"/>
    <xf numFmtId="3" fontId="3" fillId="19" borderId="16" xfId="0" applyNumberFormat="1" applyFont="1" applyFill="1" applyBorder="1" applyAlignment="1" applyProtection="1">
      <alignment vertical="top"/>
      <protection locked="0"/>
    </xf>
    <xf numFmtId="0" fontId="3" fillId="19" borderId="16" xfId="0" applyFont="1" applyFill="1" applyBorder="1" applyAlignment="1" applyProtection="1">
      <alignment vertical="top"/>
      <protection locked="0"/>
    </xf>
    <xf numFmtId="3" fontId="46" fillId="19" borderId="118" xfId="0" applyNumberFormat="1" applyFont="1" applyFill="1" applyBorder="1" applyProtection="1"/>
    <xf numFmtId="0" fontId="3" fillId="19" borderId="15" xfId="0" applyFont="1" applyFill="1" applyBorder="1" applyAlignment="1" applyProtection="1">
      <alignment vertical="top"/>
      <protection locked="0"/>
    </xf>
    <xf numFmtId="3" fontId="99" fillId="19" borderId="118" xfId="0" applyNumberFormat="1" applyFont="1" applyFill="1" applyBorder="1" applyProtection="1"/>
    <xf numFmtId="3" fontId="99" fillId="19" borderId="59" xfId="0" applyNumberFormat="1" applyFont="1" applyFill="1" applyBorder="1" applyProtection="1"/>
    <xf numFmtId="9" fontId="47" fillId="19" borderId="52" xfId="0" applyNumberFormat="1" applyFont="1" applyFill="1" applyBorder="1" applyProtection="1"/>
    <xf numFmtId="3" fontId="51" fillId="19" borderId="16" xfId="0" applyNumberFormat="1" applyFont="1" applyFill="1" applyBorder="1" applyProtection="1"/>
    <xf numFmtId="0" fontId="2" fillId="19" borderId="15" xfId="0" applyFont="1" applyFill="1" applyBorder="1" applyProtection="1"/>
    <xf numFmtId="3" fontId="115" fillId="19" borderId="16" xfId="0" applyNumberFormat="1" applyFont="1" applyFill="1" applyBorder="1" applyProtection="1"/>
    <xf numFmtId="3" fontId="115" fillId="19" borderId="15" xfId="0" applyNumberFormat="1" applyFont="1" applyFill="1" applyBorder="1" applyProtection="1"/>
    <xf numFmtId="3" fontId="115" fillId="19" borderId="60" xfId="0" applyNumberFormat="1" applyFont="1" applyFill="1" applyBorder="1" applyProtection="1"/>
    <xf numFmtId="0" fontId="2" fillId="19" borderId="60" xfId="0" applyFont="1" applyFill="1" applyBorder="1" applyProtection="1"/>
    <xf numFmtId="3" fontId="3" fillId="19" borderId="29" xfId="0" applyNumberFormat="1" applyFont="1" applyFill="1" applyBorder="1" applyAlignment="1" applyProtection="1">
      <alignment vertical="top" wrapText="1"/>
    </xf>
    <xf numFmtId="9" fontId="47" fillId="19" borderId="63" xfId="0" applyNumberFormat="1" applyFont="1" applyFill="1" applyBorder="1" applyProtection="1"/>
    <xf numFmtId="3" fontId="47" fillId="19" borderId="84" xfId="0" applyNumberFormat="1" applyFont="1" applyFill="1" applyBorder="1" applyProtection="1"/>
    <xf numFmtId="3" fontId="47" fillId="19" borderId="100" xfId="0" applyNumberFormat="1" applyFont="1" applyFill="1" applyBorder="1" applyProtection="1"/>
    <xf numFmtId="3" fontId="3" fillId="19" borderId="46" xfId="0" applyNumberFormat="1" applyFont="1" applyFill="1" applyBorder="1" applyAlignment="1" applyProtection="1">
      <alignment vertical="top" wrapText="1"/>
    </xf>
    <xf numFmtId="3" fontId="44" fillId="19" borderId="30" xfId="0" applyNumberFormat="1" applyFont="1" applyFill="1" applyBorder="1" applyAlignment="1" applyProtection="1">
      <alignment vertical="top" wrapText="1"/>
    </xf>
    <xf numFmtId="0" fontId="10" fillId="19" borderId="155" xfId="0" applyFont="1" applyFill="1" applyBorder="1" applyAlignment="1" applyProtection="1">
      <alignment vertical="top"/>
    </xf>
    <xf numFmtId="0" fontId="10" fillId="19" borderId="15" xfId="0" applyFont="1" applyFill="1" applyBorder="1" applyAlignment="1" applyProtection="1">
      <alignment vertical="top"/>
    </xf>
    <xf numFmtId="3" fontId="4" fillId="19" borderId="4" xfId="0" applyNumberFormat="1" applyFont="1" applyFill="1" applyBorder="1" applyProtection="1"/>
    <xf numFmtId="3" fontId="127" fillId="19" borderId="15" xfId="0" applyNumberFormat="1" applyFont="1" applyFill="1" applyBorder="1" applyProtection="1"/>
    <xf numFmtId="3" fontId="24" fillId="19" borderId="15" xfId="0" applyNumberFormat="1" applyFont="1" applyFill="1" applyBorder="1" applyProtection="1"/>
    <xf numFmtId="3" fontId="128" fillId="19" borderId="15" xfId="0" applyNumberFormat="1" applyFont="1" applyFill="1" applyBorder="1" applyProtection="1"/>
    <xf numFmtId="3" fontId="99" fillId="19" borderId="2" xfId="0" applyNumberFormat="1" applyFont="1" applyFill="1" applyBorder="1" applyProtection="1"/>
    <xf numFmtId="0" fontId="24" fillId="10" borderId="155" xfId="0" applyFont="1" applyFill="1" applyBorder="1" applyProtection="1"/>
    <xf numFmtId="0" fontId="24" fillId="10" borderId="69" xfId="0" applyFont="1" applyFill="1" applyBorder="1" applyProtection="1"/>
    <xf numFmtId="0" fontId="10" fillId="19" borderId="60" xfId="0" applyFont="1" applyFill="1" applyBorder="1" applyAlignment="1" applyProtection="1">
      <alignment vertical="top"/>
    </xf>
    <xf numFmtId="3" fontId="125" fillId="19" borderId="155" xfId="0" applyNumberFormat="1" applyFont="1" applyFill="1" applyBorder="1" applyProtection="1"/>
    <xf numFmtId="3" fontId="9" fillId="19" borderId="155" xfId="0" applyNumberFormat="1" applyFont="1" applyFill="1" applyBorder="1" applyProtection="1"/>
    <xf numFmtId="3" fontId="3" fillId="19" borderId="155" xfId="0" applyNumberFormat="1" applyFont="1" applyFill="1" applyBorder="1" applyAlignment="1" applyProtection="1">
      <alignment vertical="top"/>
    </xf>
    <xf numFmtId="3" fontId="44" fillId="19" borderId="46" xfId="0" applyNumberFormat="1" applyFont="1" applyFill="1" applyBorder="1" applyAlignment="1" applyProtection="1">
      <alignment vertical="top" wrapText="1"/>
    </xf>
    <xf numFmtId="3" fontId="14" fillId="3" borderId="146" xfId="0" applyNumberFormat="1" applyFont="1" applyFill="1" applyBorder="1" applyAlignment="1" applyProtection="1">
      <alignment horizontal="right"/>
    </xf>
    <xf numFmtId="3" fontId="14" fillId="0" borderId="3" xfId="0" applyNumberFormat="1" applyFont="1" applyFill="1" applyBorder="1" applyAlignment="1" applyProtection="1">
      <alignment horizontal="right"/>
      <protection locked="0"/>
    </xf>
    <xf numFmtId="3" fontId="14" fillId="0" borderId="29" xfId="0" applyNumberFormat="1" applyFont="1" applyFill="1" applyBorder="1" applyAlignment="1" applyProtection="1">
      <alignment horizontal="right"/>
      <protection locked="0"/>
    </xf>
    <xf numFmtId="0" fontId="58" fillId="0" borderId="0" xfId="0" applyNumberFormat="1" applyFont="1" applyFill="1" applyProtection="1"/>
    <xf numFmtId="0" fontId="6" fillId="19" borderId="27" xfId="0" applyFont="1" applyFill="1" applyBorder="1" applyAlignment="1" applyProtection="1">
      <alignment vertical="center"/>
    </xf>
    <xf numFmtId="0" fontId="4" fillId="19" borderId="0" xfId="0" applyFont="1" applyFill="1" applyBorder="1" applyAlignment="1" applyProtection="1">
      <alignment vertical="top"/>
    </xf>
    <xf numFmtId="0" fontId="4" fillId="0" borderId="39" xfId="0" applyFont="1" applyFill="1" applyBorder="1" applyProtection="1"/>
    <xf numFmtId="0" fontId="52" fillId="0" borderId="39" xfId="0" applyNumberFormat="1" applyFont="1" applyFill="1" applyBorder="1" applyProtection="1"/>
    <xf numFmtId="0" fontId="4" fillId="0" borderId="0" xfId="0" applyFont="1" applyFill="1" applyBorder="1" applyAlignment="1" applyProtection="1">
      <alignment horizontal="left" vertical="top" wrapText="1"/>
    </xf>
    <xf numFmtId="0" fontId="6" fillId="19" borderId="212" xfId="0" applyFont="1" applyFill="1" applyBorder="1" applyAlignment="1" applyProtection="1">
      <alignment vertical="center"/>
    </xf>
    <xf numFmtId="0" fontId="143" fillId="19" borderId="98" xfId="0" applyFont="1" applyFill="1" applyBorder="1" applyAlignment="1" applyProtection="1">
      <alignment vertical="top"/>
    </xf>
    <xf numFmtId="0" fontId="143" fillId="19" borderId="124" xfId="0" applyFont="1" applyFill="1" applyBorder="1" applyAlignment="1" applyProtection="1">
      <alignment vertical="top"/>
    </xf>
    <xf numFmtId="0" fontId="143" fillId="19" borderId="44" xfId="0" applyFont="1" applyFill="1" applyBorder="1" applyProtection="1"/>
    <xf numFmtId="0" fontId="38" fillId="2" borderId="0" xfId="0" applyFont="1" applyFill="1" applyBorder="1" applyProtection="1"/>
    <xf numFmtId="0" fontId="8" fillId="2" borderId="0" xfId="0" applyFont="1" applyFill="1" applyBorder="1" applyAlignment="1" applyProtection="1"/>
    <xf numFmtId="3" fontId="126" fillId="0" borderId="0" xfId="0" applyNumberFormat="1" applyFont="1" applyFill="1" applyBorder="1" applyProtection="1"/>
    <xf numFmtId="3" fontId="10" fillId="0" borderId="0" xfId="0" applyNumberFormat="1" applyFont="1" applyFill="1" applyBorder="1" applyProtection="1"/>
    <xf numFmtId="3" fontId="87" fillId="0" borderId="0" xfId="0" applyNumberFormat="1" applyFont="1" applyFill="1" applyBorder="1" applyProtection="1"/>
    <xf numFmtId="3" fontId="3" fillId="0" borderId="5" xfId="0" applyNumberFormat="1" applyFont="1" applyFill="1" applyBorder="1" applyAlignment="1" applyProtection="1">
      <alignment horizontal="right"/>
    </xf>
    <xf numFmtId="3" fontId="4" fillId="0" borderId="0" xfId="0" applyNumberFormat="1" applyFont="1" applyFill="1" applyBorder="1" applyAlignment="1" applyProtection="1">
      <alignment horizontal="right"/>
    </xf>
    <xf numFmtId="0" fontId="88" fillId="0" borderId="0" xfId="11" applyFont="1" applyFill="1" applyBorder="1" applyProtection="1"/>
    <xf numFmtId="0" fontId="48" fillId="0" borderId="0" xfId="0" applyFont="1" applyFill="1" applyBorder="1" applyProtection="1"/>
    <xf numFmtId="3" fontId="53" fillId="0" borderId="0" xfId="0" applyNumberFormat="1" applyFont="1" applyFill="1" applyBorder="1" applyProtection="1"/>
    <xf numFmtId="3" fontId="48" fillId="0" borderId="0" xfId="0" applyNumberFormat="1" applyFont="1" applyFill="1" applyBorder="1" applyAlignment="1" applyProtection="1">
      <alignment horizontal="right"/>
    </xf>
    <xf numFmtId="3" fontId="36" fillId="0" borderId="0" xfId="0" applyNumberFormat="1" applyFont="1" applyFill="1" applyBorder="1" applyAlignment="1" applyProtection="1">
      <alignment horizontal="right"/>
    </xf>
    <xf numFmtId="3" fontId="37" fillId="0" borderId="0" xfId="0" applyNumberFormat="1" applyFont="1" applyFill="1" applyBorder="1" applyAlignment="1" applyProtection="1">
      <alignment horizontal="right"/>
    </xf>
    <xf numFmtId="3" fontId="3" fillId="3" borderId="70" xfId="0" applyNumberFormat="1" applyFont="1" applyFill="1" applyBorder="1" applyAlignment="1" applyProtection="1">
      <alignment horizontal="right"/>
    </xf>
    <xf numFmtId="3" fontId="3" fillId="3" borderId="190" xfId="0" applyNumberFormat="1" applyFont="1" applyFill="1" applyBorder="1" applyAlignment="1" applyProtection="1">
      <alignment horizontal="right"/>
    </xf>
    <xf numFmtId="49" fontId="4" fillId="19" borderId="115" xfId="0" applyNumberFormat="1" applyFont="1" applyFill="1" applyBorder="1" applyAlignment="1" applyProtection="1">
      <alignment horizontal="center"/>
    </xf>
    <xf numFmtId="0" fontId="5" fillId="19" borderId="167" xfId="0" applyFont="1" applyFill="1" applyBorder="1" applyAlignment="1" applyProtection="1">
      <alignment horizontal="center" vertical="center" wrapText="1"/>
    </xf>
    <xf numFmtId="3" fontId="3" fillId="0" borderId="2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129" fillId="0" borderId="0" xfId="0" applyFont="1" applyFill="1" applyBorder="1" applyProtection="1"/>
    <xf numFmtId="3" fontId="4" fillId="19" borderId="39" xfId="0" applyNumberFormat="1" applyFont="1" applyFill="1" applyBorder="1" applyProtection="1"/>
    <xf numFmtId="3" fontId="4" fillId="19" borderId="124" xfId="0" applyNumberFormat="1" applyFont="1" applyFill="1" applyBorder="1" applyProtection="1"/>
    <xf numFmtId="0" fontId="43" fillId="0" borderId="58" xfId="0" applyFont="1" applyFill="1" applyBorder="1" applyAlignment="1" applyProtection="1">
      <alignment horizontal="left"/>
    </xf>
    <xf numFmtId="0" fontId="4" fillId="0" borderId="58" xfId="0" applyFont="1" applyFill="1" applyBorder="1" applyAlignment="1" applyProtection="1">
      <alignment horizontal="left"/>
    </xf>
    <xf numFmtId="0" fontId="3" fillId="0" borderId="58" xfId="0" applyFont="1" applyFill="1" applyBorder="1" applyAlignment="1" applyProtection="1">
      <alignment vertical="top"/>
    </xf>
    <xf numFmtId="0" fontId="0" fillId="0" borderId="58" xfId="0" applyFill="1" applyBorder="1" applyProtection="1"/>
    <xf numFmtId="0" fontId="6" fillId="19" borderId="101" xfId="0" applyFont="1" applyFill="1" applyBorder="1" applyProtection="1"/>
    <xf numFmtId="0" fontId="4" fillId="19" borderId="122" xfId="0" applyFont="1" applyFill="1" applyBorder="1" applyAlignment="1" applyProtection="1">
      <alignment horizontal="center"/>
    </xf>
    <xf numFmtId="3" fontId="47" fillId="20" borderId="235" xfId="0" applyNumberFormat="1" applyFont="1" applyFill="1" applyBorder="1" applyProtection="1"/>
    <xf numFmtId="3" fontId="47" fillId="20" borderId="236" xfId="0" applyNumberFormat="1" applyFont="1" applyFill="1" applyBorder="1" applyProtection="1"/>
    <xf numFmtId="3" fontId="47" fillId="20" borderId="154" xfId="0" applyNumberFormat="1" applyFont="1" applyFill="1" applyBorder="1" applyProtection="1"/>
    <xf numFmtId="3" fontId="47" fillId="20" borderId="139" xfId="0" applyNumberFormat="1" applyFont="1" applyFill="1" applyBorder="1" applyProtection="1"/>
    <xf numFmtId="3" fontId="47" fillId="20" borderId="137" xfId="0" applyNumberFormat="1" applyFont="1" applyFill="1" applyBorder="1" applyProtection="1"/>
    <xf numFmtId="3" fontId="47" fillId="19" borderId="139" xfId="0" applyNumberFormat="1" applyFont="1" applyFill="1" applyBorder="1" applyProtection="1"/>
    <xf numFmtId="3" fontId="47" fillId="19" borderId="141" xfId="0" applyNumberFormat="1" applyFont="1" applyFill="1" applyBorder="1" applyProtection="1"/>
    <xf numFmtId="1" fontId="47" fillId="19" borderId="221" xfId="0" applyNumberFormat="1" applyFont="1" applyFill="1" applyBorder="1" applyProtection="1"/>
    <xf numFmtId="0" fontId="13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/>
    <xf numFmtId="9" fontId="47" fillId="0" borderId="0" xfId="13" applyNumberFormat="1" applyFont="1" applyFill="1" applyBorder="1" applyProtection="1"/>
    <xf numFmtId="9" fontId="47" fillId="0" borderId="0" xfId="0" applyNumberFormat="1" applyFont="1" applyFill="1" applyBorder="1" applyProtection="1"/>
    <xf numFmtId="1" fontId="47" fillId="0" borderId="58" xfId="0" applyNumberFormat="1" applyFont="1" applyFill="1" applyBorder="1" applyProtection="1"/>
    <xf numFmtId="1" fontId="47" fillId="0" borderId="0" xfId="0" applyNumberFormat="1" applyFont="1" applyFill="1" applyBorder="1" applyProtection="1"/>
    <xf numFmtId="9" fontId="130" fillId="0" borderId="57" xfId="13" applyFont="1" applyFill="1" applyBorder="1" applyProtection="1"/>
    <xf numFmtId="9" fontId="130" fillId="0" borderId="57" xfId="13" quotePrefix="1" applyFont="1" applyFill="1" applyBorder="1" applyProtection="1"/>
    <xf numFmtId="1" fontId="130" fillId="0" borderId="57" xfId="0" applyNumberFormat="1" applyFont="1" applyFill="1" applyBorder="1" applyProtection="1"/>
    <xf numFmtId="0" fontId="159" fillId="0" borderId="57" xfId="0" applyFont="1" applyFill="1" applyBorder="1" applyAlignment="1" applyProtection="1">
      <alignment wrapText="1"/>
    </xf>
    <xf numFmtId="0" fontId="130" fillId="0" borderId="57" xfId="0" applyFont="1" applyFill="1" applyBorder="1" applyAlignment="1" applyProtection="1">
      <alignment vertical="top"/>
    </xf>
    <xf numFmtId="0" fontId="155" fillId="0" borderId="57" xfId="0" applyFont="1" applyFill="1" applyBorder="1" applyAlignment="1" applyProtection="1">
      <alignment wrapText="1"/>
    </xf>
    <xf numFmtId="0" fontId="155" fillId="0" borderId="57" xfId="0" applyFont="1" applyFill="1" applyBorder="1" applyAlignment="1" applyProtection="1">
      <alignment vertical="top" wrapText="1"/>
    </xf>
    <xf numFmtId="49" fontId="143" fillId="19" borderId="36" xfId="6" applyNumberFormat="1" applyFont="1" applyFill="1" applyBorder="1" applyAlignment="1" applyProtection="1">
      <alignment horizontal="left"/>
    </xf>
    <xf numFmtId="0" fontId="143" fillId="19" borderId="118" xfId="6" applyFont="1" applyFill="1" applyBorder="1" applyAlignment="1" applyProtection="1"/>
    <xf numFmtId="49" fontId="143" fillId="19" borderId="58" xfId="6" applyNumberFormat="1" applyFont="1" applyFill="1" applyBorder="1" applyAlignment="1" applyProtection="1">
      <alignment horizontal="left" vertical="top"/>
    </xf>
    <xf numFmtId="0" fontId="143" fillId="19" borderId="15" xfId="6" applyFont="1" applyFill="1" applyBorder="1" applyProtection="1"/>
    <xf numFmtId="0" fontId="4" fillId="19" borderId="169" xfId="6" applyFont="1" applyFill="1" applyBorder="1" applyAlignment="1" applyProtection="1">
      <alignment wrapText="1"/>
    </xf>
    <xf numFmtId="1" fontId="56" fillId="0" borderId="0" xfId="12" applyNumberFormat="1" applyFont="1" applyFill="1" applyBorder="1" applyAlignment="1" applyProtection="1">
      <alignment horizontal="left"/>
    </xf>
    <xf numFmtId="0" fontId="4" fillId="0" borderId="0" xfId="6" applyFont="1" applyFill="1" applyBorder="1" applyProtection="1"/>
    <xf numFmtId="3" fontId="11" fillId="0" borderId="0" xfId="0" applyNumberFormat="1" applyFont="1" applyFill="1" applyBorder="1" applyAlignment="1" applyProtection="1">
      <alignment horizontal="right"/>
      <protection locked="0"/>
    </xf>
    <xf numFmtId="1" fontId="57" fillId="0" borderId="0" xfId="6" applyNumberFormat="1" applyFont="1" applyFill="1" applyBorder="1" applyAlignment="1" applyProtection="1">
      <alignment horizontal="center"/>
    </xf>
    <xf numFmtId="0" fontId="0" fillId="0" borderId="0" xfId="0" applyFill="1" applyBorder="1" applyAlignment="1">
      <alignment vertical="top" wrapText="1"/>
    </xf>
    <xf numFmtId="1" fontId="56" fillId="0" borderId="0" xfId="6" applyNumberFormat="1" applyFont="1" applyFill="1" applyBorder="1" applyAlignment="1" applyProtection="1">
      <alignment horizontal="left"/>
    </xf>
    <xf numFmtId="0" fontId="3" fillId="0" borderId="0" xfId="6" applyFont="1" applyFill="1" applyBorder="1" applyAlignment="1" applyProtection="1">
      <alignment vertical="top" wrapText="1"/>
    </xf>
    <xf numFmtId="0" fontId="4" fillId="0" borderId="118" xfId="6" applyFont="1" applyFill="1" applyBorder="1" applyProtection="1"/>
    <xf numFmtId="0" fontId="4" fillId="0" borderId="15" xfId="6" applyFont="1" applyFill="1" applyBorder="1" applyProtection="1"/>
    <xf numFmtId="0" fontId="4" fillId="0" borderId="56" xfId="6" applyFont="1" applyFill="1" applyBorder="1" applyAlignment="1" applyProtection="1">
      <alignment horizontal="right"/>
    </xf>
    <xf numFmtId="0" fontId="4" fillId="0" borderId="15" xfId="6" applyFont="1" applyFill="1" applyBorder="1" applyAlignment="1" applyProtection="1">
      <alignment horizontal="right"/>
    </xf>
    <xf numFmtId="3" fontId="37" fillId="0" borderId="35" xfId="6" applyNumberFormat="1" applyFont="1" applyFill="1" applyBorder="1" applyProtection="1"/>
    <xf numFmtId="3" fontId="37" fillId="0" borderId="2" xfId="6" applyNumberFormat="1" applyFont="1" applyFill="1" applyBorder="1" applyProtection="1"/>
    <xf numFmtId="3" fontId="37" fillId="0" borderId="5" xfId="6" applyNumberFormat="1" applyFont="1" applyFill="1" applyBorder="1" applyProtection="1"/>
    <xf numFmtId="3" fontId="37" fillId="0" borderId="42" xfId="6" applyNumberFormat="1" applyFont="1" applyFill="1" applyBorder="1" applyProtection="1"/>
    <xf numFmtId="3" fontId="37" fillId="0" borderId="68" xfId="6" applyNumberFormat="1" applyFont="1" applyFill="1" applyBorder="1" applyProtection="1"/>
    <xf numFmtId="3" fontId="37" fillId="0" borderId="25" xfId="6" applyNumberFormat="1" applyFont="1" applyFill="1" applyBorder="1" applyProtection="1"/>
    <xf numFmtId="3" fontId="44" fillId="19" borderId="107" xfId="6" applyNumberFormat="1" applyFont="1" applyFill="1" applyBorder="1" applyAlignment="1" applyProtection="1">
      <alignment horizontal="right"/>
    </xf>
    <xf numFmtId="3" fontId="36" fillId="19" borderId="39" xfId="6" applyNumberFormat="1" applyFont="1" applyFill="1" applyBorder="1" applyAlignment="1" applyProtection="1">
      <alignment horizontal="right"/>
    </xf>
    <xf numFmtId="3" fontId="44" fillId="19" borderId="13" xfId="6" applyNumberFormat="1" applyFont="1" applyFill="1" applyBorder="1" applyAlignment="1" applyProtection="1">
      <alignment horizontal="right"/>
    </xf>
    <xf numFmtId="0" fontId="4" fillId="19" borderId="57" xfId="6" applyFont="1" applyFill="1" applyBorder="1" applyAlignment="1" applyProtection="1">
      <alignment wrapText="1"/>
    </xf>
    <xf numFmtId="168" fontId="43" fillId="19" borderId="233" xfId="6" applyNumberFormat="1" applyFont="1" applyFill="1" applyBorder="1" applyProtection="1"/>
    <xf numFmtId="0" fontId="6" fillId="19" borderId="2" xfId="6" applyFont="1" applyFill="1" applyBorder="1" applyProtection="1"/>
    <xf numFmtId="0" fontId="4" fillId="19" borderId="178" xfId="6" applyFont="1" applyFill="1" applyBorder="1" applyAlignment="1" applyProtection="1">
      <alignment horizontal="left" vertical="center"/>
    </xf>
    <xf numFmtId="0" fontId="4" fillId="19" borderId="181" xfId="6" applyFont="1" applyFill="1" applyBorder="1" applyProtection="1"/>
    <xf numFmtId="168" fontId="4" fillId="19" borderId="97" xfId="6" applyNumberFormat="1" applyFont="1" applyFill="1" applyBorder="1" applyProtection="1"/>
    <xf numFmtId="49" fontId="6" fillId="19" borderId="144" xfId="6" applyNumberFormat="1" applyFont="1" applyFill="1" applyBorder="1" applyAlignment="1" applyProtection="1">
      <alignment horizontal="left"/>
    </xf>
    <xf numFmtId="0" fontId="6" fillId="19" borderId="178" xfId="6" applyFont="1" applyFill="1" applyBorder="1" applyProtection="1"/>
    <xf numFmtId="0" fontId="8" fillId="19" borderId="181" xfId="6" applyFont="1" applyFill="1" applyBorder="1" applyProtection="1"/>
    <xf numFmtId="49" fontId="4" fillId="19" borderId="181" xfId="6" applyNumberFormat="1" applyFont="1" applyFill="1" applyBorder="1" applyProtection="1"/>
    <xf numFmtId="0" fontId="4" fillId="19" borderId="217" xfId="6" applyFont="1" applyFill="1" applyBorder="1" applyAlignment="1" applyProtection="1">
      <alignment horizontal="left" vertical="center" wrapText="1"/>
    </xf>
    <xf numFmtId="0" fontId="0" fillId="19" borderId="13" xfId="0" applyFill="1" applyBorder="1" applyAlignment="1">
      <alignment vertical="top" wrapText="1"/>
    </xf>
    <xf numFmtId="3" fontId="4" fillId="19" borderId="124" xfId="0" applyNumberFormat="1" applyFont="1" applyFill="1" applyBorder="1" applyAlignment="1" applyProtection="1">
      <alignment wrapText="1"/>
    </xf>
    <xf numFmtId="3" fontId="4" fillId="19" borderId="0" xfId="0" applyNumberFormat="1" applyFont="1" applyFill="1" applyBorder="1" applyAlignment="1" applyProtection="1">
      <alignment vertical="center" wrapText="1"/>
    </xf>
    <xf numFmtId="3" fontId="3" fillId="0" borderId="0" xfId="0" applyNumberFormat="1" applyFont="1" applyFill="1" applyBorder="1" applyAlignment="1" applyProtection="1"/>
    <xf numFmtId="0" fontId="4" fillId="0" borderId="0" xfId="0" applyFont="1" applyFill="1" applyBorder="1" applyAlignment="1" applyProtection="1"/>
    <xf numFmtId="0" fontId="10" fillId="19" borderId="231" xfId="0" applyFont="1" applyFill="1" applyBorder="1" applyAlignment="1" applyProtection="1">
      <alignment horizontal="left" wrapText="1"/>
    </xf>
    <xf numFmtId="3" fontId="4" fillId="19" borderId="230" xfId="0" applyNumberFormat="1" applyFont="1" applyFill="1" applyBorder="1" applyAlignment="1" applyProtection="1">
      <alignment horizontal="right"/>
    </xf>
    <xf numFmtId="0" fontId="133" fillId="19" borderId="0" xfId="0" applyFont="1" applyFill="1" applyBorder="1" applyAlignment="1">
      <alignment horizontal="left" vertical="top"/>
    </xf>
    <xf numFmtId="0" fontId="133" fillId="19" borderId="0" xfId="0" applyFont="1" applyFill="1" applyBorder="1" applyAlignment="1"/>
    <xf numFmtId="3" fontId="4" fillId="19" borderId="0" xfId="0" applyNumberFormat="1" applyFont="1" applyFill="1" applyBorder="1" applyAlignment="1" applyProtection="1">
      <alignment horizontal="right"/>
    </xf>
    <xf numFmtId="3" fontId="43" fillId="19" borderId="55" xfId="0" applyNumberFormat="1" applyFont="1" applyFill="1" applyBorder="1" applyAlignment="1" applyProtection="1">
      <alignment horizontal="right"/>
    </xf>
    <xf numFmtId="3" fontId="4" fillId="19" borderId="55" xfId="0" applyNumberFormat="1" applyFont="1" applyFill="1" applyBorder="1" applyAlignment="1" applyProtection="1">
      <alignment horizontal="right"/>
    </xf>
    <xf numFmtId="0" fontId="133" fillId="19" borderId="39" xfId="0" applyFont="1" applyFill="1" applyBorder="1" applyAlignment="1">
      <alignment horizontal="left" vertical="top"/>
    </xf>
    <xf numFmtId="0" fontId="4" fillId="19" borderId="161" xfId="6" applyFont="1" applyFill="1" applyBorder="1" applyAlignment="1" applyProtection="1">
      <alignment horizontal="center"/>
    </xf>
    <xf numFmtId="0" fontId="4" fillId="19" borderId="161" xfId="6" applyFont="1" applyFill="1" applyBorder="1" applyAlignment="1" applyProtection="1"/>
    <xf numFmtId="0" fontId="4" fillId="19" borderId="161" xfId="0" applyFont="1" applyFill="1" applyBorder="1" applyAlignment="1" applyProtection="1"/>
    <xf numFmtId="0" fontId="10" fillId="19" borderId="173" xfId="0" applyFont="1" applyFill="1" applyBorder="1" applyAlignment="1" applyProtection="1">
      <alignment horizontal="left"/>
    </xf>
    <xf numFmtId="9" fontId="47" fillId="19" borderId="40" xfId="0" quotePrefix="1" applyNumberFormat="1" applyFont="1" applyFill="1" applyBorder="1" applyAlignment="1" applyProtection="1">
      <alignment horizontal="right"/>
    </xf>
    <xf numFmtId="9" fontId="47" fillId="19" borderId="19" xfId="0" quotePrefix="1" applyNumberFormat="1" applyFont="1" applyFill="1" applyBorder="1" applyAlignment="1" applyProtection="1">
      <alignment horizontal="right"/>
    </xf>
    <xf numFmtId="3" fontId="47" fillId="19" borderId="87" xfId="0" applyNumberFormat="1" applyFont="1" applyFill="1" applyBorder="1" applyAlignment="1" applyProtection="1">
      <alignment horizontal="right"/>
    </xf>
    <xf numFmtId="3" fontId="47" fillId="19" borderId="59" xfId="0" applyNumberFormat="1" applyFont="1" applyFill="1" applyBorder="1" applyAlignment="1" applyProtection="1">
      <alignment horizontal="right"/>
    </xf>
    <xf numFmtId="9" fontId="47" fillId="19" borderId="20" xfId="0" quotePrefix="1" applyNumberFormat="1" applyFont="1" applyFill="1" applyBorder="1" applyAlignment="1" applyProtection="1">
      <alignment horizontal="right"/>
    </xf>
    <xf numFmtId="9" fontId="47" fillId="19" borderId="26" xfId="0" quotePrefix="1" applyNumberFormat="1" applyFont="1" applyFill="1" applyBorder="1" applyAlignment="1" applyProtection="1">
      <alignment horizontal="right"/>
    </xf>
    <xf numFmtId="3" fontId="36" fillId="0" borderId="57" xfId="0" applyNumberFormat="1" applyFont="1" applyFill="1" applyBorder="1" applyAlignment="1" applyProtection="1">
      <alignment horizontal="left"/>
    </xf>
    <xf numFmtId="3" fontId="125" fillId="0" borderId="57" xfId="0" quotePrefix="1" applyNumberFormat="1" applyFont="1" applyFill="1" applyBorder="1" applyAlignment="1" applyProtection="1">
      <alignment horizontal="left"/>
    </xf>
    <xf numFmtId="3" fontId="125" fillId="0" borderId="57" xfId="0" applyNumberFormat="1" applyFont="1" applyFill="1" applyBorder="1" applyAlignment="1" applyProtection="1">
      <alignment horizontal="left"/>
    </xf>
    <xf numFmtId="3" fontId="36" fillId="0" borderId="57" xfId="0" quotePrefix="1" applyNumberFormat="1" applyFont="1" applyFill="1" applyBorder="1" applyAlignment="1" applyProtection="1">
      <alignment horizontal="left"/>
    </xf>
    <xf numFmtId="0" fontId="2" fillId="0" borderId="122" xfId="0" applyFont="1" applyFill="1" applyBorder="1" applyAlignment="1">
      <alignment wrapText="1"/>
    </xf>
    <xf numFmtId="0" fontId="6" fillId="0" borderId="122" xfId="6" applyFont="1" applyFill="1" applyBorder="1" applyAlignment="1" applyProtection="1"/>
    <xf numFmtId="3" fontId="4" fillId="0" borderId="122" xfId="6" applyNumberFormat="1" applyFont="1" applyFill="1" applyBorder="1" applyAlignment="1" applyProtection="1">
      <alignment vertical="top"/>
    </xf>
    <xf numFmtId="3" fontId="75" fillId="20" borderId="25" xfId="0" applyNumberFormat="1" applyFont="1" applyFill="1" applyBorder="1" applyAlignment="1" applyProtection="1">
      <alignment horizontal="right"/>
    </xf>
    <xf numFmtId="3" fontId="47" fillId="19" borderId="68" xfId="0" applyNumberFormat="1" applyFont="1" applyFill="1" applyBorder="1" applyAlignment="1" applyProtection="1">
      <alignment horizontal="right"/>
    </xf>
    <xf numFmtId="3" fontId="47" fillId="19" borderId="13" xfId="0" applyNumberFormat="1" applyFont="1" applyFill="1" applyBorder="1" applyAlignment="1" applyProtection="1">
      <alignment horizontal="right"/>
    </xf>
    <xf numFmtId="3" fontId="47" fillId="19" borderId="128" xfId="0" applyNumberFormat="1" applyFont="1" applyFill="1" applyBorder="1" applyAlignment="1" applyProtection="1">
      <alignment horizontal="right"/>
    </xf>
    <xf numFmtId="3" fontId="47" fillId="19" borderId="66" xfId="0" applyNumberFormat="1" applyFont="1" applyFill="1" applyBorder="1" applyAlignment="1" applyProtection="1">
      <alignment horizontal="right"/>
    </xf>
    <xf numFmtId="3" fontId="47" fillId="19" borderId="82" xfId="0" applyNumberFormat="1" applyFont="1" applyFill="1" applyBorder="1" applyAlignment="1" applyProtection="1">
      <alignment horizontal="right"/>
    </xf>
    <xf numFmtId="0" fontId="3" fillId="19" borderId="0" xfId="0" applyFont="1" applyFill="1" applyBorder="1"/>
    <xf numFmtId="0" fontId="0" fillId="33" borderId="67" xfId="0" applyFill="1" applyBorder="1"/>
    <xf numFmtId="0" fontId="80" fillId="33" borderId="0" xfId="0" applyFont="1" applyFill="1" applyBorder="1" applyAlignment="1">
      <alignment wrapText="1"/>
    </xf>
    <xf numFmtId="0" fontId="0" fillId="33" borderId="0" xfId="0" applyFill="1" applyBorder="1"/>
    <xf numFmtId="0" fontId="77" fillId="33" borderId="27" xfId="0" applyFont="1" applyFill="1" applyBorder="1" applyAlignment="1">
      <alignment horizontal="right" wrapText="1"/>
    </xf>
    <xf numFmtId="49" fontId="82" fillId="33" borderId="0" xfId="0" applyNumberFormat="1" applyFont="1" applyFill="1" applyBorder="1" applyAlignment="1">
      <alignment horizontal="right" wrapText="1"/>
    </xf>
    <xf numFmtId="0" fontId="68" fillId="33" borderId="27" xfId="0" applyFont="1" applyFill="1" applyBorder="1" applyAlignment="1">
      <alignment horizontal="left" wrapText="1"/>
    </xf>
    <xf numFmtId="3" fontId="16" fillId="33" borderId="0" xfId="0" applyNumberFormat="1" applyFont="1" applyFill="1" applyBorder="1" applyAlignment="1" applyProtection="1">
      <alignment horizontal="right"/>
    </xf>
    <xf numFmtId="0" fontId="11" fillId="33" borderId="0" xfId="0" applyFont="1" applyFill="1" applyBorder="1" applyAlignment="1">
      <alignment horizontal="left" wrapText="1"/>
    </xf>
    <xf numFmtId="0" fontId="77" fillId="33" borderId="0" xfId="0" applyFont="1" applyFill="1" applyBorder="1" applyAlignment="1">
      <alignment horizontal="center" wrapText="1"/>
    </xf>
    <xf numFmtId="49" fontId="41" fillId="33" borderId="27" xfId="0" applyNumberFormat="1" applyFont="1" applyFill="1" applyBorder="1" applyAlignment="1" applyProtection="1">
      <alignment horizontal="right"/>
    </xf>
    <xf numFmtId="49" fontId="41" fillId="33" borderId="0" xfId="0" applyNumberFormat="1" applyFont="1" applyFill="1" applyBorder="1" applyAlignment="1" applyProtection="1">
      <alignment horizontal="right"/>
    </xf>
    <xf numFmtId="2" fontId="79" fillId="33" borderId="27" xfId="5" applyNumberFormat="1" applyFill="1" applyBorder="1" applyAlignment="1" applyProtection="1">
      <alignment horizontal="left"/>
    </xf>
    <xf numFmtId="0" fontId="3" fillId="33" borderId="0" xfId="0" applyFont="1" applyFill="1" applyBorder="1" applyAlignment="1">
      <alignment horizontal="right" wrapText="1"/>
    </xf>
    <xf numFmtId="0" fontId="77" fillId="33" borderId="0" xfId="0" applyFont="1" applyFill="1" applyBorder="1" applyAlignment="1">
      <alignment wrapText="1"/>
    </xf>
    <xf numFmtId="0" fontId="81" fillId="33" borderId="0" xfId="0" applyFont="1" applyFill="1" applyBorder="1" applyAlignment="1">
      <alignment wrapText="1"/>
    </xf>
    <xf numFmtId="0" fontId="82" fillId="33" borderId="0" xfId="0" applyFont="1" applyFill="1" applyBorder="1" applyAlignment="1">
      <alignment wrapText="1"/>
    </xf>
    <xf numFmtId="0" fontId="154" fillId="33" borderId="0" xfId="0" applyFont="1" applyFill="1" applyBorder="1"/>
    <xf numFmtId="0" fontId="68" fillId="33" borderId="0" xfId="0" applyFont="1" applyFill="1" applyBorder="1" applyAlignment="1">
      <alignment wrapText="1"/>
    </xf>
    <xf numFmtId="0" fontId="166" fillId="33" borderId="0" xfId="0" applyFont="1" applyFill="1" applyBorder="1" applyAlignment="1"/>
    <xf numFmtId="49" fontId="3" fillId="33" borderId="0" xfId="0" applyNumberFormat="1" applyFont="1" applyFill="1" applyBorder="1"/>
    <xf numFmtId="49" fontId="83" fillId="33" borderId="0" xfId="5" applyNumberFormat="1" applyFont="1" applyFill="1" applyBorder="1" applyAlignment="1" applyProtection="1"/>
    <xf numFmtId="0" fontId="3" fillId="33" borderId="0" xfId="0" applyFont="1" applyFill="1" applyBorder="1" applyAlignment="1">
      <alignment wrapText="1"/>
    </xf>
    <xf numFmtId="49" fontId="3" fillId="33" borderId="0" xfId="0" applyNumberFormat="1" applyFont="1" applyFill="1" applyBorder="1" applyProtection="1"/>
    <xf numFmtId="0" fontId="3" fillId="33" borderId="0" xfId="0" applyFont="1" applyFill="1" applyBorder="1"/>
    <xf numFmtId="0" fontId="0" fillId="33" borderId="27" xfId="0" applyFill="1" applyBorder="1"/>
    <xf numFmtId="3" fontId="36" fillId="19" borderId="11" xfId="6" applyNumberFormat="1" applyFont="1" applyFill="1" applyBorder="1" applyAlignment="1" applyProtection="1">
      <alignment horizontal="left"/>
    </xf>
    <xf numFmtId="3" fontId="89" fillId="0" borderId="57" xfId="0" applyNumberFormat="1" applyFont="1" applyFill="1" applyBorder="1" applyProtection="1"/>
    <xf numFmtId="3" fontId="36" fillId="0" borderId="57" xfId="0" applyNumberFormat="1" applyFont="1" applyFill="1" applyBorder="1" applyProtection="1"/>
    <xf numFmtId="49" fontId="143" fillId="19" borderId="36" xfId="0" applyNumberFormat="1" applyFont="1" applyFill="1" applyBorder="1" applyAlignment="1" applyProtection="1">
      <alignment horizontal="left"/>
    </xf>
    <xf numFmtId="49" fontId="143" fillId="19" borderId="58" xfId="0" applyNumberFormat="1" applyFont="1" applyFill="1" applyBorder="1" applyAlignment="1" applyProtection="1">
      <alignment horizontal="left" vertical="top"/>
    </xf>
    <xf numFmtId="1" fontId="5" fillId="19" borderId="118" xfId="0" applyNumberFormat="1" applyFont="1" applyFill="1" applyBorder="1" applyAlignment="1" applyProtection="1">
      <alignment horizontal="center"/>
    </xf>
    <xf numFmtId="0" fontId="31" fillId="27" borderId="39" xfId="0" applyFont="1" applyFill="1" applyBorder="1" applyProtection="1"/>
    <xf numFmtId="0" fontId="2" fillId="0" borderId="39" xfId="0" applyFont="1" applyFill="1" applyBorder="1" applyProtection="1"/>
    <xf numFmtId="49" fontId="143" fillId="19" borderId="142" xfId="0" applyNumberFormat="1" applyFont="1" applyFill="1" applyBorder="1" applyAlignment="1" applyProtection="1">
      <alignment horizontal="left" vertical="top"/>
    </xf>
    <xf numFmtId="3" fontId="3" fillId="0" borderId="0" xfId="0" applyNumberFormat="1" applyFont="1" applyFill="1" applyBorder="1" applyAlignment="1" applyProtection="1">
      <alignment horizontal="right"/>
    </xf>
    <xf numFmtId="3" fontId="3" fillId="3" borderId="83" xfId="0" applyNumberFormat="1" applyFont="1" applyFill="1" applyBorder="1" applyAlignment="1" applyProtection="1">
      <alignment horizontal="right"/>
    </xf>
    <xf numFmtId="3" fontId="3" fillId="3" borderId="115" xfId="0" applyNumberFormat="1" applyFont="1" applyFill="1" applyBorder="1" applyAlignment="1" applyProtection="1">
      <alignment horizontal="right"/>
    </xf>
    <xf numFmtId="0" fontId="16" fillId="33" borderId="0" xfId="0" applyFont="1" applyFill="1" applyBorder="1" applyAlignment="1">
      <alignment horizontal="left" wrapText="1"/>
    </xf>
    <xf numFmtId="3" fontId="11" fillId="19" borderId="172" xfId="0" applyNumberFormat="1" applyFont="1" applyFill="1" applyBorder="1" applyAlignment="1" applyProtection="1">
      <alignment horizontal="right"/>
      <protection locked="0"/>
    </xf>
    <xf numFmtId="3" fontId="11" fillId="19" borderId="0" xfId="0" applyNumberFormat="1" applyFont="1" applyFill="1" applyBorder="1" applyAlignment="1" applyProtection="1">
      <alignment horizontal="right"/>
      <protection locked="0"/>
    </xf>
    <xf numFmtId="3" fontId="11" fillId="19" borderId="57" xfId="0" applyNumberFormat="1" applyFont="1" applyFill="1" applyBorder="1" applyAlignment="1" applyProtection="1">
      <alignment horizontal="right"/>
      <protection locked="0"/>
    </xf>
    <xf numFmtId="1" fontId="138" fillId="19" borderId="237" xfId="0" applyNumberFormat="1" applyFont="1" applyFill="1" applyBorder="1" applyProtection="1"/>
    <xf numFmtId="1" fontId="138" fillId="19" borderId="222" xfId="0" applyNumberFormat="1" applyFont="1" applyFill="1" applyBorder="1" applyProtection="1"/>
    <xf numFmtId="1" fontId="138" fillId="19" borderId="223" xfId="0" applyNumberFormat="1" applyFont="1" applyFill="1" applyBorder="1" applyProtection="1"/>
    <xf numFmtId="0" fontId="10" fillId="10" borderId="231" xfId="0" applyFont="1" applyFill="1" applyBorder="1" applyAlignment="1">
      <alignment horizontal="left" wrapText="1"/>
    </xf>
    <xf numFmtId="0" fontId="82" fillId="33" borderId="112" xfId="0" applyFont="1" applyFill="1" applyBorder="1" applyAlignment="1">
      <alignment wrapText="1"/>
    </xf>
    <xf numFmtId="0" fontId="82" fillId="33" borderId="67" xfId="0" applyFont="1" applyFill="1" applyBorder="1" applyAlignment="1">
      <alignment wrapText="1"/>
    </xf>
    <xf numFmtId="0" fontId="80" fillId="33" borderId="27" xfId="0" applyFont="1" applyFill="1" applyBorder="1" applyAlignment="1">
      <alignment wrapText="1"/>
    </xf>
    <xf numFmtId="0" fontId="80" fillId="33" borderId="0" xfId="0" applyFont="1" applyFill="1" applyBorder="1" applyAlignment="1">
      <alignment wrapText="1"/>
    </xf>
    <xf numFmtId="0" fontId="11" fillId="33" borderId="0" xfId="0" applyFont="1" applyFill="1" applyBorder="1" applyAlignment="1"/>
    <xf numFmtId="0" fontId="10" fillId="33" borderId="0" xfId="0" applyFont="1" applyFill="1" applyBorder="1" applyAlignment="1"/>
    <xf numFmtId="0" fontId="152" fillId="33" borderId="0" xfId="0" applyFont="1" applyFill="1" applyBorder="1" applyAlignment="1">
      <alignment horizontal="left" wrapText="1"/>
    </xf>
    <xf numFmtId="0" fontId="153" fillId="33" borderId="0" xfId="0" applyFont="1" applyFill="1" applyBorder="1" applyAlignment="1">
      <alignment horizontal="left" wrapText="1"/>
    </xf>
    <xf numFmtId="0" fontId="77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0" fillId="33" borderId="0" xfId="0" applyFill="1" applyBorder="1" applyAlignment="1"/>
    <xf numFmtId="0" fontId="110" fillId="33" borderId="0" xfId="0" applyFont="1" applyFill="1" applyBorder="1" applyAlignment="1">
      <alignment wrapText="1"/>
    </xf>
    <xf numFmtId="0" fontId="111" fillId="33" borderId="0" xfId="0" applyFont="1" applyFill="1" applyBorder="1" applyAlignment="1"/>
    <xf numFmtId="0" fontId="11" fillId="33" borderId="0" xfId="0" applyFont="1" applyFill="1" applyBorder="1" applyAlignment="1">
      <alignment wrapText="1"/>
    </xf>
    <xf numFmtId="0" fontId="81" fillId="33" borderId="0" xfId="0" applyFont="1" applyFill="1" applyBorder="1" applyAlignment="1">
      <alignment wrapText="1"/>
    </xf>
    <xf numFmtId="0" fontId="11" fillId="33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wrapText="1"/>
    </xf>
    <xf numFmtId="0" fontId="151" fillId="0" borderId="0" xfId="0" applyFont="1" applyFill="1" applyBorder="1" applyAlignment="1" applyProtection="1">
      <alignment vertical="top" wrapText="1"/>
      <protection locked="0"/>
    </xf>
    <xf numFmtId="0" fontId="151" fillId="0" borderId="0" xfId="0" applyFont="1" applyBorder="1" applyAlignment="1" applyProtection="1">
      <alignment vertical="top" wrapText="1"/>
      <protection locked="0"/>
    </xf>
    <xf numFmtId="0" fontId="4" fillId="19" borderId="125" xfId="0" applyFont="1" applyFill="1" applyBorder="1" applyAlignment="1" applyProtection="1">
      <alignment wrapText="1"/>
    </xf>
    <xf numFmtId="0" fontId="0" fillId="19" borderId="79" xfId="0" applyFill="1" applyBorder="1" applyAlignment="1">
      <alignment wrapText="1"/>
    </xf>
    <xf numFmtId="0" fontId="4" fillId="19" borderId="50" xfId="0" applyFont="1" applyFill="1" applyBorder="1" applyAlignment="1" applyProtection="1">
      <alignment wrapText="1"/>
    </xf>
    <xf numFmtId="0" fontId="0" fillId="19" borderId="52" xfId="0" applyFill="1" applyBorder="1" applyAlignment="1">
      <alignment wrapText="1"/>
    </xf>
    <xf numFmtId="0" fontId="6" fillId="19" borderId="36" xfId="0" applyFont="1" applyFill="1" applyBorder="1" applyAlignment="1" applyProtection="1">
      <alignment horizontal="center" vertical="center"/>
    </xf>
    <xf numFmtId="0" fontId="2" fillId="19" borderId="121" xfId="0" applyFont="1" applyFill="1" applyBorder="1" applyAlignment="1" applyProtection="1"/>
    <xf numFmtId="0" fontId="0" fillId="19" borderId="121" xfId="0" applyFill="1" applyBorder="1" applyProtection="1"/>
    <xf numFmtId="3" fontId="47" fillId="20" borderId="130" xfId="0" applyNumberFormat="1" applyFont="1" applyFill="1" applyBorder="1" applyAlignment="1" applyProtection="1"/>
    <xf numFmtId="3" fontId="47" fillId="20" borderId="21" xfId="0" applyNumberFormat="1" applyFont="1" applyFill="1" applyBorder="1" applyAlignment="1" applyProtection="1"/>
    <xf numFmtId="3" fontId="47" fillId="20" borderId="69" xfId="0" applyNumberFormat="1" applyFont="1" applyFill="1" applyBorder="1" applyAlignment="1" applyProtection="1"/>
    <xf numFmtId="3" fontId="47" fillId="20" borderId="18" xfId="0" applyNumberFormat="1" applyFont="1" applyFill="1" applyBorder="1" applyAlignment="1" applyProtection="1"/>
    <xf numFmtId="0" fontId="3" fillId="0" borderId="0" xfId="0" applyFont="1" applyBorder="1" applyAlignment="1" applyProtection="1">
      <alignment vertical="top" wrapText="1"/>
      <protection locked="0"/>
    </xf>
    <xf numFmtId="0" fontId="149" fillId="2" borderId="0" xfId="0" applyFont="1" applyFill="1" applyBorder="1" applyAlignment="1" applyProtection="1">
      <alignment vertical="top" wrapText="1"/>
      <protection locked="0"/>
    </xf>
    <xf numFmtId="0" fontId="156" fillId="0" borderId="0" xfId="0" applyFont="1" applyBorder="1" applyAlignment="1" applyProtection="1">
      <alignment vertical="top" wrapText="1"/>
      <protection locked="0"/>
    </xf>
    <xf numFmtId="0" fontId="6" fillId="19" borderId="121" xfId="0" applyFont="1" applyFill="1" applyBorder="1" applyAlignment="1" applyProtection="1"/>
    <xf numFmtId="3" fontId="6" fillId="19" borderId="36" xfId="0" applyNumberFormat="1" applyFont="1" applyFill="1" applyBorder="1" applyAlignment="1" applyProtection="1">
      <alignment horizontal="center" vertical="center"/>
    </xf>
    <xf numFmtId="0" fontId="8" fillId="19" borderId="121" xfId="0" applyFont="1" applyFill="1" applyBorder="1" applyAlignment="1" applyProtection="1"/>
    <xf numFmtId="0" fontId="4" fillId="19" borderId="184" xfId="0" applyFont="1" applyFill="1" applyBorder="1" applyAlignment="1" applyProtection="1">
      <alignment horizontal="left" wrapText="1"/>
    </xf>
    <xf numFmtId="0" fontId="0" fillId="19" borderId="185" xfId="0" applyFill="1" applyBorder="1" applyAlignment="1" applyProtection="1"/>
    <xf numFmtId="0" fontId="0" fillId="19" borderId="186" xfId="0" applyFill="1" applyBorder="1" applyAlignment="1" applyProtection="1"/>
    <xf numFmtId="1" fontId="6" fillId="0" borderId="0" xfId="0" applyNumberFormat="1" applyFont="1" applyFill="1" applyBorder="1" applyAlignment="1" applyProtection="1">
      <alignment horizontal="left" wrapText="1"/>
    </xf>
    <xf numFmtId="0" fontId="0" fillId="0" borderId="0" xfId="0" applyFill="1" applyBorder="1" applyAlignment="1">
      <alignment horizontal="left" wrapText="1"/>
    </xf>
    <xf numFmtId="1" fontId="4" fillId="0" borderId="0" xfId="0" applyNumberFormat="1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vertical="top" wrapText="1"/>
    </xf>
    <xf numFmtId="1" fontId="16" fillId="19" borderId="15" xfId="0" applyNumberFormat="1" applyFont="1" applyFill="1" applyBorder="1" applyAlignment="1" applyProtection="1">
      <alignment horizontal="left" vertical="top" wrapText="1"/>
    </xf>
    <xf numFmtId="0" fontId="54" fillId="19" borderId="4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9" fillId="2" borderId="67" xfId="0" applyFont="1" applyFill="1" applyBorder="1" applyAlignment="1" applyProtection="1"/>
    <xf numFmtId="0" fontId="0" fillId="0" borderId="67" xfId="0" applyBorder="1" applyAlignment="1" applyProtection="1"/>
    <xf numFmtId="0" fontId="3" fillId="2" borderId="0" xfId="0" applyFont="1" applyFill="1" applyBorder="1" applyAlignment="1" applyProtection="1">
      <alignment vertical="top" wrapText="1"/>
      <protection locked="0"/>
    </xf>
    <xf numFmtId="1" fontId="3" fillId="19" borderId="15" xfId="0" applyNumberFormat="1" applyFont="1" applyFill="1" applyBorder="1" applyAlignment="1" applyProtection="1">
      <alignment horizontal="left" wrapText="1"/>
    </xf>
    <xf numFmtId="0" fontId="10" fillId="19" borderId="15" xfId="0" applyFont="1" applyFill="1" applyBorder="1" applyAlignment="1">
      <alignment wrapText="1"/>
    </xf>
    <xf numFmtId="0" fontId="156" fillId="0" borderId="0" xfId="0" applyFont="1" applyBorder="1" applyAlignment="1">
      <alignment vertical="top" wrapText="1"/>
    </xf>
    <xf numFmtId="0" fontId="20" fillId="2" borderId="0" xfId="0" applyFont="1" applyFill="1" applyAlignment="1" applyProtection="1">
      <alignment vertical="top" wrapText="1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vertical="top" wrapText="1"/>
    </xf>
    <xf numFmtId="0" fontId="149" fillId="0" borderId="0" xfId="0" applyFont="1" applyFill="1" applyBorder="1" applyAlignment="1" applyProtection="1">
      <alignment horizontal="left" vertical="top" wrapText="1"/>
    </xf>
    <xf numFmtId="0" fontId="156" fillId="0" borderId="57" xfId="0" applyFont="1" applyFill="1" applyBorder="1" applyAlignment="1">
      <alignment wrapText="1"/>
    </xf>
    <xf numFmtId="0" fontId="156" fillId="0" borderId="0" xfId="0" applyFont="1" applyFill="1" applyAlignment="1">
      <alignment wrapText="1"/>
    </xf>
    <xf numFmtId="0" fontId="156" fillId="0" borderId="231" xfId="0" applyFont="1" applyFill="1" applyBorder="1" applyAlignment="1">
      <alignment wrapText="1"/>
    </xf>
    <xf numFmtId="0" fontId="156" fillId="0" borderId="233" xfId="0" applyFont="1" applyFill="1" applyBorder="1" applyAlignment="1">
      <alignment wrapText="1"/>
    </xf>
    <xf numFmtId="0" fontId="149" fillId="0" borderId="230" xfId="0" applyFont="1" applyFill="1" applyBorder="1" applyAlignment="1" applyProtection="1">
      <alignment horizontal="left" vertical="top" wrapText="1"/>
    </xf>
    <xf numFmtId="0" fontId="156" fillId="0" borderId="230" xfId="0" applyFont="1" applyFill="1" applyBorder="1" applyAlignment="1">
      <alignment wrapText="1"/>
    </xf>
    <xf numFmtId="0" fontId="4" fillId="19" borderId="118" xfId="0" applyFont="1" applyFill="1" applyBorder="1" applyAlignment="1" applyProtection="1">
      <alignment horizontal="left" vertical="top" wrapText="1"/>
    </xf>
    <xf numFmtId="0" fontId="0" fillId="0" borderId="42" xfId="0" applyBorder="1"/>
    <xf numFmtId="0" fontId="10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3" fontId="3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49" fontId="19" fillId="0" borderId="0" xfId="0" applyNumberFormat="1" applyFont="1" applyFill="1" applyBorder="1" applyAlignment="1" applyProtection="1">
      <alignment horizontal="left" wrapText="1"/>
    </xf>
    <xf numFmtId="0" fontId="60" fillId="0" borderId="0" xfId="0" applyFont="1" applyAlignment="1">
      <alignment horizontal="left" wrapText="1"/>
    </xf>
    <xf numFmtId="0" fontId="0" fillId="0" borderId="0" xfId="0" applyAlignment="1"/>
    <xf numFmtId="0" fontId="60" fillId="0" borderId="0" xfId="0" applyFont="1" applyAlignment="1" applyProtection="1">
      <alignment horizontal="left" wrapText="1"/>
    </xf>
    <xf numFmtId="0" fontId="0" fillId="0" borderId="0" xfId="0" applyAlignment="1" applyProtection="1">
      <alignment wrapText="1"/>
    </xf>
    <xf numFmtId="0" fontId="3" fillId="19" borderId="188" xfId="0" applyFont="1" applyFill="1" applyBorder="1" applyAlignment="1" applyProtection="1">
      <alignment horizontal="center" vertical="top"/>
    </xf>
    <xf numFmtId="0" fontId="3" fillId="19" borderId="65" xfId="0" applyFont="1" applyFill="1" applyBorder="1" applyAlignment="1" applyProtection="1">
      <alignment horizontal="center" vertical="top"/>
    </xf>
    <xf numFmtId="3" fontId="3" fillId="19" borderId="188" xfId="0" applyNumberFormat="1" applyFont="1" applyFill="1" applyBorder="1" applyAlignment="1" applyProtection="1">
      <alignment horizontal="center" vertical="top"/>
    </xf>
    <xf numFmtId="3" fontId="3" fillId="19" borderId="55" xfId="0" applyNumberFormat="1" applyFont="1" applyFill="1" applyBorder="1" applyAlignment="1" applyProtection="1">
      <alignment horizontal="center" vertical="top"/>
    </xf>
    <xf numFmtId="3" fontId="3" fillId="19" borderId="65" xfId="0" applyNumberFormat="1" applyFont="1" applyFill="1" applyBorder="1" applyAlignment="1" applyProtection="1">
      <alignment horizontal="center" vertical="top"/>
    </xf>
    <xf numFmtId="0" fontId="3" fillId="19" borderId="131" xfId="0" applyFont="1" applyFill="1" applyBorder="1" applyAlignment="1" applyProtection="1">
      <alignment horizontal="center" vertical="top"/>
    </xf>
    <xf numFmtId="0" fontId="3" fillId="19" borderId="55" xfId="0" applyFont="1" applyFill="1" applyBorder="1" applyAlignment="1" applyProtection="1">
      <alignment horizontal="center" vertical="top"/>
    </xf>
    <xf numFmtId="3" fontId="3" fillId="19" borderId="188" xfId="0" applyNumberFormat="1" applyFont="1" applyFill="1" applyBorder="1" applyAlignment="1" applyProtection="1">
      <alignment horizontal="left" vertical="top" wrapText="1"/>
    </xf>
    <xf numFmtId="0" fontId="10" fillId="19" borderId="53" xfId="0" applyFont="1" applyFill="1" applyBorder="1" applyAlignment="1" applyProtection="1">
      <alignment vertical="top" wrapText="1"/>
    </xf>
    <xf numFmtId="0" fontId="4" fillId="19" borderId="12" xfId="0" applyFont="1" applyFill="1" applyBorder="1" applyAlignment="1" applyProtection="1">
      <alignment horizontal="left" vertical="top" wrapText="1"/>
    </xf>
    <xf numFmtId="0" fontId="0" fillId="0" borderId="92" xfId="0" applyBorder="1" applyAlignment="1"/>
    <xf numFmtId="0" fontId="3" fillId="0" borderId="0" xfId="0" applyFont="1" applyFill="1" applyBorder="1" applyAlignment="1" applyProtection="1">
      <alignment vertical="top" wrapText="1"/>
      <protection locked="0"/>
    </xf>
    <xf numFmtId="0" fontId="4" fillId="2" borderId="205" xfId="0" applyFont="1" applyFill="1" applyBorder="1" applyAlignment="1" applyProtection="1">
      <alignment horizontal="right"/>
    </xf>
    <xf numFmtId="0" fontId="0" fillId="0" borderId="165" xfId="0" applyBorder="1" applyAlignment="1">
      <alignment horizontal="right"/>
    </xf>
    <xf numFmtId="0" fontId="0" fillId="0" borderId="102" xfId="0" applyBorder="1" applyAlignment="1">
      <alignment horizontal="right"/>
    </xf>
    <xf numFmtId="0" fontId="3" fillId="19" borderId="49" xfId="0" applyFont="1" applyFill="1" applyBorder="1" applyAlignment="1" applyProtection="1">
      <alignment horizontal="left" vertical="top" wrapText="1"/>
      <protection locked="0"/>
    </xf>
    <xf numFmtId="0" fontId="3" fillId="19" borderId="48" xfId="0" applyFont="1" applyFill="1" applyBorder="1" applyAlignment="1" applyProtection="1">
      <alignment horizontal="left" vertical="top" wrapText="1"/>
      <protection locked="0"/>
    </xf>
    <xf numFmtId="0" fontId="3" fillId="19" borderId="41" xfId="0" applyFont="1" applyFill="1" applyBorder="1" applyAlignment="1" applyProtection="1">
      <alignment horizontal="left" vertical="top" wrapText="1"/>
      <protection locked="0"/>
    </xf>
    <xf numFmtId="3" fontId="4" fillId="19" borderId="161" xfId="6" applyNumberFormat="1" applyFont="1" applyFill="1" applyBorder="1" applyAlignment="1" applyProtection="1">
      <alignment horizontal="left" vertical="top" wrapText="1"/>
    </xf>
    <xf numFmtId="0" fontId="23" fillId="19" borderId="161" xfId="6" applyFill="1" applyBorder="1" applyAlignment="1">
      <alignment horizontal="left" wrapText="1"/>
    </xf>
    <xf numFmtId="3" fontId="4" fillId="19" borderId="174" xfId="0" applyNumberFormat="1" applyFont="1" applyFill="1" applyBorder="1" applyAlignment="1" applyProtection="1">
      <alignment horizontal="left" vertical="top" wrapText="1"/>
    </xf>
    <xf numFmtId="0" fontId="0" fillId="0" borderId="160" xfId="0" applyBorder="1" applyAlignment="1">
      <alignment horizontal="left" wrapText="1"/>
    </xf>
    <xf numFmtId="3" fontId="4" fillId="19" borderId="175" xfId="0" applyNumberFormat="1" applyFont="1" applyFill="1" applyBorder="1" applyAlignment="1" applyProtection="1">
      <alignment horizontal="left" vertical="top" wrapText="1"/>
    </xf>
    <xf numFmtId="0" fontId="0" fillId="0" borderId="159" xfId="0" applyBorder="1" applyAlignment="1">
      <alignment horizontal="left" wrapText="1"/>
    </xf>
    <xf numFmtId="3" fontId="4" fillId="19" borderId="75" xfId="0" applyNumberFormat="1" applyFont="1" applyFill="1" applyBorder="1" applyAlignment="1" applyProtection="1">
      <alignment wrapText="1"/>
    </xf>
    <xf numFmtId="0" fontId="0" fillId="19" borderId="76" xfId="0" applyFill="1" applyBorder="1" applyAlignment="1">
      <alignment wrapText="1"/>
    </xf>
    <xf numFmtId="0" fontId="0" fillId="19" borderId="92" xfId="0" applyFill="1" applyBorder="1" applyAlignment="1">
      <alignment wrapText="1"/>
    </xf>
    <xf numFmtId="3" fontId="4" fillId="0" borderId="58" xfId="0" applyNumberFormat="1" applyFont="1" applyFill="1" applyBorder="1" applyAlignment="1" applyProtection="1"/>
    <xf numFmtId="0" fontId="8" fillId="0" borderId="57" xfId="0" applyFont="1" applyFill="1" applyBorder="1" applyAlignment="1"/>
    <xf numFmtId="0" fontId="3" fillId="19" borderId="196" xfId="0" applyFont="1" applyFill="1" applyBorder="1" applyAlignment="1" applyProtection="1">
      <alignment horizontal="center" vertical="top"/>
    </xf>
    <xf numFmtId="0" fontId="10" fillId="19" borderId="48" xfId="0" applyFont="1" applyFill="1" applyBorder="1" applyAlignment="1" applyProtection="1">
      <alignment horizontal="center" vertical="top"/>
    </xf>
    <xf numFmtId="0" fontId="10" fillId="19" borderId="41" xfId="0" applyFont="1" applyFill="1" applyBorder="1" applyAlignment="1" applyProtection="1">
      <alignment horizontal="center" vertical="top"/>
    </xf>
    <xf numFmtId="0" fontId="6" fillId="19" borderId="205" xfId="0" applyFont="1" applyFill="1" applyBorder="1" applyAlignment="1" applyProtection="1">
      <alignment horizontal="center" vertical="center" wrapText="1"/>
    </xf>
    <xf numFmtId="0" fontId="6" fillId="19" borderId="165" xfId="0" applyFont="1" applyFill="1" applyBorder="1" applyAlignment="1" applyProtection="1">
      <alignment horizontal="center" vertical="center" wrapText="1"/>
    </xf>
    <xf numFmtId="0" fontId="6" fillId="19" borderId="228" xfId="0" applyFont="1" applyFill="1" applyBorder="1" applyAlignment="1" applyProtection="1">
      <alignment horizontal="center" vertical="center" wrapText="1"/>
    </xf>
    <xf numFmtId="3" fontId="4" fillId="19" borderId="75" xfId="0" applyNumberFormat="1" applyFont="1" applyFill="1" applyBorder="1" applyAlignment="1" applyProtection="1">
      <alignment horizontal="left" wrapText="1"/>
    </xf>
    <xf numFmtId="0" fontId="0" fillId="19" borderId="76" xfId="0" applyFill="1" applyBorder="1" applyAlignment="1" applyProtection="1">
      <alignment horizontal="left" wrapText="1"/>
    </xf>
    <xf numFmtId="0" fontId="0" fillId="19" borderId="92" xfId="0" applyFill="1" applyBorder="1" applyAlignment="1" applyProtection="1">
      <alignment horizontal="left" wrapText="1"/>
    </xf>
    <xf numFmtId="3" fontId="4" fillId="19" borderId="75" xfId="0" applyNumberFormat="1" applyFont="1" applyFill="1" applyBorder="1" applyAlignment="1" applyProtection="1">
      <alignment horizontal="left" vertical="top" wrapText="1"/>
    </xf>
    <xf numFmtId="0" fontId="0" fillId="19" borderId="76" xfId="0" applyFill="1" applyBorder="1" applyAlignment="1" applyProtection="1">
      <alignment horizontal="left" vertical="top" wrapText="1"/>
    </xf>
    <xf numFmtId="0" fontId="0" fillId="19" borderId="92" xfId="0" applyFill="1" applyBorder="1" applyAlignment="1" applyProtection="1">
      <alignment horizontal="left" vertical="top" wrapText="1"/>
    </xf>
    <xf numFmtId="3" fontId="4" fillId="19" borderId="75" xfId="0" applyNumberFormat="1" applyFont="1" applyFill="1" applyBorder="1" applyAlignment="1" applyProtection="1">
      <alignment vertical="center" wrapText="1"/>
    </xf>
    <xf numFmtId="0" fontId="0" fillId="19" borderId="76" xfId="0" applyFill="1" applyBorder="1" applyAlignment="1" applyProtection="1">
      <alignment vertical="center"/>
    </xf>
    <xf numFmtId="0" fontId="0" fillId="19" borderId="92" xfId="0" applyFill="1" applyBorder="1" applyAlignment="1" applyProtection="1">
      <alignment vertical="center"/>
    </xf>
    <xf numFmtId="3" fontId="4" fillId="19" borderId="159" xfId="0" applyNumberFormat="1" applyFont="1" applyFill="1" applyBorder="1" applyAlignment="1" applyProtection="1">
      <alignment horizontal="left" vertical="top" wrapText="1"/>
    </xf>
    <xf numFmtId="0" fontId="0" fillId="0" borderId="58" xfId="0" applyBorder="1" applyAlignment="1">
      <alignment horizontal="left" wrapText="1"/>
    </xf>
    <xf numFmtId="0" fontId="6" fillId="19" borderId="137" xfId="0" applyFont="1" applyFill="1" applyBorder="1" applyAlignment="1" applyProtection="1">
      <alignment horizontal="center" vertical="top" wrapText="1"/>
    </xf>
    <xf numFmtId="0" fontId="6" fillId="19" borderId="122" xfId="0" applyFont="1" applyFill="1" applyBorder="1" applyAlignment="1" applyProtection="1">
      <alignment horizontal="center" vertical="top" wrapText="1"/>
    </xf>
    <xf numFmtId="0" fontId="6" fillId="19" borderId="153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61" fillId="0" borderId="0" xfId="0" applyFont="1" applyFill="1" applyBorder="1" applyAlignment="1" applyProtection="1">
      <alignment horizontal="left" wrapText="1"/>
    </xf>
    <xf numFmtId="0" fontId="6" fillId="19" borderId="121" xfId="0" applyFont="1" applyFill="1" applyBorder="1" applyAlignment="1" applyProtection="1">
      <alignment vertical="top" wrapText="1"/>
    </xf>
    <xf numFmtId="0" fontId="54" fillId="19" borderId="57" xfId="0" applyFont="1" applyFill="1" applyBorder="1" applyAlignment="1" applyProtection="1">
      <alignment vertical="top" wrapText="1"/>
    </xf>
    <xf numFmtId="0" fontId="54" fillId="19" borderId="0" xfId="0" applyFont="1" applyFill="1" applyBorder="1" applyAlignment="1" applyProtection="1">
      <alignment vertical="top" wrapText="1"/>
    </xf>
    <xf numFmtId="0" fontId="4" fillId="19" borderId="15" xfId="0" applyFont="1" applyFill="1" applyBorder="1" applyAlignment="1" applyProtection="1">
      <alignment vertical="top" wrapText="1"/>
    </xf>
    <xf numFmtId="0" fontId="0" fillId="19" borderId="15" xfId="0" applyFill="1" applyBorder="1" applyAlignment="1" applyProtection="1">
      <alignment vertical="top" wrapText="1"/>
    </xf>
    <xf numFmtId="0" fontId="0" fillId="19" borderId="42" xfId="0" applyFill="1" applyBorder="1" applyAlignment="1" applyProtection="1">
      <alignment vertical="top" wrapText="1"/>
    </xf>
    <xf numFmtId="0" fontId="4" fillId="19" borderId="60" xfId="0" applyFont="1" applyFill="1" applyBorder="1" applyAlignment="1" applyProtection="1">
      <alignment vertical="top" wrapText="1"/>
    </xf>
    <xf numFmtId="0" fontId="0" fillId="19" borderId="60" xfId="0" applyFill="1" applyBorder="1" applyAlignment="1" applyProtection="1">
      <alignment vertical="top" wrapText="1"/>
    </xf>
    <xf numFmtId="0" fontId="0" fillId="19" borderId="90" xfId="0" applyFill="1" applyBorder="1" applyAlignment="1" applyProtection="1">
      <alignment vertical="top" wrapText="1"/>
    </xf>
    <xf numFmtId="0" fontId="6" fillId="19" borderId="194" xfId="0" applyFont="1" applyFill="1" applyBorder="1" applyAlignment="1" applyProtection="1">
      <alignment horizontal="left" vertical="top" wrapText="1"/>
    </xf>
    <xf numFmtId="0" fontId="0" fillId="19" borderId="124" xfId="0" applyFill="1" applyBorder="1" applyAlignment="1">
      <alignment vertical="top"/>
    </xf>
    <xf numFmtId="0" fontId="0" fillId="19" borderId="121" xfId="0" applyFill="1" applyBorder="1" applyAlignment="1">
      <alignment vertical="top"/>
    </xf>
    <xf numFmtId="0" fontId="0" fillId="19" borderId="111" xfId="0" applyFill="1" applyBorder="1" applyAlignment="1">
      <alignment vertical="top"/>
    </xf>
    <xf numFmtId="0" fontId="0" fillId="19" borderId="1" xfId="0" applyFill="1" applyBorder="1" applyAlignment="1">
      <alignment vertical="top"/>
    </xf>
    <xf numFmtId="0" fontId="0" fillId="19" borderId="143" xfId="0" applyFill="1" applyBorder="1" applyAlignment="1">
      <alignment vertical="top"/>
    </xf>
    <xf numFmtId="0" fontId="4" fillId="19" borderId="0" xfId="0" applyFont="1" applyFill="1" applyBorder="1" applyAlignment="1" applyProtection="1">
      <alignment wrapText="1"/>
    </xf>
    <xf numFmtId="0" fontId="23" fillId="19" borderId="0" xfId="0" applyFont="1" applyFill="1" applyAlignment="1">
      <alignment wrapText="1"/>
    </xf>
    <xf numFmtId="0" fontId="4" fillId="19" borderId="27" xfId="0" applyFont="1" applyFill="1" applyBorder="1" applyAlignment="1" applyProtection="1">
      <alignment wrapText="1"/>
    </xf>
    <xf numFmtId="0" fontId="0" fillId="19" borderId="27" xfId="0" applyFill="1" applyBorder="1" applyAlignment="1">
      <alignment wrapText="1"/>
    </xf>
    <xf numFmtId="0" fontId="4" fillId="19" borderId="27" xfId="0" applyFont="1" applyFill="1" applyBorder="1" applyAlignment="1" applyProtection="1">
      <alignment horizontal="left" vertical="top" wrapText="1"/>
    </xf>
    <xf numFmtId="0" fontId="0" fillId="19" borderId="27" xfId="0" applyFill="1" applyBorder="1" applyAlignment="1">
      <alignment horizontal="left" vertical="top" wrapText="1"/>
    </xf>
    <xf numFmtId="0" fontId="0" fillId="19" borderId="0" xfId="0" applyFill="1" applyAlignment="1">
      <alignment wrapText="1"/>
    </xf>
    <xf numFmtId="0" fontId="142" fillId="19" borderId="0" xfId="0" applyFont="1" applyFill="1" applyBorder="1" applyAlignment="1" applyProtection="1">
      <alignment wrapText="1"/>
    </xf>
    <xf numFmtId="0" fontId="0" fillId="19" borderId="39" xfId="0" applyFill="1" applyBorder="1" applyAlignment="1">
      <alignment wrapText="1"/>
    </xf>
    <xf numFmtId="0" fontId="142" fillId="19" borderId="27" xfId="0" applyFont="1" applyFill="1" applyBorder="1" applyAlignment="1" applyProtection="1">
      <alignment wrapText="1"/>
    </xf>
    <xf numFmtId="0" fontId="54" fillId="19" borderId="36" xfId="6" applyFont="1" applyFill="1" applyBorder="1" applyAlignment="1" applyProtection="1">
      <alignment vertical="center" wrapText="1"/>
    </xf>
    <xf numFmtId="0" fontId="0" fillId="0" borderId="96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44" xfId="0" applyBorder="1" applyAlignment="1">
      <alignment wrapText="1"/>
    </xf>
    <xf numFmtId="0" fontId="4" fillId="19" borderId="118" xfId="6" applyFont="1" applyFill="1" applyBorder="1" applyAlignment="1" applyProtection="1">
      <alignment vertical="top" wrapText="1"/>
    </xf>
    <xf numFmtId="0" fontId="0" fillId="0" borderId="2" xfId="0" applyBorder="1" applyAlignment="1">
      <alignment vertical="top" wrapText="1"/>
    </xf>
    <xf numFmtId="3" fontId="4" fillId="19" borderId="16" xfId="6" applyNumberFormat="1" applyFont="1" applyFill="1" applyBorder="1" applyAlignment="1" applyProtection="1">
      <alignment vertical="top" wrapText="1"/>
    </xf>
    <xf numFmtId="0" fontId="0" fillId="19" borderId="16" xfId="0" applyFill="1" applyBorder="1" applyAlignment="1">
      <alignment wrapText="1"/>
    </xf>
    <xf numFmtId="3" fontId="4" fillId="19" borderId="15" xfId="6" applyNumberFormat="1" applyFont="1" applyFill="1" applyBorder="1" applyAlignment="1" applyProtection="1">
      <alignment vertical="top" wrapText="1"/>
    </xf>
    <xf numFmtId="0" fontId="0" fillId="19" borderId="15" xfId="0" applyFill="1" applyBorder="1" applyAlignment="1">
      <alignment vertical="top" wrapText="1"/>
    </xf>
    <xf numFmtId="0" fontId="0" fillId="19" borderId="15" xfId="0" applyFill="1" applyBorder="1" applyAlignment="1">
      <alignment wrapText="1"/>
    </xf>
    <xf numFmtId="0" fontId="4" fillId="19" borderId="15" xfId="6" applyFont="1" applyFill="1" applyBorder="1" applyAlignment="1" applyProtection="1">
      <alignment vertical="top" wrapText="1"/>
    </xf>
    <xf numFmtId="0" fontId="0" fillId="19" borderId="13" xfId="0" applyFill="1" applyBorder="1" applyAlignment="1">
      <alignment vertical="top" wrapText="1"/>
    </xf>
    <xf numFmtId="3" fontId="4" fillId="19" borderId="160" xfId="6" applyNumberFormat="1" applyFont="1" applyFill="1" applyBorder="1" applyAlignment="1" applyProtection="1">
      <alignment vertical="center" wrapText="1"/>
    </xf>
    <xf numFmtId="0" fontId="0" fillId="19" borderId="160" xfId="0" applyFill="1" applyBorder="1" applyAlignment="1">
      <alignment vertical="center" wrapText="1"/>
    </xf>
    <xf numFmtId="3" fontId="4" fillId="19" borderId="169" xfId="6" applyNumberFormat="1" applyFont="1" applyFill="1" applyBorder="1" applyAlignment="1" applyProtection="1">
      <alignment wrapText="1"/>
    </xf>
    <xf numFmtId="0" fontId="0" fillId="19" borderId="3" xfId="0" applyFill="1" applyBorder="1" applyAlignment="1">
      <alignment wrapText="1"/>
    </xf>
    <xf numFmtId="0" fontId="0" fillId="19" borderId="160" xfId="0" applyFill="1" applyBorder="1" applyAlignment="1">
      <alignment vertical="center"/>
    </xf>
    <xf numFmtId="3" fontId="4" fillId="19" borderId="160" xfId="6" applyNumberFormat="1" applyFont="1" applyFill="1" applyBorder="1" applyAlignment="1" applyProtection="1">
      <alignment vertical="top" wrapText="1"/>
    </xf>
    <xf numFmtId="0" fontId="0" fillId="19" borderId="160" xfId="0" applyFill="1" applyBorder="1" applyAlignment="1">
      <alignment vertical="top" wrapText="1"/>
    </xf>
    <xf numFmtId="0" fontId="4" fillId="19" borderId="158" xfId="6" applyFont="1" applyFill="1" applyBorder="1" applyAlignment="1" applyProtection="1">
      <alignment wrapText="1"/>
    </xf>
    <xf numFmtId="0" fontId="0" fillId="0" borderId="160" xfId="0" applyBorder="1" applyAlignment="1">
      <alignment wrapText="1"/>
    </xf>
    <xf numFmtId="0" fontId="3" fillId="0" borderId="0" xfId="6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3" fontId="4" fillId="19" borderId="27" xfId="6" applyNumberFormat="1" applyFont="1" applyFill="1" applyBorder="1" applyAlignment="1" applyProtection="1">
      <alignment vertical="top" wrapText="1"/>
    </xf>
    <xf numFmtId="0" fontId="23" fillId="19" borderId="57" xfId="6" applyFill="1" applyBorder="1" applyAlignment="1" applyProtection="1"/>
    <xf numFmtId="0" fontId="23" fillId="19" borderId="27" xfId="6" applyFill="1" applyBorder="1" applyAlignment="1" applyProtection="1"/>
    <xf numFmtId="0" fontId="0" fillId="0" borderId="160" xfId="0" applyBorder="1" applyAlignment="1">
      <alignment vertical="top" wrapText="1"/>
    </xf>
    <xf numFmtId="0" fontId="4" fillId="19" borderId="160" xfId="6" applyFont="1" applyFill="1" applyBorder="1" applyAlignment="1" applyProtection="1">
      <alignment horizontal="left" wrapText="1"/>
    </xf>
    <xf numFmtId="0" fontId="2" fillId="0" borderId="160" xfId="0" applyFont="1" applyBorder="1" applyAlignment="1">
      <alignment wrapText="1"/>
    </xf>
    <xf numFmtId="0" fontId="2" fillId="0" borderId="177" xfId="0" applyFont="1" applyBorder="1" applyAlignment="1">
      <alignment wrapText="1"/>
    </xf>
    <xf numFmtId="0" fontId="145" fillId="19" borderId="57" xfId="0" applyFont="1" applyFill="1" applyBorder="1" applyAlignment="1">
      <alignment vertical="top" wrapText="1"/>
    </xf>
    <xf numFmtId="0" fontId="0" fillId="19" borderId="57" xfId="0" applyFill="1" applyBorder="1" applyAlignment="1">
      <alignment vertical="top" wrapText="1"/>
    </xf>
    <xf numFmtId="0" fontId="147" fillId="19" borderId="57" xfId="0" applyFont="1" applyFill="1" applyBorder="1" applyAlignment="1">
      <alignment wrapText="1"/>
    </xf>
    <xf numFmtId="0" fontId="148" fillId="0" borderId="57" xfId="0" applyFont="1" applyBorder="1" applyAlignment="1">
      <alignment wrapText="1"/>
    </xf>
    <xf numFmtId="0" fontId="146" fillId="19" borderId="87" xfId="0" applyFont="1" applyFill="1" applyBorder="1" applyAlignment="1">
      <alignment horizontal="left" vertical="top" wrapText="1"/>
    </xf>
    <xf numFmtId="0" fontId="0" fillId="19" borderId="57" xfId="0" applyFill="1" applyBorder="1" applyAlignment="1">
      <alignment horizontal="left" vertical="top" wrapText="1"/>
    </xf>
    <xf numFmtId="0" fontId="0" fillId="19" borderId="59" xfId="0" applyFill="1" applyBorder="1" applyAlignment="1">
      <alignment horizontal="left" vertical="top" wrapText="1"/>
    </xf>
    <xf numFmtId="3" fontId="4" fillId="0" borderId="122" xfId="6" applyNumberFormat="1" applyFont="1" applyFill="1" applyBorder="1" applyAlignment="1" applyProtection="1">
      <alignment wrapText="1"/>
    </xf>
    <xf numFmtId="0" fontId="0" fillId="0" borderId="122" xfId="0" applyFill="1" applyBorder="1" applyAlignment="1">
      <alignment wrapText="1"/>
    </xf>
    <xf numFmtId="3" fontId="4" fillId="19" borderId="160" xfId="0" applyNumberFormat="1" applyFont="1" applyFill="1" applyBorder="1" applyAlignment="1" applyProtection="1">
      <alignment wrapText="1"/>
    </xf>
    <xf numFmtId="0" fontId="0" fillId="19" borderId="160" xfId="0" applyFill="1" applyBorder="1" applyAlignment="1">
      <alignment wrapText="1"/>
    </xf>
    <xf numFmtId="0" fontId="4" fillId="19" borderId="160" xfId="0" applyFont="1" applyFill="1" applyBorder="1" applyAlignment="1" applyProtection="1">
      <alignment vertical="top" wrapText="1"/>
    </xf>
    <xf numFmtId="3" fontId="4" fillId="19" borderId="160" xfId="0" applyNumberFormat="1" applyFont="1" applyFill="1" applyBorder="1" applyAlignment="1" applyProtection="1">
      <alignment vertical="top" wrapText="1"/>
    </xf>
    <xf numFmtId="3" fontId="4" fillId="19" borderId="108" xfId="0" applyNumberFormat="1" applyFont="1" applyFill="1" applyBorder="1" applyAlignment="1" applyProtection="1">
      <alignment vertical="top" wrapText="1"/>
    </xf>
    <xf numFmtId="0" fontId="4" fillId="19" borderId="119" xfId="0" applyFont="1" applyFill="1" applyBorder="1" applyAlignment="1" applyProtection="1">
      <alignment vertical="top" wrapText="1"/>
    </xf>
    <xf numFmtId="0" fontId="0" fillId="0" borderId="161" xfId="0" applyBorder="1" applyAlignment="1">
      <alignment vertical="top" wrapText="1"/>
    </xf>
    <xf numFmtId="0" fontId="0" fillId="0" borderId="177" xfId="0" applyBorder="1" applyAlignment="1">
      <alignment vertical="top" wrapText="1"/>
    </xf>
  </cellXfs>
  <cellStyles count="21">
    <cellStyle name="Anteckning 2" xfId="1"/>
    <cellStyle name="Anteckning 2 2" xfId="2"/>
    <cellStyle name="Anteckning 2 2 2" xfId="18"/>
    <cellStyle name="Anteckning 2 3" xfId="17"/>
    <cellStyle name="Dålig 2" xfId="3"/>
    <cellStyle name="Följde hyperlänken" xfId="4"/>
    <cellStyle name="Hyperlänk" xfId="5" builtinId="8"/>
    <cellStyle name="Normal" xfId="0" builtinId="0"/>
    <cellStyle name="Normal 2" xfId="6"/>
    <cellStyle name="Normal 3" xfId="7"/>
    <cellStyle name="Normal 4" xfId="8"/>
    <cellStyle name="Normal 4 2" xfId="9"/>
    <cellStyle name="Normal 4 2 2" xfId="20"/>
    <cellStyle name="Normal 4 3" xfId="19"/>
    <cellStyle name="Normal_Kontrollblad" xfId="10"/>
    <cellStyle name="Normal_skolkostn" xfId="11"/>
    <cellStyle name="Normal_skolkostn 2" xfId="12"/>
    <cellStyle name="Procent" xfId="13" builtinId="5"/>
    <cellStyle name="Procent 2" xfId="14"/>
    <cellStyle name="Tusental (0)_Kommunägda företag" xfId="15"/>
    <cellStyle name="Valuta (0)_Kommunägda företag" xfId="16"/>
  </cellStyles>
  <dxfs count="142"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b val="0"/>
        <i val="0"/>
        <color auto="1"/>
      </font>
      <fill>
        <patternFill>
          <bgColor theme="9" tint="0.59996337778862885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color rgb="FFFF0000"/>
      </font>
    </dxf>
    <dxf>
      <font>
        <b val="0"/>
        <i val="0"/>
        <condense val="0"/>
        <extend val="0"/>
        <color auto="1"/>
      </font>
      <fill>
        <patternFill>
          <bgColor indexed="10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>
          <bgColor indexed="10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b val="0"/>
        <i val="0"/>
        <color auto="1"/>
      </font>
      <fill>
        <patternFill>
          <bgColor theme="9" tint="0.59996337778862885"/>
        </patternFill>
      </fill>
    </dxf>
    <dxf>
      <font>
        <b val="0"/>
        <i val="0"/>
        <color auto="1"/>
      </font>
      <fill>
        <patternFill>
          <bgColor theme="9" tint="0.59996337778862885"/>
        </patternFill>
      </fill>
    </dxf>
    <dxf>
      <font>
        <b val="0"/>
        <i val="0"/>
        <color auto="1"/>
      </font>
      <fill>
        <patternFill>
          <bgColor theme="9" tint="0.59996337778862885"/>
        </patternFill>
      </fill>
    </dxf>
    <dxf>
      <font>
        <b val="0"/>
        <i val="0"/>
        <color auto="1"/>
      </font>
      <fill>
        <patternFill>
          <bgColor theme="9" tint="0.59996337778862885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auto="1"/>
        <name val="Cambria"/>
        <scheme val="none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  <name val="Cambria"/>
        <scheme val="none"/>
      </font>
      <fill>
        <patternFill>
          <bgColor theme="9" tint="0.39994506668294322"/>
        </patternFill>
      </fill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 val="0"/>
        <i val="0"/>
        <color auto="1"/>
        <name val="Cambria"/>
        <scheme val="none"/>
      </font>
      <fill>
        <patternFill>
          <bgColor theme="9" tint="0.39994506668294322"/>
        </patternFill>
      </fill>
    </dxf>
    <dxf>
      <font>
        <b val="0"/>
        <i val="0"/>
        <color auto="1"/>
        <name val="Cambria"/>
        <scheme val="none"/>
      </font>
      <fill>
        <patternFill>
          <bgColor theme="9" tint="0.39994506668294322"/>
        </patternFill>
      </fill>
    </dxf>
    <dxf>
      <font>
        <b val="0"/>
        <i val="0"/>
        <color auto="1"/>
        <name val="Cambria"/>
        <scheme val="none"/>
      </font>
      <fill>
        <patternFill patternType="solid">
          <bgColor theme="9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auto="1"/>
      </font>
    </dxf>
    <dxf>
      <fill>
        <patternFill>
          <bgColor indexed="10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C0"/>
      <color rgb="FF0000D9"/>
      <color rgb="FF0000CC"/>
      <color rgb="FF00336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83820</xdr:colOff>
      <xdr:row>28</xdr:row>
      <xdr:rowOff>11430</xdr:rowOff>
    </xdr:from>
    <xdr:ext cx="184731" cy="262400"/>
    <xdr:sp macro="" textlink="">
      <xdr:nvSpPr>
        <xdr:cNvPr id="4" name="textruta 3"/>
        <xdr:cNvSpPr txBox="1"/>
      </xdr:nvSpPr>
      <xdr:spPr>
        <a:xfrm>
          <a:off x="4686300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v-SE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12</xdr:row>
      <xdr:rowOff>76200</xdr:rowOff>
    </xdr:from>
    <xdr:to>
      <xdr:col>6</xdr:col>
      <xdr:colOff>28575</xdr:colOff>
      <xdr:row>12</xdr:row>
      <xdr:rowOff>76200</xdr:rowOff>
    </xdr:to>
    <xdr:cxnSp macro="">
      <xdr:nvCxnSpPr>
        <xdr:cNvPr id="186129" name="AutoShape 242"/>
        <xdr:cNvCxnSpPr>
          <a:cxnSpLocks noChangeShapeType="1"/>
        </xdr:cNvCxnSpPr>
      </xdr:nvCxnSpPr>
      <xdr:spPr bwMode="auto">
        <a:xfrm>
          <a:off x="4086225" y="2428875"/>
          <a:ext cx="1943100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14</xdr:row>
      <xdr:rowOff>95250</xdr:rowOff>
    </xdr:from>
    <xdr:to>
      <xdr:col>6</xdr:col>
      <xdr:colOff>0</xdr:colOff>
      <xdr:row>14</xdr:row>
      <xdr:rowOff>95250</xdr:rowOff>
    </xdr:to>
    <xdr:cxnSp macro="">
      <xdr:nvCxnSpPr>
        <xdr:cNvPr id="186130" name="AutoShape 243"/>
        <xdr:cNvCxnSpPr>
          <a:cxnSpLocks noChangeShapeType="1"/>
        </xdr:cNvCxnSpPr>
      </xdr:nvCxnSpPr>
      <xdr:spPr bwMode="auto">
        <a:xfrm>
          <a:off x="4095750" y="2809875"/>
          <a:ext cx="1905000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21</xdr:row>
      <xdr:rowOff>123825</xdr:rowOff>
    </xdr:from>
    <xdr:to>
      <xdr:col>6</xdr:col>
      <xdr:colOff>9525</xdr:colOff>
      <xdr:row>21</xdr:row>
      <xdr:rowOff>123825</xdr:rowOff>
    </xdr:to>
    <xdr:cxnSp macro="">
      <xdr:nvCxnSpPr>
        <xdr:cNvPr id="186131" name="AutoShape 244"/>
        <xdr:cNvCxnSpPr>
          <a:cxnSpLocks noChangeShapeType="1"/>
        </xdr:cNvCxnSpPr>
      </xdr:nvCxnSpPr>
      <xdr:spPr bwMode="auto">
        <a:xfrm flipV="1">
          <a:off x="4095750" y="4105275"/>
          <a:ext cx="1914525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19050</xdr:colOff>
      <xdr:row>47</xdr:row>
      <xdr:rowOff>85725</xdr:rowOff>
    </xdr:from>
    <xdr:to>
      <xdr:col>6</xdr:col>
      <xdr:colOff>0</xdr:colOff>
      <xdr:row>47</xdr:row>
      <xdr:rowOff>85725</xdr:rowOff>
    </xdr:to>
    <xdr:cxnSp macro="">
      <xdr:nvCxnSpPr>
        <xdr:cNvPr id="186132" name="AutoShape 245"/>
        <xdr:cNvCxnSpPr>
          <a:cxnSpLocks noChangeShapeType="1"/>
        </xdr:cNvCxnSpPr>
      </xdr:nvCxnSpPr>
      <xdr:spPr bwMode="auto">
        <a:xfrm>
          <a:off x="4105275" y="8772525"/>
          <a:ext cx="1895475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56</xdr:row>
      <xdr:rowOff>104775</xdr:rowOff>
    </xdr:from>
    <xdr:to>
      <xdr:col>6</xdr:col>
      <xdr:colOff>0</xdr:colOff>
      <xdr:row>56</xdr:row>
      <xdr:rowOff>114300</xdr:rowOff>
    </xdr:to>
    <xdr:cxnSp macro="">
      <xdr:nvCxnSpPr>
        <xdr:cNvPr id="186133" name="AutoShape 246"/>
        <xdr:cNvCxnSpPr>
          <a:cxnSpLocks noChangeShapeType="1"/>
        </xdr:cNvCxnSpPr>
      </xdr:nvCxnSpPr>
      <xdr:spPr bwMode="auto">
        <a:xfrm>
          <a:off x="4095750" y="10420350"/>
          <a:ext cx="1905000" cy="9525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19050</xdr:colOff>
      <xdr:row>22</xdr:row>
      <xdr:rowOff>104775</xdr:rowOff>
    </xdr:from>
    <xdr:to>
      <xdr:col>6</xdr:col>
      <xdr:colOff>9525</xdr:colOff>
      <xdr:row>23</xdr:row>
      <xdr:rowOff>104775</xdr:rowOff>
    </xdr:to>
    <xdr:cxnSp macro="">
      <xdr:nvCxnSpPr>
        <xdr:cNvPr id="186134" name="AutoShape 249"/>
        <xdr:cNvCxnSpPr>
          <a:cxnSpLocks noChangeShapeType="1"/>
        </xdr:cNvCxnSpPr>
      </xdr:nvCxnSpPr>
      <xdr:spPr bwMode="auto">
        <a:xfrm>
          <a:off x="4105275" y="4267200"/>
          <a:ext cx="2200275" cy="180975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52</xdr:row>
      <xdr:rowOff>104775</xdr:rowOff>
    </xdr:from>
    <xdr:to>
      <xdr:col>6</xdr:col>
      <xdr:colOff>28575</xdr:colOff>
      <xdr:row>53</xdr:row>
      <xdr:rowOff>85725</xdr:rowOff>
    </xdr:to>
    <xdr:cxnSp macro="">
      <xdr:nvCxnSpPr>
        <xdr:cNvPr id="186135" name="AutoShape 250"/>
        <xdr:cNvCxnSpPr>
          <a:cxnSpLocks noChangeShapeType="1"/>
        </xdr:cNvCxnSpPr>
      </xdr:nvCxnSpPr>
      <xdr:spPr bwMode="auto">
        <a:xfrm flipV="1">
          <a:off x="4762500" y="9696450"/>
          <a:ext cx="1266825" cy="161925"/>
        </a:xfrm>
        <a:prstGeom prst="bentConnector3">
          <a:avLst>
            <a:gd name="adj1" fmla="val 67611"/>
          </a:avLst>
        </a:prstGeom>
        <a:noFill/>
        <a:ln w="19050">
          <a:solidFill>
            <a:srgbClr val="0070C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61</xdr:row>
      <xdr:rowOff>66675</xdr:rowOff>
    </xdr:from>
    <xdr:to>
      <xdr:col>6</xdr:col>
      <xdr:colOff>0</xdr:colOff>
      <xdr:row>61</xdr:row>
      <xdr:rowOff>66675</xdr:rowOff>
    </xdr:to>
    <xdr:cxnSp macro="">
      <xdr:nvCxnSpPr>
        <xdr:cNvPr id="186136" name="AutoShape 245"/>
        <xdr:cNvCxnSpPr>
          <a:cxnSpLocks noChangeShapeType="1"/>
        </xdr:cNvCxnSpPr>
      </xdr:nvCxnSpPr>
      <xdr:spPr bwMode="auto">
        <a:xfrm flipV="1">
          <a:off x="4086225" y="11334750"/>
          <a:ext cx="1914525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352425</xdr:colOff>
      <xdr:row>19</xdr:row>
      <xdr:rowOff>57150</xdr:rowOff>
    </xdr:from>
    <xdr:to>
      <xdr:col>3</xdr:col>
      <xdr:colOff>352425</xdr:colOff>
      <xdr:row>20</xdr:row>
      <xdr:rowOff>9525</xdr:rowOff>
    </xdr:to>
    <xdr:cxnSp macro="">
      <xdr:nvCxnSpPr>
        <xdr:cNvPr id="186137" name="AutoShape 245"/>
        <xdr:cNvCxnSpPr>
          <a:cxnSpLocks noChangeShapeType="1"/>
        </xdr:cNvCxnSpPr>
      </xdr:nvCxnSpPr>
      <xdr:spPr bwMode="auto">
        <a:xfrm flipH="1" flipV="1">
          <a:off x="3733800" y="3676650"/>
          <a:ext cx="0" cy="13335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352425</xdr:colOff>
      <xdr:row>19</xdr:row>
      <xdr:rowOff>66675</xdr:rowOff>
    </xdr:from>
    <xdr:to>
      <xdr:col>6</xdr:col>
      <xdr:colOff>0</xdr:colOff>
      <xdr:row>19</xdr:row>
      <xdr:rowOff>66675</xdr:rowOff>
    </xdr:to>
    <xdr:cxnSp macro="">
      <xdr:nvCxnSpPr>
        <xdr:cNvPr id="186138" name="AutoShape 244"/>
        <xdr:cNvCxnSpPr>
          <a:cxnSpLocks noChangeShapeType="1"/>
        </xdr:cNvCxnSpPr>
      </xdr:nvCxnSpPr>
      <xdr:spPr bwMode="auto">
        <a:xfrm flipV="1">
          <a:off x="3733800" y="3686175"/>
          <a:ext cx="2266950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847725</xdr:colOff>
      <xdr:row>47</xdr:row>
      <xdr:rowOff>85725</xdr:rowOff>
    </xdr:from>
    <xdr:to>
      <xdr:col>6</xdr:col>
      <xdr:colOff>19050</xdr:colOff>
      <xdr:row>48</xdr:row>
      <xdr:rowOff>76200</xdr:rowOff>
    </xdr:to>
    <xdr:cxnSp macro="">
      <xdr:nvCxnSpPr>
        <xdr:cNvPr id="186139" name="AutoShape 249"/>
        <xdr:cNvCxnSpPr>
          <a:cxnSpLocks noChangeShapeType="1"/>
        </xdr:cNvCxnSpPr>
      </xdr:nvCxnSpPr>
      <xdr:spPr bwMode="auto">
        <a:xfrm>
          <a:off x="5610225" y="8772525"/>
          <a:ext cx="409575" cy="171450"/>
        </a:xfrm>
        <a:prstGeom prst="bentConnector3">
          <a:avLst>
            <a:gd name="adj1" fmla="val 1361"/>
          </a:avLst>
        </a:prstGeom>
        <a:noFill/>
        <a:ln w="19050">
          <a:solidFill>
            <a:srgbClr val="0070C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885825</xdr:colOff>
      <xdr:row>54</xdr:row>
      <xdr:rowOff>76200</xdr:rowOff>
    </xdr:from>
    <xdr:to>
      <xdr:col>6</xdr:col>
      <xdr:colOff>9525</xdr:colOff>
      <xdr:row>55</xdr:row>
      <xdr:rowOff>104775</xdr:rowOff>
    </xdr:to>
    <xdr:cxnSp macro="">
      <xdr:nvCxnSpPr>
        <xdr:cNvPr id="186140" name="AutoShape 250"/>
        <xdr:cNvCxnSpPr>
          <a:cxnSpLocks noChangeShapeType="1"/>
        </xdr:cNvCxnSpPr>
      </xdr:nvCxnSpPr>
      <xdr:spPr bwMode="auto">
        <a:xfrm flipV="1">
          <a:off x="5648325" y="10029825"/>
          <a:ext cx="361950" cy="209550"/>
        </a:xfrm>
        <a:prstGeom prst="bentConnector3">
          <a:avLst>
            <a:gd name="adj1" fmla="val -8440"/>
          </a:avLst>
        </a:prstGeom>
        <a:noFill/>
        <a:ln w="19050">
          <a:solidFill>
            <a:srgbClr val="0070C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9525</xdr:colOff>
      <xdr:row>55</xdr:row>
      <xdr:rowOff>104775</xdr:rowOff>
    </xdr:from>
    <xdr:to>
      <xdr:col>6</xdr:col>
      <xdr:colOff>47625</xdr:colOff>
      <xdr:row>55</xdr:row>
      <xdr:rowOff>104775</xdr:rowOff>
    </xdr:to>
    <xdr:cxnSp macro="">
      <xdr:nvCxnSpPr>
        <xdr:cNvPr id="186141" name="AutoShape 248"/>
        <xdr:cNvCxnSpPr>
          <a:cxnSpLocks noChangeShapeType="1"/>
        </xdr:cNvCxnSpPr>
      </xdr:nvCxnSpPr>
      <xdr:spPr bwMode="auto">
        <a:xfrm>
          <a:off x="4772025" y="10239375"/>
          <a:ext cx="1571625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438150</xdr:colOff>
      <xdr:row>23</xdr:row>
      <xdr:rowOff>114300</xdr:rowOff>
    </xdr:from>
    <xdr:to>
      <xdr:col>6</xdr:col>
      <xdr:colOff>9525</xdr:colOff>
      <xdr:row>24</xdr:row>
      <xdr:rowOff>104775</xdr:rowOff>
    </xdr:to>
    <xdr:cxnSp macro="">
      <xdr:nvCxnSpPr>
        <xdr:cNvPr id="186142" name="AutoShape 249"/>
        <xdr:cNvCxnSpPr>
          <a:cxnSpLocks noChangeShapeType="1"/>
        </xdr:cNvCxnSpPr>
      </xdr:nvCxnSpPr>
      <xdr:spPr bwMode="auto">
        <a:xfrm>
          <a:off x="5200650" y="4457700"/>
          <a:ext cx="1104900" cy="171450"/>
        </a:xfrm>
        <a:prstGeom prst="bentConnector3">
          <a:avLst>
            <a:gd name="adj1" fmla="val 1724"/>
          </a:avLst>
        </a:prstGeom>
        <a:noFill/>
        <a:ln w="19050">
          <a:solidFill>
            <a:srgbClr val="0070C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657225</xdr:colOff>
      <xdr:row>65</xdr:row>
      <xdr:rowOff>85725</xdr:rowOff>
    </xdr:from>
    <xdr:to>
      <xdr:col>6</xdr:col>
      <xdr:colOff>19050</xdr:colOff>
      <xdr:row>65</xdr:row>
      <xdr:rowOff>85725</xdr:rowOff>
    </xdr:to>
    <xdr:cxnSp macro="">
      <xdr:nvCxnSpPr>
        <xdr:cNvPr id="186143" name="AutoShape 248"/>
        <xdr:cNvCxnSpPr>
          <a:cxnSpLocks noChangeShapeType="1"/>
        </xdr:cNvCxnSpPr>
      </xdr:nvCxnSpPr>
      <xdr:spPr bwMode="auto">
        <a:xfrm>
          <a:off x="4743450" y="12077700"/>
          <a:ext cx="1276350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800100</xdr:colOff>
      <xdr:row>56</xdr:row>
      <xdr:rowOff>114300</xdr:rowOff>
    </xdr:from>
    <xdr:to>
      <xdr:col>6</xdr:col>
      <xdr:colOff>0</xdr:colOff>
      <xdr:row>57</xdr:row>
      <xdr:rowOff>104775</xdr:rowOff>
    </xdr:to>
    <xdr:cxnSp macro="">
      <xdr:nvCxnSpPr>
        <xdr:cNvPr id="186144" name="AutoShape 249"/>
        <xdr:cNvCxnSpPr>
          <a:cxnSpLocks noChangeShapeType="1"/>
        </xdr:cNvCxnSpPr>
      </xdr:nvCxnSpPr>
      <xdr:spPr bwMode="auto">
        <a:xfrm>
          <a:off x="5562600" y="10429875"/>
          <a:ext cx="438150" cy="219075"/>
        </a:xfrm>
        <a:prstGeom prst="bentConnector3">
          <a:avLst>
            <a:gd name="adj1" fmla="val 15704"/>
          </a:avLst>
        </a:prstGeom>
        <a:noFill/>
        <a:ln w="19050">
          <a:solidFill>
            <a:srgbClr val="0070C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57</xdr:row>
      <xdr:rowOff>104775</xdr:rowOff>
    </xdr:from>
    <xdr:to>
      <xdr:col>6</xdr:col>
      <xdr:colOff>9525</xdr:colOff>
      <xdr:row>58</xdr:row>
      <xdr:rowOff>114300</xdr:rowOff>
    </xdr:to>
    <xdr:cxnSp macro="">
      <xdr:nvCxnSpPr>
        <xdr:cNvPr id="186145" name="AutoShape 249"/>
        <xdr:cNvCxnSpPr>
          <a:cxnSpLocks noChangeShapeType="1"/>
        </xdr:cNvCxnSpPr>
      </xdr:nvCxnSpPr>
      <xdr:spPr bwMode="auto">
        <a:xfrm>
          <a:off x="4086225" y="10648950"/>
          <a:ext cx="2219325" cy="190500"/>
        </a:xfrm>
        <a:prstGeom prst="bentConnector3">
          <a:avLst>
            <a:gd name="adj1" fmla="val 45458"/>
          </a:avLst>
        </a:prstGeom>
        <a:noFill/>
        <a:ln w="19050">
          <a:solidFill>
            <a:srgbClr val="0070C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19050</xdr:colOff>
      <xdr:row>74</xdr:row>
      <xdr:rowOff>114300</xdr:rowOff>
    </xdr:from>
    <xdr:to>
      <xdr:col>6</xdr:col>
      <xdr:colOff>38100</xdr:colOff>
      <xdr:row>79</xdr:row>
      <xdr:rowOff>133350</xdr:rowOff>
    </xdr:to>
    <xdr:cxnSp macro="">
      <xdr:nvCxnSpPr>
        <xdr:cNvPr id="186146" name="AutoShape 249"/>
        <xdr:cNvCxnSpPr>
          <a:cxnSpLocks noChangeShapeType="1"/>
        </xdr:cNvCxnSpPr>
      </xdr:nvCxnSpPr>
      <xdr:spPr bwMode="auto">
        <a:xfrm>
          <a:off x="4781550" y="13782675"/>
          <a:ext cx="1552575" cy="1143000"/>
        </a:xfrm>
        <a:prstGeom prst="bentConnector3">
          <a:avLst>
            <a:gd name="adj1" fmla="val 67611"/>
          </a:avLst>
        </a:prstGeom>
        <a:noFill/>
        <a:ln w="19050">
          <a:solidFill>
            <a:srgbClr val="0070C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647700</xdr:colOff>
      <xdr:row>76</xdr:row>
      <xdr:rowOff>85725</xdr:rowOff>
    </xdr:from>
    <xdr:to>
      <xdr:col>4</xdr:col>
      <xdr:colOff>647700</xdr:colOff>
      <xdr:row>76</xdr:row>
      <xdr:rowOff>85725</xdr:rowOff>
    </xdr:to>
    <xdr:cxnSp macro="">
      <xdr:nvCxnSpPr>
        <xdr:cNvPr id="186147" name="AutoShape 249"/>
        <xdr:cNvCxnSpPr>
          <a:cxnSpLocks noChangeShapeType="1"/>
        </xdr:cNvCxnSpPr>
      </xdr:nvCxnSpPr>
      <xdr:spPr bwMode="auto">
        <a:xfrm flipV="1">
          <a:off x="4733925" y="14173200"/>
          <a:ext cx="0" cy="0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657225</xdr:colOff>
      <xdr:row>75</xdr:row>
      <xdr:rowOff>104775</xdr:rowOff>
    </xdr:from>
    <xdr:to>
      <xdr:col>5</xdr:col>
      <xdr:colOff>1076325</xdr:colOff>
      <xdr:row>75</xdr:row>
      <xdr:rowOff>104776</xdr:rowOff>
    </xdr:to>
    <xdr:cxnSp macro="">
      <xdr:nvCxnSpPr>
        <xdr:cNvPr id="186148" name="AutoShape 249"/>
        <xdr:cNvCxnSpPr>
          <a:cxnSpLocks noChangeShapeType="1"/>
        </xdr:cNvCxnSpPr>
      </xdr:nvCxnSpPr>
      <xdr:spPr bwMode="auto">
        <a:xfrm flipV="1">
          <a:off x="4743450" y="13992225"/>
          <a:ext cx="1095375" cy="1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76</xdr:row>
      <xdr:rowOff>95250</xdr:rowOff>
    </xdr:from>
    <xdr:to>
      <xdr:col>5</xdr:col>
      <xdr:colOff>1095375</xdr:colOff>
      <xdr:row>76</xdr:row>
      <xdr:rowOff>95251</xdr:rowOff>
    </xdr:to>
    <xdr:cxnSp macro="">
      <xdr:nvCxnSpPr>
        <xdr:cNvPr id="33" name="AutoShape 249"/>
        <xdr:cNvCxnSpPr>
          <a:cxnSpLocks noChangeShapeType="1"/>
        </xdr:cNvCxnSpPr>
      </xdr:nvCxnSpPr>
      <xdr:spPr bwMode="auto">
        <a:xfrm flipV="1">
          <a:off x="4762500" y="14182725"/>
          <a:ext cx="1095375" cy="1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9525</xdr:colOff>
      <xdr:row>77</xdr:row>
      <xdr:rowOff>114300</xdr:rowOff>
    </xdr:from>
    <xdr:to>
      <xdr:col>5</xdr:col>
      <xdr:colOff>1047750</xdr:colOff>
      <xdr:row>77</xdr:row>
      <xdr:rowOff>114303</xdr:rowOff>
    </xdr:to>
    <xdr:cxnSp macro="">
      <xdr:nvCxnSpPr>
        <xdr:cNvPr id="34" name="AutoShape 249"/>
        <xdr:cNvCxnSpPr>
          <a:cxnSpLocks noChangeShapeType="1"/>
        </xdr:cNvCxnSpPr>
      </xdr:nvCxnSpPr>
      <xdr:spPr bwMode="auto">
        <a:xfrm flipV="1">
          <a:off x="4772025" y="14439900"/>
          <a:ext cx="1038225" cy="3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38</xdr:row>
      <xdr:rowOff>219075</xdr:rowOff>
    </xdr:from>
    <xdr:to>
      <xdr:col>5</xdr:col>
      <xdr:colOff>9525</xdr:colOff>
      <xdr:row>39</xdr:row>
      <xdr:rowOff>95250</xdr:rowOff>
    </xdr:to>
    <xdr:cxnSp macro="">
      <xdr:nvCxnSpPr>
        <xdr:cNvPr id="185216" name="AutoShape 184"/>
        <xdr:cNvCxnSpPr>
          <a:cxnSpLocks noChangeShapeType="1"/>
        </xdr:cNvCxnSpPr>
      </xdr:nvCxnSpPr>
      <xdr:spPr bwMode="auto">
        <a:xfrm flipV="1">
          <a:off x="3781425" y="7534275"/>
          <a:ext cx="676275" cy="104775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762000</xdr:colOff>
      <xdr:row>41</xdr:row>
      <xdr:rowOff>0</xdr:rowOff>
    </xdr:from>
    <xdr:to>
      <xdr:col>5</xdr:col>
      <xdr:colOff>9525</xdr:colOff>
      <xdr:row>41</xdr:row>
      <xdr:rowOff>123825</xdr:rowOff>
    </xdr:to>
    <xdr:cxnSp macro="">
      <xdr:nvCxnSpPr>
        <xdr:cNvPr id="185217" name="AutoShape 187"/>
        <xdr:cNvCxnSpPr>
          <a:cxnSpLocks noChangeShapeType="1"/>
        </xdr:cNvCxnSpPr>
      </xdr:nvCxnSpPr>
      <xdr:spPr bwMode="auto">
        <a:xfrm flipV="1">
          <a:off x="3790950" y="7943850"/>
          <a:ext cx="666750" cy="123825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44</xdr:row>
      <xdr:rowOff>161925</xdr:rowOff>
    </xdr:from>
    <xdr:to>
      <xdr:col>5</xdr:col>
      <xdr:colOff>9525</xdr:colOff>
      <xdr:row>44</xdr:row>
      <xdr:rowOff>161925</xdr:rowOff>
    </xdr:to>
    <xdr:cxnSp macro="">
      <xdr:nvCxnSpPr>
        <xdr:cNvPr id="185218" name="AutoShape 191"/>
        <xdr:cNvCxnSpPr>
          <a:cxnSpLocks noChangeShapeType="1"/>
        </xdr:cNvCxnSpPr>
      </xdr:nvCxnSpPr>
      <xdr:spPr bwMode="auto">
        <a:xfrm>
          <a:off x="3800475" y="8696325"/>
          <a:ext cx="657225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26</xdr:row>
      <xdr:rowOff>104775</xdr:rowOff>
    </xdr:from>
    <xdr:to>
      <xdr:col>5</xdr:col>
      <xdr:colOff>9525</xdr:colOff>
      <xdr:row>26</xdr:row>
      <xdr:rowOff>104775</xdr:rowOff>
    </xdr:to>
    <xdr:cxnSp macro="">
      <xdr:nvCxnSpPr>
        <xdr:cNvPr id="185219" name="AutoShape 197"/>
        <xdr:cNvCxnSpPr>
          <a:cxnSpLocks noChangeShapeType="1"/>
        </xdr:cNvCxnSpPr>
      </xdr:nvCxnSpPr>
      <xdr:spPr bwMode="auto">
        <a:xfrm>
          <a:off x="3800475" y="4743450"/>
          <a:ext cx="657225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762000</xdr:colOff>
      <xdr:row>25</xdr:row>
      <xdr:rowOff>95250</xdr:rowOff>
    </xdr:from>
    <xdr:to>
      <xdr:col>5</xdr:col>
      <xdr:colOff>0</xdr:colOff>
      <xdr:row>25</xdr:row>
      <xdr:rowOff>95250</xdr:rowOff>
    </xdr:to>
    <xdr:cxnSp macro="">
      <xdr:nvCxnSpPr>
        <xdr:cNvPr id="185220" name="AutoShape 197"/>
        <xdr:cNvCxnSpPr>
          <a:cxnSpLocks noChangeShapeType="1"/>
        </xdr:cNvCxnSpPr>
      </xdr:nvCxnSpPr>
      <xdr:spPr bwMode="auto">
        <a:xfrm>
          <a:off x="3790950" y="4572000"/>
          <a:ext cx="657225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45</xdr:row>
      <xdr:rowOff>133350</xdr:rowOff>
    </xdr:from>
    <xdr:to>
      <xdr:col>5</xdr:col>
      <xdr:colOff>19050</xdr:colOff>
      <xdr:row>45</xdr:row>
      <xdr:rowOff>133350</xdr:rowOff>
    </xdr:to>
    <xdr:cxnSp macro="">
      <xdr:nvCxnSpPr>
        <xdr:cNvPr id="185221" name="AutoShape 191"/>
        <xdr:cNvCxnSpPr>
          <a:cxnSpLocks noChangeShapeType="1"/>
        </xdr:cNvCxnSpPr>
      </xdr:nvCxnSpPr>
      <xdr:spPr bwMode="auto">
        <a:xfrm>
          <a:off x="3810000" y="8943975"/>
          <a:ext cx="657225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52</xdr:row>
      <xdr:rowOff>95250</xdr:rowOff>
    </xdr:from>
    <xdr:to>
      <xdr:col>5</xdr:col>
      <xdr:colOff>9525</xdr:colOff>
      <xdr:row>52</xdr:row>
      <xdr:rowOff>95250</xdr:rowOff>
    </xdr:to>
    <xdr:cxnSp macro="">
      <xdr:nvCxnSpPr>
        <xdr:cNvPr id="185222" name="AutoShape 191"/>
        <xdr:cNvCxnSpPr>
          <a:cxnSpLocks noChangeShapeType="1"/>
        </xdr:cNvCxnSpPr>
      </xdr:nvCxnSpPr>
      <xdr:spPr bwMode="auto">
        <a:xfrm>
          <a:off x="3800475" y="10172700"/>
          <a:ext cx="657225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55</xdr:row>
      <xdr:rowOff>76200</xdr:rowOff>
    </xdr:from>
    <xdr:to>
      <xdr:col>5</xdr:col>
      <xdr:colOff>9525</xdr:colOff>
      <xdr:row>56</xdr:row>
      <xdr:rowOff>0</xdr:rowOff>
    </xdr:to>
    <xdr:cxnSp macro="">
      <xdr:nvCxnSpPr>
        <xdr:cNvPr id="185223" name="AutoShape 250"/>
        <xdr:cNvCxnSpPr>
          <a:cxnSpLocks noChangeShapeType="1"/>
        </xdr:cNvCxnSpPr>
      </xdr:nvCxnSpPr>
      <xdr:spPr bwMode="auto">
        <a:xfrm>
          <a:off x="3800475" y="10639425"/>
          <a:ext cx="657225" cy="85725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42</xdr:row>
      <xdr:rowOff>66675</xdr:rowOff>
    </xdr:from>
    <xdr:to>
      <xdr:col>5</xdr:col>
      <xdr:colOff>9525</xdr:colOff>
      <xdr:row>43</xdr:row>
      <xdr:rowOff>9525</xdr:rowOff>
    </xdr:to>
    <xdr:cxnSp macro="">
      <xdr:nvCxnSpPr>
        <xdr:cNvPr id="185224" name="AutoShape 250"/>
        <xdr:cNvCxnSpPr>
          <a:cxnSpLocks noChangeShapeType="1"/>
        </xdr:cNvCxnSpPr>
      </xdr:nvCxnSpPr>
      <xdr:spPr bwMode="auto">
        <a:xfrm>
          <a:off x="3810000" y="8267700"/>
          <a:ext cx="647700" cy="104775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763732</xdr:colOff>
      <xdr:row>47</xdr:row>
      <xdr:rowOff>34636</xdr:rowOff>
    </xdr:from>
    <xdr:to>
      <xdr:col>5</xdr:col>
      <xdr:colOff>0</xdr:colOff>
      <xdr:row>47</xdr:row>
      <xdr:rowOff>111702</xdr:rowOff>
    </xdr:to>
    <xdr:cxnSp macro="">
      <xdr:nvCxnSpPr>
        <xdr:cNvPr id="185225" name="AutoShape 250"/>
        <xdr:cNvCxnSpPr>
          <a:cxnSpLocks noChangeShapeType="1"/>
        </xdr:cNvCxnSpPr>
      </xdr:nvCxnSpPr>
      <xdr:spPr bwMode="auto">
        <a:xfrm flipV="1">
          <a:off x="3794414" y="9369136"/>
          <a:ext cx="1444336" cy="77066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762000</xdr:colOff>
      <xdr:row>66</xdr:row>
      <xdr:rowOff>9525</xdr:rowOff>
    </xdr:from>
    <xdr:to>
      <xdr:col>5</xdr:col>
      <xdr:colOff>9525</xdr:colOff>
      <xdr:row>67</xdr:row>
      <xdr:rowOff>114300</xdr:rowOff>
    </xdr:to>
    <xdr:cxnSp macro="">
      <xdr:nvCxnSpPr>
        <xdr:cNvPr id="185226" name="AutoShape 250"/>
        <xdr:cNvCxnSpPr>
          <a:cxnSpLocks noChangeShapeType="1"/>
        </xdr:cNvCxnSpPr>
      </xdr:nvCxnSpPr>
      <xdr:spPr bwMode="auto">
        <a:xfrm flipV="1">
          <a:off x="3790950" y="12411075"/>
          <a:ext cx="666750" cy="361950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13</xdr:row>
      <xdr:rowOff>95250</xdr:rowOff>
    </xdr:from>
    <xdr:to>
      <xdr:col>13</xdr:col>
      <xdr:colOff>38100</xdr:colOff>
      <xdr:row>13</xdr:row>
      <xdr:rowOff>95250</xdr:rowOff>
    </xdr:to>
    <xdr:cxnSp macro="">
      <xdr:nvCxnSpPr>
        <xdr:cNvPr id="182882" name="AutoShape 191"/>
        <xdr:cNvCxnSpPr>
          <a:cxnSpLocks noChangeShapeType="1"/>
        </xdr:cNvCxnSpPr>
      </xdr:nvCxnSpPr>
      <xdr:spPr bwMode="auto">
        <a:xfrm>
          <a:off x="10610850" y="2362200"/>
          <a:ext cx="352425" cy="0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13</xdr:row>
      <xdr:rowOff>95250</xdr:rowOff>
    </xdr:from>
    <xdr:to>
      <xdr:col>13</xdr:col>
      <xdr:colOff>9525</xdr:colOff>
      <xdr:row>14</xdr:row>
      <xdr:rowOff>76200</xdr:rowOff>
    </xdr:to>
    <xdr:cxnSp macro="">
      <xdr:nvCxnSpPr>
        <xdr:cNvPr id="182883" name="AutoShape 250"/>
        <xdr:cNvCxnSpPr>
          <a:cxnSpLocks noChangeShapeType="1"/>
        </xdr:cNvCxnSpPr>
      </xdr:nvCxnSpPr>
      <xdr:spPr bwMode="auto">
        <a:xfrm>
          <a:off x="9867900" y="2362200"/>
          <a:ext cx="1066800" cy="152400"/>
        </a:xfrm>
        <a:prstGeom prst="bentConnector3">
          <a:avLst>
            <a:gd name="adj1" fmla="val 75894"/>
          </a:avLst>
        </a:prstGeom>
        <a:noFill/>
        <a:ln w="19050">
          <a:solidFill>
            <a:srgbClr val="0070C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695325</xdr:colOff>
      <xdr:row>26</xdr:row>
      <xdr:rowOff>142875</xdr:rowOff>
    </xdr:from>
    <xdr:to>
      <xdr:col>5</xdr:col>
      <xdr:colOff>28575</xdr:colOff>
      <xdr:row>26</xdr:row>
      <xdr:rowOff>152400</xdr:rowOff>
    </xdr:to>
    <xdr:cxnSp macro="">
      <xdr:nvCxnSpPr>
        <xdr:cNvPr id="182884" name="AutoShape 191"/>
        <xdr:cNvCxnSpPr>
          <a:cxnSpLocks noChangeShapeType="1"/>
        </xdr:cNvCxnSpPr>
      </xdr:nvCxnSpPr>
      <xdr:spPr bwMode="auto">
        <a:xfrm>
          <a:off x="3629025" y="4886325"/>
          <a:ext cx="1485900" cy="9525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390525</xdr:colOff>
      <xdr:row>6</xdr:row>
      <xdr:rowOff>38100</xdr:rowOff>
    </xdr:from>
    <xdr:to>
      <xdr:col>13</xdr:col>
      <xdr:colOff>9525</xdr:colOff>
      <xdr:row>7</xdr:row>
      <xdr:rowOff>57150</xdr:rowOff>
    </xdr:to>
    <xdr:cxnSp macro="">
      <xdr:nvCxnSpPr>
        <xdr:cNvPr id="182885" name="AutoShape 250"/>
        <xdr:cNvCxnSpPr>
          <a:cxnSpLocks noChangeShapeType="1"/>
        </xdr:cNvCxnSpPr>
      </xdr:nvCxnSpPr>
      <xdr:spPr bwMode="auto">
        <a:xfrm>
          <a:off x="9544050" y="1133475"/>
          <a:ext cx="1390650" cy="209550"/>
        </a:xfrm>
        <a:prstGeom prst="bentConnector3">
          <a:avLst>
            <a:gd name="adj1" fmla="val 80139"/>
          </a:avLst>
        </a:prstGeom>
        <a:noFill/>
        <a:ln w="19050">
          <a:solidFill>
            <a:srgbClr val="0070C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400050</xdr:colOff>
      <xdr:row>6</xdr:row>
      <xdr:rowOff>38100</xdr:rowOff>
    </xdr:from>
    <xdr:to>
      <xdr:col>10</xdr:col>
      <xdr:colOff>400050</xdr:colOff>
      <xdr:row>6</xdr:row>
      <xdr:rowOff>180975</xdr:rowOff>
    </xdr:to>
    <xdr:cxnSp macro="">
      <xdr:nvCxnSpPr>
        <xdr:cNvPr id="182886" name="AutoShape 191"/>
        <xdr:cNvCxnSpPr>
          <a:cxnSpLocks noChangeShapeType="1"/>
        </xdr:cNvCxnSpPr>
      </xdr:nvCxnSpPr>
      <xdr:spPr bwMode="auto">
        <a:xfrm flipV="1">
          <a:off x="9553575" y="1133475"/>
          <a:ext cx="0" cy="142875"/>
        </a:xfrm>
        <a:prstGeom prst="straightConnector1">
          <a:avLst/>
        </a:prstGeom>
        <a:noFill/>
        <a:ln w="1905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76200</xdr:colOff>
      <xdr:row>26</xdr:row>
      <xdr:rowOff>142875</xdr:rowOff>
    </xdr:from>
    <xdr:to>
      <xdr:col>5</xdr:col>
      <xdr:colOff>19050</xdr:colOff>
      <xdr:row>28</xdr:row>
      <xdr:rowOff>76201</xdr:rowOff>
    </xdr:to>
    <xdr:cxnSp macro="">
      <xdr:nvCxnSpPr>
        <xdr:cNvPr id="7" name="AutoShape 250"/>
        <xdr:cNvCxnSpPr>
          <a:cxnSpLocks noChangeShapeType="1"/>
        </xdr:cNvCxnSpPr>
      </xdr:nvCxnSpPr>
      <xdr:spPr bwMode="auto">
        <a:xfrm>
          <a:off x="3724275" y="4886325"/>
          <a:ext cx="1381125" cy="361951"/>
        </a:xfrm>
        <a:prstGeom prst="bentConnector3">
          <a:avLst>
            <a:gd name="adj1" fmla="val 50000"/>
          </a:avLst>
        </a:prstGeom>
        <a:noFill/>
        <a:ln w="19050">
          <a:solidFill>
            <a:srgbClr val="0070C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8</xdr:row>
      <xdr:rowOff>47625</xdr:rowOff>
    </xdr:from>
    <xdr:to>
      <xdr:col>0</xdr:col>
      <xdr:colOff>19050</xdr:colOff>
      <xdr:row>8</xdr:row>
      <xdr:rowOff>161925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19050" y="153352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Gå till avd:</a:t>
          </a:r>
        </a:p>
      </xdr:txBody>
    </xdr:sp>
    <xdr:clientData fPrintsWithSheet="0"/>
  </xdr:twoCellAnchor>
  <xdr:twoCellAnchor editAs="oneCell">
    <xdr:from>
      <xdr:col>0</xdr:col>
      <xdr:colOff>19050</xdr:colOff>
      <xdr:row>18</xdr:row>
      <xdr:rowOff>47625</xdr:rowOff>
    </xdr:from>
    <xdr:to>
      <xdr:col>0</xdr:col>
      <xdr:colOff>19050</xdr:colOff>
      <xdr:row>18</xdr:row>
      <xdr:rowOff>161925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19050" y="3248025"/>
          <a:ext cx="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Gå till avd: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47625</xdr:rowOff>
    </xdr:from>
    <xdr:to>
      <xdr:col>1</xdr:col>
      <xdr:colOff>0</xdr:colOff>
      <xdr:row>3</xdr:row>
      <xdr:rowOff>28575</xdr:rowOff>
    </xdr:to>
    <xdr:sp macro="" textlink="">
      <xdr:nvSpPr>
        <xdr:cNvPr id="2" name="txtGoTo"/>
        <xdr:cNvSpPr txBox="1">
          <a:spLocks noChangeArrowheads="1"/>
        </xdr:cNvSpPr>
      </xdr:nvSpPr>
      <xdr:spPr bwMode="auto">
        <a:xfrm>
          <a:off x="342900" y="600075"/>
          <a:ext cx="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900" b="1" i="0" strike="noStrike">
              <a:solidFill>
                <a:srgbClr val="000000"/>
              </a:solidFill>
              <a:latin typeface="Arial"/>
              <a:cs typeface="Arial"/>
            </a:rPr>
            <a:t>Gå till avd:</a:t>
          </a:r>
        </a:p>
      </xdr:txBody>
    </xdr:sp>
    <xdr:clientData fPrintsWithSheet="0"/>
  </xdr:twoCellAnchor>
  <xdr:twoCellAnchor editAs="oneCell">
    <xdr:from>
      <xdr:col>0</xdr:col>
      <xdr:colOff>38100</xdr:colOff>
      <xdr:row>2</xdr:row>
      <xdr:rowOff>47625</xdr:rowOff>
    </xdr:from>
    <xdr:to>
      <xdr:col>0</xdr:col>
      <xdr:colOff>38100</xdr:colOff>
      <xdr:row>3</xdr:row>
      <xdr:rowOff>28575</xdr:rowOff>
    </xdr:to>
    <xdr:sp macro="" textlink="">
      <xdr:nvSpPr>
        <xdr:cNvPr id="3" name="txtGoTo"/>
        <xdr:cNvSpPr txBox="1">
          <a:spLocks noChangeArrowheads="1"/>
        </xdr:cNvSpPr>
      </xdr:nvSpPr>
      <xdr:spPr bwMode="auto">
        <a:xfrm>
          <a:off x="38100" y="600075"/>
          <a:ext cx="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900" b="1" i="0" strike="noStrike">
              <a:solidFill>
                <a:srgbClr val="000000"/>
              </a:solidFill>
              <a:latin typeface="Arial"/>
              <a:cs typeface="Arial"/>
            </a:rPr>
            <a:t>Gå till avd: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47625</xdr:rowOff>
    </xdr:from>
    <xdr:to>
      <xdr:col>0</xdr:col>
      <xdr:colOff>38100</xdr:colOff>
      <xdr:row>3</xdr:row>
      <xdr:rowOff>28575</xdr:rowOff>
    </xdr:to>
    <xdr:sp macro="" textlink="">
      <xdr:nvSpPr>
        <xdr:cNvPr id="2" name="txtGoTo"/>
        <xdr:cNvSpPr txBox="1">
          <a:spLocks noChangeArrowheads="1"/>
        </xdr:cNvSpPr>
      </xdr:nvSpPr>
      <xdr:spPr bwMode="auto">
        <a:xfrm>
          <a:off x="38100" y="276225"/>
          <a:ext cx="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900" b="1" i="0" strike="noStrike">
              <a:solidFill>
                <a:srgbClr val="000000"/>
              </a:solidFill>
              <a:latin typeface="Arial"/>
              <a:cs typeface="Arial"/>
            </a:rPr>
            <a:t>Gå till avd:</a:t>
          </a:r>
        </a:p>
      </xdr:txBody>
    </xdr:sp>
    <xdr:clientData fPrintsWithSheet="0"/>
  </xdr:twoCellAnchor>
  <xdr:twoCellAnchor>
    <xdr:from>
      <xdr:col>19</xdr:col>
      <xdr:colOff>0</xdr:colOff>
      <xdr:row>65535</xdr:row>
      <xdr:rowOff>0</xdr:rowOff>
    </xdr:from>
    <xdr:to>
      <xdr:col>19</xdr:col>
      <xdr:colOff>0</xdr:colOff>
      <xdr:row>65535</xdr:row>
      <xdr:rowOff>0</xdr:rowOff>
    </xdr:to>
    <xdr:sp macro="" textlink="">
      <xdr:nvSpPr>
        <xdr:cNvPr id="172907" name="Entreprenad"/>
        <xdr:cNvSpPr txBox="1">
          <a:spLocks noChangeArrowheads="1"/>
        </xdr:cNvSpPr>
      </xdr:nvSpPr>
      <xdr:spPr bwMode="auto">
        <a:xfrm>
          <a:off x="14478000" y="7000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C0C0C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0</xdr:colOff>
      <xdr:row>65535</xdr:row>
      <xdr:rowOff>0</xdr:rowOff>
    </xdr:from>
    <xdr:to>
      <xdr:col>19</xdr:col>
      <xdr:colOff>0</xdr:colOff>
      <xdr:row>65535</xdr:row>
      <xdr:rowOff>0</xdr:rowOff>
    </xdr:to>
    <xdr:sp macro="" textlink="">
      <xdr:nvSpPr>
        <xdr:cNvPr id="172908" name="Entreprenad"/>
        <xdr:cNvSpPr txBox="1">
          <a:spLocks noChangeArrowheads="1"/>
        </xdr:cNvSpPr>
      </xdr:nvSpPr>
      <xdr:spPr bwMode="auto">
        <a:xfrm>
          <a:off x="14478000" y="7000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C0C0C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a:spPr>
      <a:bodyPr/>
      <a:lstStyle>
        <a:defPPr>
          <a:defRPr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scb.se/rskommuner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4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4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E50"/>
  <sheetViews>
    <sheetView zoomScaleNormal="100" workbookViewId="0">
      <selection activeCell="A7" sqref="A7:D7"/>
    </sheetView>
  </sheetViews>
  <sheetFormatPr defaultColWidth="0" defaultRowHeight="12.75" zeroHeight="1"/>
  <cols>
    <col min="1" max="1" width="33.5703125" style="427" customWidth="1"/>
    <col min="2" max="2" width="26.7109375" style="427" customWidth="1"/>
    <col min="3" max="3" width="20.5703125" style="427" customWidth="1"/>
    <col min="4" max="4" width="26.7109375" style="427" customWidth="1"/>
    <col min="5" max="5" width="12.42578125" style="425" customWidth="1"/>
  </cols>
  <sheetData>
    <row r="1" spans="1:5" s="428" customFormat="1">
      <c r="A1" s="2615"/>
      <c r="B1" s="2616"/>
      <c r="C1" s="2616"/>
      <c r="D1" s="2616"/>
      <c r="E1" s="2570"/>
    </row>
    <row r="2" spans="1:5" s="427" customFormat="1" ht="15.75">
      <c r="A2" s="2607" t="s">
        <v>1326</v>
      </c>
      <c r="B2" s="2571"/>
      <c r="C2" s="2571"/>
      <c r="D2" s="2571"/>
      <c r="E2" s="2572"/>
    </row>
    <row r="3" spans="1:5" s="427" customFormat="1" ht="15.75">
      <c r="A3" s="2573"/>
      <c r="B3" s="2574"/>
      <c r="C3" s="2571"/>
      <c r="D3" s="2571"/>
      <c r="E3" s="2572"/>
    </row>
    <row r="4" spans="1:5" s="427" customFormat="1" ht="15.75">
      <c r="A4" s="2575" t="str">
        <f>"Totalt antal invånare 31 dec. "&amp;År&amp;""</f>
        <v>Totalt antal invånare 31 dec. 2017</v>
      </c>
      <c r="B4" s="2576">
        <v>10120242</v>
      </c>
      <c r="C4" s="2577"/>
      <c r="D4" s="2571"/>
      <c r="E4" s="2572"/>
    </row>
    <row r="5" spans="1:5" s="427" customFormat="1" ht="19.5" customHeight="1">
      <c r="A5" s="2575" t="str">
        <f>"Inv. 7-15 år 31 dec. "&amp;År&amp;""</f>
        <v>Inv. 7-15 år 31 dec. 2017</v>
      </c>
      <c r="B5" s="2576">
        <v>1060116</v>
      </c>
      <c r="C5" s="2578"/>
      <c r="D5" s="2571"/>
      <c r="E5" s="2572"/>
    </row>
    <row r="6" spans="1:5" s="427" customFormat="1" ht="15.75">
      <c r="A6" s="2579"/>
      <c r="B6" s="2571"/>
      <c r="C6" s="2580"/>
      <c r="D6" s="2580"/>
      <c r="E6" s="2572"/>
    </row>
    <row r="7" spans="1:5" s="427" customFormat="1" ht="15.75">
      <c r="A7" s="2617"/>
      <c r="B7" s="2618"/>
      <c r="C7" s="2618"/>
      <c r="D7" s="2618"/>
      <c r="E7" s="2572"/>
    </row>
    <row r="8" spans="1:5" s="427" customFormat="1" ht="22.5" customHeight="1">
      <c r="A8" s="2581"/>
      <c r="B8" s="2571"/>
      <c r="C8" s="2571"/>
      <c r="D8" s="2571"/>
      <c r="E8" s="2572"/>
    </row>
    <row r="9" spans="1:5" s="427" customFormat="1" ht="12.75" customHeight="1">
      <c r="A9" s="2619"/>
      <c r="B9" s="2620"/>
      <c r="C9" s="2582"/>
      <c r="D9" s="2583"/>
      <c r="E9" s="2572"/>
    </row>
    <row r="10" spans="1:5" s="427" customFormat="1">
      <c r="A10" s="2623"/>
      <c r="B10" s="2624"/>
      <c r="C10" s="2625"/>
      <c r="D10" s="2583"/>
      <c r="E10" s="2572"/>
    </row>
    <row r="11" spans="1:5" s="427" customFormat="1" ht="15">
      <c r="A11" s="2584"/>
      <c r="B11" s="2585"/>
      <c r="C11" s="2585"/>
      <c r="D11" s="2585"/>
      <c r="E11" s="2572"/>
    </row>
    <row r="12" spans="1:5" s="2141" customFormat="1" ht="33.75">
      <c r="A12" s="2621" t="s">
        <v>1305</v>
      </c>
      <c r="B12" s="2622"/>
      <c r="C12" s="2622"/>
      <c r="D12" s="2622"/>
      <c r="E12" s="2586"/>
    </row>
    <row r="13" spans="1:5" s="427" customFormat="1">
      <c r="A13" s="2583"/>
      <c r="B13" s="2587"/>
      <c r="C13" s="2583"/>
      <c r="D13" s="2583"/>
      <c r="E13" s="2572"/>
    </row>
    <row r="14" spans="1:5" s="427" customFormat="1" ht="35.25">
      <c r="A14" s="2588" t="s">
        <v>1306</v>
      </c>
      <c r="B14" s="2589"/>
      <c r="C14" s="2589"/>
      <c r="D14" s="2590"/>
      <c r="E14" s="2572"/>
    </row>
    <row r="15" spans="1:5" s="427" customFormat="1">
      <c r="A15" s="2591"/>
      <c r="B15" s="2589"/>
      <c r="C15" s="2589"/>
      <c r="D15" s="2592"/>
      <c r="E15" s="2572"/>
    </row>
    <row r="16" spans="1:5" s="427" customFormat="1">
      <c r="A16" s="2591"/>
      <c r="B16" s="2589"/>
      <c r="C16" s="2589"/>
      <c r="D16" s="2592"/>
      <c r="E16" s="2572"/>
    </row>
    <row r="17" spans="1:5" s="427" customFormat="1">
      <c r="A17" s="2593"/>
      <c r="B17" s="2593"/>
      <c r="C17" s="2593"/>
      <c r="D17" s="2593"/>
      <c r="E17" s="2572"/>
    </row>
    <row r="18" spans="1:5" s="427" customFormat="1" ht="15">
      <c r="A18" s="2629"/>
      <c r="B18" s="2629"/>
      <c r="C18" s="2629"/>
      <c r="D18" s="2629"/>
      <c r="E18" s="2572"/>
    </row>
    <row r="19" spans="1:5" s="427" customFormat="1">
      <c r="A19" s="2630"/>
      <c r="B19" s="2630"/>
      <c r="C19" s="2630"/>
      <c r="D19" s="2630"/>
      <c r="E19" s="2572"/>
    </row>
    <row r="20" spans="1:5" s="427" customFormat="1">
      <c r="A20" s="2583"/>
      <c r="B20" s="2583"/>
      <c r="C20" s="2583"/>
      <c r="D20" s="2583"/>
      <c r="E20" s="2572"/>
    </row>
    <row r="21" spans="1:5" s="427" customFormat="1">
      <c r="A21" s="2591"/>
      <c r="B21" s="2589"/>
      <c r="C21" s="2589"/>
      <c r="D21" s="2592"/>
      <c r="E21" s="2572"/>
    </row>
    <row r="22" spans="1:5" s="427" customFormat="1">
      <c r="A22" s="2591"/>
      <c r="B22" s="2589"/>
      <c r="C22" s="2589"/>
      <c r="D22" s="2590"/>
      <c r="E22" s="2572"/>
    </row>
    <row r="23" spans="1:5" s="427" customFormat="1">
      <c r="A23" s="2591"/>
      <c r="B23" s="2589"/>
      <c r="C23" s="2589"/>
      <c r="D23" s="2592"/>
      <c r="E23" s="2572"/>
    </row>
    <row r="24" spans="1:5" s="427" customFormat="1">
      <c r="A24" s="2591"/>
      <c r="B24" s="2589"/>
      <c r="C24" s="2589"/>
      <c r="D24" s="2592"/>
      <c r="E24" s="2572"/>
    </row>
    <row r="25" spans="1:5" s="427" customFormat="1">
      <c r="A25" s="2591"/>
      <c r="B25" s="2589"/>
      <c r="C25" s="2589"/>
      <c r="D25" s="2592"/>
      <c r="E25" s="2572"/>
    </row>
    <row r="26" spans="1:5" s="427" customFormat="1">
      <c r="A26" s="2591"/>
      <c r="B26" s="2589"/>
      <c r="C26" s="2589"/>
      <c r="D26" s="2592"/>
      <c r="E26" s="2572"/>
    </row>
    <row r="27" spans="1:5" s="427" customFormat="1">
      <c r="A27" s="2631"/>
      <c r="B27" s="2631"/>
      <c r="C27" s="2631"/>
      <c r="D27" s="2631"/>
      <c r="E27" s="2572"/>
    </row>
    <row r="28" spans="1:5" s="427" customFormat="1" ht="15">
      <c r="A28" s="2629"/>
      <c r="B28" s="2629"/>
      <c r="C28" s="2629"/>
      <c r="D28" s="2629"/>
      <c r="E28" s="2572"/>
    </row>
    <row r="29" spans="1:5" s="427" customFormat="1">
      <c r="A29" s="2628"/>
      <c r="B29" s="2628"/>
      <c r="C29" s="2628"/>
      <c r="D29" s="2628"/>
      <c r="E29" s="2572"/>
    </row>
    <row r="30" spans="1:5" s="427" customFormat="1">
      <c r="A30" s="2583"/>
      <c r="B30" s="2583"/>
      <c r="C30" s="2583"/>
      <c r="D30" s="2583"/>
      <c r="E30" s="2572"/>
    </row>
    <row r="31" spans="1:5" s="427" customFormat="1">
      <c r="A31" s="2591"/>
      <c r="B31" s="2589"/>
      <c r="C31" s="2589"/>
      <c r="D31" s="2592"/>
      <c r="E31" s="2572"/>
    </row>
    <row r="32" spans="1:5" s="427" customFormat="1">
      <c r="A32" s="2591"/>
      <c r="B32" s="2589"/>
      <c r="C32" s="2589"/>
      <c r="D32" s="2592"/>
      <c r="E32" s="2572"/>
    </row>
    <row r="33" spans="1:5" s="427" customFormat="1">
      <c r="A33" s="2591"/>
      <c r="B33" s="2589"/>
      <c r="C33" s="2589"/>
      <c r="D33" s="2592"/>
      <c r="E33" s="2572"/>
    </row>
    <row r="34" spans="1:5" s="427" customFormat="1">
      <c r="A34" s="2591"/>
      <c r="B34" s="2589"/>
      <c r="C34" s="2589"/>
      <c r="D34" s="2592"/>
      <c r="E34" s="2572"/>
    </row>
    <row r="35" spans="1:5" s="427" customFormat="1">
      <c r="A35" s="2591"/>
      <c r="B35" s="2589"/>
      <c r="C35" s="2589"/>
      <c r="D35" s="2592"/>
      <c r="E35" s="2572"/>
    </row>
    <row r="36" spans="1:5" s="427" customFormat="1">
      <c r="A36" s="2572"/>
      <c r="B36" s="2572"/>
      <c r="C36" s="2572"/>
      <c r="D36" s="2572"/>
      <c r="E36" s="2572"/>
    </row>
    <row r="37" spans="1:5" s="427" customFormat="1">
      <c r="A37" s="2594"/>
      <c r="B37" s="2572"/>
      <c r="C37" s="2572"/>
      <c r="D37" s="2572"/>
      <c r="E37" s="2572"/>
    </row>
    <row r="38" spans="1:5" s="427" customFormat="1">
      <c r="A38" s="2594"/>
      <c r="B38" s="2572"/>
      <c r="C38" s="2572"/>
      <c r="D38" s="2572"/>
      <c r="E38" s="2572"/>
    </row>
    <row r="39" spans="1:5" s="427" customFormat="1">
      <c r="A39" s="2594"/>
      <c r="B39" s="2626"/>
      <c r="C39" s="2626"/>
      <c r="D39" s="2572"/>
      <c r="E39" s="2572"/>
    </row>
    <row r="40" spans="1:5" s="427" customFormat="1">
      <c r="A40" s="2594"/>
      <c r="B40" s="2626"/>
      <c r="C40" s="2626"/>
      <c r="D40" s="2572"/>
      <c r="E40" s="2572"/>
    </row>
    <row r="41" spans="1:5" s="427" customFormat="1">
      <c r="A41" s="2594"/>
      <c r="B41" s="2627"/>
      <c r="C41" s="2627"/>
      <c r="D41" s="2572"/>
      <c r="E41" s="2572"/>
    </row>
    <row r="42" spans="1:5" s="427" customFormat="1">
      <c r="A42" s="2594"/>
      <c r="B42" s="2572"/>
      <c r="C42" s="2572"/>
      <c r="D42" s="2572"/>
      <c r="E42" s="2572"/>
    </row>
    <row r="43" spans="1:5" s="427" customFormat="1">
      <c r="A43" s="2594"/>
      <c r="B43" s="2572"/>
      <c r="C43" s="2572"/>
      <c r="D43" s="2572"/>
      <c r="E43" s="2572"/>
    </row>
    <row r="44" spans="1:5" s="427" customFormat="1">
      <c r="A44" s="2594"/>
      <c r="B44" s="2572"/>
      <c r="C44" s="2572"/>
      <c r="D44" s="2572"/>
      <c r="E44" s="2572"/>
    </row>
    <row r="45" spans="1:5" s="427" customFormat="1">
      <c r="A45" s="2594"/>
      <c r="B45" s="2572"/>
      <c r="C45" s="2572"/>
      <c r="D45" s="2572"/>
      <c r="E45" s="2572"/>
    </row>
    <row r="46" spans="1:5" s="427" customFormat="1">
      <c r="A46" s="2594"/>
      <c r="B46" s="2572"/>
      <c r="C46" s="2572"/>
      <c r="D46" s="2572"/>
      <c r="E46" s="2572"/>
    </row>
    <row r="47" spans="1:5" s="427" customFormat="1">
      <c r="A47" s="2594"/>
      <c r="B47" s="2572"/>
      <c r="C47" s="2572"/>
      <c r="D47" s="2572"/>
      <c r="E47" s="2572"/>
    </row>
    <row r="48" spans="1:5" s="427" customFormat="1">
      <c r="A48" s="2569" t="s">
        <v>1323</v>
      </c>
      <c r="B48" s="425"/>
      <c r="C48" s="425"/>
      <c r="D48" s="425"/>
      <c r="E48" s="425"/>
    </row>
    <row r="49" spans="1:5" s="427" customFormat="1">
      <c r="A49" s="426" t="s">
        <v>545</v>
      </c>
      <c r="B49" s="425"/>
      <c r="C49" s="425"/>
      <c r="D49" s="425"/>
      <c r="E49" s="425"/>
    </row>
    <row r="50" spans="1:5" s="318" customFormat="1" ht="54.75" customHeight="1">
      <c r="A50" s="2614"/>
      <c r="B50" s="2614"/>
      <c r="C50" s="2614"/>
      <c r="D50" s="2614"/>
      <c r="E50" s="2614"/>
    </row>
  </sheetData>
  <sheetProtection password="CBFD" sheet="1" objects="1" scenarios="1"/>
  <customSheetViews>
    <customSheetView guid="{27C9E95B-0E2B-454F-B637-1CECC9579A10}" fitToPage="1" hiddenRows="1" hiddenColumns="1" showRuler="0">
      <selection activeCell="D3" sqref="D3"/>
      <pageMargins left="0.70866141732283472" right="0.70866141732283472" top="0.74803149606299213" bottom="0.74803149606299213" header="0.31496062992125984" footer="0.31496062992125984"/>
      <pageSetup paperSize="9" scale="65" orientation="portrait" r:id="rId1"/>
      <headerFooter alignWithMargins="0"/>
    </customSheetView>
    <customSheetView guid="{99FBDEB7-DD08-4F57-81F4-3C180403E153}" fitToPage="1" hiddenRows="1" hiddenColumns="1">
      <selection activeCell="B4" sqref="B4"/>
      <pageMargins left="0.70866141732283472" right="0.70866141732283472" top="0.74803149606299213" bottom="0.74803149606299213" header="0.31496062992125984" footer="0.31496062992125984"/>
      <pageSetup paperSize="9" scale="65" orientation="portrait" r:id="rId2"/>
    </customSheetView>
    <customSheetView guid="{97D6DB71-3F4C-4C5F-8C5B-51E3EBF78932}" showPageBreaks="1" fitToPage="1" hiddenRows="1" hiddenColumns="1">
      <selection activeCell="B4" sqref="B4"/>
      <pageMargins left="0.70866141732283472" right="0.70866141732283472" top="0.74803149606299213" bottom="0.74803149606299213" header="0.31496062992125984" footer="0.31496062992125984"/>
      <pageSetup paperSize="9" scale="71" orientation="portrait" r:id="rId3"/>
    </customSheetView>
  </customSheetViews>
  <mergeCells count="12">
    <mergeCell ref="A50:E50"/>
    <mergeCell ref="A1:D1"/>
    <mergeCell ref="A7:D7"/>
    <mergeCell ref="A9:B9"/>
    <mergeCell ref="A12:D12"/>
    <mergeCell ref="A10:C10"/>
    <mergeCell ref="B39:C41"/>
    <mergeCell ref="A29:D29"/>
    <mergeCell ref="A18:D18"/>
    <mergeCell ref="A19:D19"/>
    <mergeCell ref="A27:D27"/>
    <mergeCell ref="A28:D28"/>
  </mergeCells>
  <phoneticPr fontId="95" type="noConversion"/>
  <hyperlinks>
    <hyperlink ref="A49" r:id="rId4"/>
  </hyperlinks>
  <pageMargins left="0.70866141732283472" right="0.48" top="0.74803149606299213" bottom="0.74803149606299213" header="0.31496062992125984" footer="0.31496062992125984"/>
  <pageSetup paperSize="9" scale="84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/>
  <dimension ref="A1:W60"/>
  <sheetViews>
    <sheetView showGridLines="0" tabSelected="1" zoomScaleNormal="100" workbookViewId="0">
      <pane xSplit="2" ySplit="11" topLeftCell="C12" activePane="bottomRight" state="frozen"/>
      <selection activeCell="I28" sqref="I28"/>
      <selection pane="topRight" activeCell="I28" sqref="I28"/>
      <selection pane="bottomLeft" activeCell="I28" sqref="I28"/>
      <selection pane="bottomRight" activeCell="T29" sqref="T29"/>
    </sheetView>
  </sheetViews>
  <sheetFormatPr defaultColWidth="0" defaultRowHeight="0" customHeight="1" zeroHeight="1"/>
  <cols>
    <col min="1" max="1" width="5.28515625" style="285" customWidth="1"/>
    <col min="2" max="2" width="32.7109375" style="289" customWidth="1"/>
    <col min="3" max="3" width="11.28515625" style="292" customWidth="1"/>
    <col min="4" max="4" width="9.140625" style="292" customWidth="1"/>
    <col min="5" max="7" width="8.7109375" style="292" customWidth="1"/>
    <col min="8" max="8" width="10" style="292" customWidth="1"/>
    <col min="9" max="9" width="8.7109375" style="292" customWidth="1"/>
    <col min="10" max="10" width="10" style="292" customWidth="1"/>
    <col min="11" max="11" width="9.5703125" style="292" customWidth="1"/>
    <col min="12" max="13" width="10.140625" style="292" customWidth="1"/>
    <col min="14" max="14" width="11" style="292" customWidth="1"/>
    <col min="15" max="15" width="8" style="290" customWidth="1"/>
    <col min="16" max="16" width="1.7109375" style="285" customWidth="1"/>
    <col min="17" max="17" width="7.28515625" style="291" customWidth="1"/>
    <col min="18" max="18" width="18.7109375" style="285" customWidth="1"/>
    <col min="19" max="19" width="4.140625" style="285" customWidth="1"/>
    <col min="20" max="20" width="14.7109375" style="285" customWidth="1"/>
    <col min="21" max="21" width="9.140625" style="285" customWidth="1"/>
    <col min="22" max="22" width="9.140625" style="281" customWidth="1"/>
    <col min="23" max="16384" width="0" style="281" hidden="1"/>
  </cols>
  <sheetData>
    <row r="1" spans="1:23" ht="21.75">
      <c r="A1" s="138" t="str">
        <f>"Specificering vård och omsorg om äldre och personer med funktionsnedsättning "&amp;År&amp;", miljoner kronor"</f>
        <v>Specificering vård och omsorg om äldre och personer med funktionsnedsättning 2017, miljoner kronor</v>
      </c>
      <c r="B1" s="139"/>
      <c r="C1" s="13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525" t="s">
        <v>471</v>
      </c>
      <c r="P1" s="526" t="str">
        <f>'Kn Information'!A2</f>
        <v>RIKSTOTAL</v>
      </c>
      <c r="Q1" s="280"/>
      <c r="R1" s="279"/>
      <c r="S1" s="279"/>
      <c r="T1" s="279"/>
      <c r="U1" s="279"/>
    </row>
    <row r="2" spans="1:23" ht="12.75">
      <c r="A2" s="1709"/>
      <c r="B2" s="140"/>
      <c r="C2" s="284"/>
      <c r="D2" s="284"/>
      <c r="E2" s="284"/>
      <c r="F2" s="284"/>
      <c r="G2" s="284"/>
      <c r="H2" s="284"/>
      <c r="I2" s="284"/>
      <c r="J2" s="282"/>
      <c r="K2" s="1378"/>
      <c r="L2" s="1378"/>
      <c r="N2" s="1374"/>
      <c r="O2" s="1376"/>
      <c r="P2" s="1373"/>
      <c r="Q2" s="282"/>
      <c r="R2" s="291"/>
      <c r="T2" s="282"/>
      <c r="U2" s="282"/>
      <c r="V2" s="282"/>
    </row>
    <row r="3" spans="1:23" ht="12.75" customHeight="1" thickBot="1">
      <c r="A3" s="283"/>
      <c r="B3" s="283"/>
      <c r="C3" s="284" t="s">
        <v>650</v>
      </c>
      <c r="D3" s="284" t="s">
        <v>655</v>
      </c>
      <c r="E3" s="284" t="s">
        <v>651</v>
      </c>
      <c r="F3" s="284" t="s">
        <v>547</v>
      </c>
      <c r="G3" s="284" t="s">
        <v>652</v>
      </c>
      <c r="H3" s="284" t="s">
        <v>548</v>
      </c>
      <c r="I3" s="284" t="s">
        <v>549</v>
      </c>
      <c r="J3" s="284" t="s">
        <v>654</v>
      </c>
      <c r="K3" s="284" t="s">
        <v>653</v>
      </c>
      <c r="L3" s="284"/>
      <c r="M3" s="284"/>
      <c r="N3" s="284"/>
      <c r="O3" s="1377"/>
      <c r="P3" s="1375"/>
      <c r="Q3" s="283"/>
      <c r="R3" s="291"/>
      <c r="U3" s="283"/>
      <c r="V3" s="283"/>
    </row>
    <row r="4" spans="1:23" ht="12.75">
      <c r="A4" s="2497" t="s">
        <v>656</v>
      </c>
      <c r="B4" s="2498" t="s">
        <v>16</v>
      </c>
      <c r="C4" s="1634" t="s">
        <v>1085</v>
      </c>
      <c r="D4" s="1634"/>
      <c r="E4" s="1853"/>
      <c r="F4" s="1433" t="s">
        <v>40</v>
      </c>
      <c r="G4" s="1156"/>
      <c r="H4" s="1156"/>
      <c r="I4" s="1156"/>
      <c r="J4" s="1380" t="s">
        <v>41</v>
      </c>
      <c r="K4" s="1434" t="s">
        <v>1083</v>
      </c>
      <c r="L4" s="2044" t="s">
        <v>1199</v>
      </c>
      <c r="M4" s="1713" t="s">
        <v>1093</v>
      </c>
      <c r="N4" s="1710"/>
      <c r="O4" s="2785" t="str">
        <f>"Förändring kostnader för eget åtagande "&amp;År-1&amp;"-"&amp;År&amp;" procent"</f>
        <v>Förändring kostnader för eget åtagande 2016-2017 procent</v>
      </c>
      <c r="P4" s="1380"/>
      <c r="Q4" s="1155"/>
      <c r="R4" s="1158"/>
      <c r="S4" s="291"/>
      <c r="V4" s="285"/>
      <c r="W4" s="285"/>
    </row>
    <row r="5" spans="1:23" ht="12.75" customHeight="1">
      <c r="A5" s="2499" t="s">
        <v>659</v>
      </c>
      <c r="B5" s="2500"/>
      <c r="C5" s="1389" t="s">
        <v>45</v>
      </c>
      <c r="D5" s="1389"/>
      <c r="E5" s="1848"/>
      <c r="F5" s="1160"/>
      <c r="G5" s="1161"/>
      <c r="H5" s="1161"/>
      <c r="I5" s="1162"/>
      <c r="J5" s="1435" t="s">
        <v>44</v>
      </c>
      <c r="K5" s="1731" t="s">
        <v>1101</v>
      </c>
      <c r="L5" s="2045" t="s">
        <v>47</v>
      </c>
      <c r="M5" s="1712" t="s">
        <v>1092</v>
      </c>
      <c r="N5" s="1711"/>
      <c r="O5" s="2786"/>
      <c r="P5" s="1379"/>
      <c r="Q5" s="1165"/>
      <c r="R5" s="1166"/>
      <c r="S5" s="1372"/>
      <c r="T5" s="150"/>
      <c r="U5" s="281"/>
      <c r="W5" s="285"/>
    </row>
    <row r="6" spans="1:23" ht="33.75" customHeight="1">
      <c r="A6" s="1167"/>
      <c r="B6" s="1168"/>
      <c r="C6" s="1669"/>
      <c r="D6" s="2778" t="s">
        <v>1197</v>
      </c>
      <c r="E6" s="2778" t="s">
        <v>1271</v>
      </c>
      <c r="F6" s="2771" t="s">
        <v>736</v>
      </c>
      <c r="G6" s="2773" t="s">
        <v>918</v>
      </c>
      <c r="H6" s="2773" t="s">
        <v>483</v>
      </c>
      <c r="I6" s="2780" t="s">
        <v>916</v>
      </c>
      <c r="J6" s="1848"/>
      <c r="K6" s="1730" t="s">
        <v>1100</v>
      </c>
      <c r="L6" s="1854"/>
      <c r="M6" s="1993"/>
      <c r="N6" s="1727"/>
      <c r="O6" s="2786"/>
      <c r="P6" s="2783"/>
      <c r="Q6" s="2790" t="str">
        <f>"Nämnare nyckeltal"</f>
        <v>Nämnare nyckeltal</v>
      </c>
      <c r="R6" s="2791"/>
      <c r="S6" s="1372"/>
      <c r="T6" s="150"/>
      <c r="U6" s="281"/>
      <c r="W6" s="285"/>
    </row>
    <row r="7" spans="1:23" ht="21" customHeight="1">
      <c r="A7" s="1170"/>
      <c r="B7" s="1168"/>
      <c r="C7" s="1389"/>
      <c r="D7" s="2782"/>
      <c r="E7" s="2779"/>
      <c r="F7" s="2772"/>
      <c r="G7" s="2774"/>
      <c r="H7" s="2775"/>
      <c r="I7" s="2781"/>
      <c r="J7" s="1848"/>
      <c r="K7" s="1716" t="s">
        <v>1094</v>
      </c>
      <c r="L7" s="1860" t="s">
        <v>1090</v>
      </c>
      <c r="M7" s="1861" t="s">
        <v>1099</v>
      </c>
      <c r="N7" s="1726" t="s">
        <v>1099</v>
      </c>
      <c r="O7" s="1725"/>
      <c r="P7" s="2793"/>
      <c r="Q7" s="2792"/>
      <c r="R7" s="2791"/>
      <c r="S7" s="2504"/>
      <c r="T7" s="150"/>
      <c r="U7" s="281"/>
      <c r="W7" s="285"/>
    </row>
    <row r="8" spans="1:23" ht="12.75">
      <c r="A8" s="1170"/>
      <c r="B8" s="1171"/>
      <c r="C8" s="1163"/>
      <c r="D8" s="1848"/>
      <c r="E8" s="1668"/>
      <c r="F8" s="1169"/>
      <c r="G8" s="2020"/>
      <c r="H8" s="2020"/>
      <c r="I8" s="1438"/>
      <c r="J8" s="1848"/>
      <c r="K8" s="1388" t="s">
        <v>46</v>
      </c>
      <c r="L8" s="1862"/>
      <c r="M8" s="1863">
        <f>År</f>
        <v>2017</v>
      </c>
      <c r="N8" s="1715">
        <f>År-1</f>
        <v>2016</v>
      </c>
      <c r="O8" s="1164"/>
      <c r="P8" s="2793"/>
      <c r="Q8" s="1173"/>
      <c r="R8" s="2522"/>
      <c r="S8" s="2505"/>
      <c r="T8" s="150"/>
      <c r="U8" s="2506"/>
      <c r="V8" s="2506"/>
      <c r="W8" s="285"/>
    </row>
    <row r="9" spans="1:23" ht="20.25" customHeight="1">
      <c r="A9" s="1170"/>
      <c r="B9" s="1168"/>
      <c r="C9" s="1163"/>
      <c r="D9" s="2783" t="s">
        <v>1198</v>
      </c>
      <c r="E9" s="1678" t="s">
        <v>880</v>
      </c>
      <c r="F9" s="1677" t="s">
        <v>930</v>
      </c>
      <c r="G9" s="1676" t="s">
        <v>50</v>
      </c>
      <c r="H9" s="2776" t="s">
        <v>917</v>
      </c>
      <c r="I9" s="2501" t="s">
        <v>1321</v>
      </c>
      <c r="J9" s="1164"/>
      <c r="K9" s="1718" t="s">
        <v>1095</v>
      </c>
      <c r="L9" s="2021"/>
      <c r="M9" s="1864"/>
      <c r="N9" s="1714"/>
      <c r="O9" s="1164"/>
      <c r="P9" s="2794"/>
      <c r="Q9" s="1174"/>
      <c r="R9" s="1175"/>
      <c r="S9" s="2505"/>
      <c r="T9" s="150"/>
      <c r="U9" s="281"/>
      <c r="W9" s="285"/>
    </row>
    <row r="10" spans="1:23" ht="12.75" customHeight="1">
      <c r="A10" s="1170"/>
      <c r="B10" s="1176"/>
      <c r="C10" s="1163"/>
      <c r="D10" s="2784"/>
      <c r="E10" s="1668"/>
      <c r="F10" s="1450"/>
      <c r="G10" s="1679"/>
      <c r="H10" s="2774"/>
      <c r="I10" s="1670"/>
      <c r="J10" s="1164"/>
      <c r="K10" s="1717" t="s">
        <v>51</v>
      </c>
      <c r="L10" s="1855"/>
      <c r="M10" s="1728"/>
      <c r="N10" s="1729"/>
      <c r="O10" s="1177"/>
      <c r="P10" s="2795"/>
      <c r="Q10" s="1178"/>
      <c r="R10" s="1179"/>
      <c r="S10" s="2507"/>
      <c r="T10" s="281"/>
      <c r="U10" s="281"/>
      <c r="W10" s="285"/>
    </row>
    <row r="11" spans="1:23" ht="13.5" thickBot="1">
      <c r="A11" s="2528"/>
      <c r="B11" s="2529"/>
      <c r="C11" s="2530"/>
      <c r="D11" s="2530"/>
      <c r="E11" s="2531"/>
      <c r="F11" s="2532"/>
      <c r="G11" s="2533"/>
      <c r="H11" s="2777"/>
      <c r="I11" s="2525"/>
      <c r="J11" s="2526"/>
      <c r="K11" s="2527"/>
      <c r="L11" s="1856"/>
      <c r="M11" s="1851"/>
      <c r="N11" s="1852"/>
      <c r="O11" s="1181"/>
      <c r="P11" s="2796"/>
      <c r="Q11" s="1182"/>
      <c r="R11" s="2523"/>
      <c r="S11" s="2507"/>
      <c r="T11" s="2503"/>
      <c r="U11" s="281"/>
      <c r="W11" s="285"/>
    </row>
    <row r="12" spans="1:23" ht="12.75">
      <c r="A12" s="1189">
        <v>510</v>
      </c>
      <c r="B12" s="2524" t="s">
        <v>505</v>
      </c>
      <c r="C12" s="348">
        <f>Drift!P73</f>
        <v>133745</v>
      </c>
      <c r="D12" s="348">
        <f>SUM(Drift!C73:D73)</f>
        <v>75053</v>
      </c>
      <c r="E12" s="348">
        <f>Drift!F73</f>
        <v>20047</v>
      </c>
      <c r="F12" s="348">
        <f>Drift!R73</f>
        <v>4776</v>
      </c>
      <c r="G12" s="348">
        <f>Drift!S73</f>
        <v>4249</v>
      </c>
      <c r="H12" s="348">
        <f>Drift!T73</f>
        <v>7277</v>
      </c>
      <c r="I12" s="348">
        <f>Motpart!Y27+Motpart!Z27</f>
        <v>211</v>
      </c>
      <c r="J12" s="348">
        <f>Drift!V73</f>
        <v>11842</v>
      </c>
      <c r="K12" s="1865">
        <f t="shared" ref="K12:K18" si="0">C12-I12-J12</f>
        <v>121692</v>
      </c>
      <c r="L12" s="1847">
        <f t="shared" ref="L12:L18" si="1">C12-SUM(F12:H12,J12)</f>
        <v>105601</v>
      </c>
      <c r="M12" s="1858">
        <f>IF(C12&gt;0,K12*1000000/Q12,"")</f>
        <v>60659.593070494368</v>
      </c>
      <c r="N12" s="1859">
        <v>59363.929712670164</v>
      </c>
      <c r="O12" s="1198"/>
      <c r="P12" s="1317"/>
      <c r="Q12" s="1199">
        <v>2006146</v>
      </c>
      <c r="R12" s="1200" t="s">
        <v>1265</v>
      </c>
      <c r="S12" s="2507"/>
      <c r="T12" s="2787"/>
      <c r="U12" s="2699"/>
      <c r="V12" s="2699"/>
      <c r="W12" s="287"/>
    </row>
    <row r="13" spans="1:23" ht="13.5" customHeight="1">
      <c r="A13" s="1183">
        <v>5101</v>
      </c>
      <c r="B13" s="1184" t="s">
        <v>457</v>
      </c>
      <c r="C13" s="141">
        <v>45613</v>
      </c>
      <c r="D13" s="141">
        <v>28027</v>
      </c>
      <c r="E13" s="141">
        <v>6436</v>
      </c>
      <c r="F13" s="141">
        <v>2256</v>
      </c>
      <c r="G13" s="141">
        <v>2</v>
      </c>
      <c r="H13" s="141">
        <v>1873</v>
      </c>
      <c r="I13" s="141">
        <v>78</v>
      </c>
      <c r="J13" s="141">
        <v>4643</v>
      </c>
      <c r="K13" s="1201">
        <f t="shared" si="0"/>
        <v>40892</v>
      </c>
      <c r="L13" s="1849">
        <f t="shared" si="1"/>
        <v>36839</v>
      </c>
      <c r="M13" s="1202">
        <f>IF(C13&gt;0,K13*1000000/Q12,"")</f>
        <v>20383.36192879282</v>
      </c>
      <c r="N13" s="1202">
        <v>19908.369699983359</v>
      </c>
      <c r="O13" s="1203">
        <f>IF(ISERROR((M13-N13)/N13),"",((M13-N13)/N13))</f>
        <v>2.3858921446986057E-2</v>
      </c>
      <c r="P13" s="2121"/>
      <c r="Q13" s="1204"/>
      <c r="R13" s="2088"/>
      <c r="S13" s="2507"/>
      <c r="T13" s="2699"/>
      <c r="U13" s="2699"/>
      <c r="V13" s="2699"/>
      <c r="W13" s="287"/>
    </row>
    <row r="14" spans="1:23" ht="13.5" customHeight="1">
      <c r="A14" s="1183">
        <v>5103</v>
      </c>
      <c r="B14" s="1184" t="s">
        <v>811</v>
      </c>
      <c r="C14" s="293">
        <v>7536</v>
      </c>
      <c r="D14" s="141">
        <v>4290</v>
      </c>
      <c r="E14" s="141">
        <v>860</v>
      </c>
      <c r="F14" s="141">
        <v>195</v>
      </c>
      <c r="G14" s="141">
        <v>44</v>
      </c>
      <c r="H14" s="141">
        <v>320</v>
      </c>
      <c r="I14" s="141">
        <v>33</v>
      </c>
      <c r="J14" s="141">
        <v>820</v>
      </c>
      <c r="K14" s="1201">
        <f t="shared" si="0"/>
        <v>6683</v>
      </c>
      <c r="L14" s="1849">
        <f t="shared" si="1"/>
        <v>6157</v>
      </c>
      <c r="M14" s="1202">
        <f>IF(C14&gt;0,K14*1000000/Q12,"")</f>
        <v>3331.2630287127658</v>
      </c>
      <c r="N14" s="1205">
        <v>3369.9959076453179</v>
      </c>
      <c r="O14" s="1203">
        <f>IF(ISERROR((M14-N14)/N14),"",((M14-N14)/N14))</f>
        <v>-1.1493449842084655E-2</v>
      </c>
      <c r="P14" s="2121"/>
      <c r="Q14" s="2094"/>
      <c r="R14" s="2797" t="str">
        <f>"För minst en delv-ht inom v-het 510 redovisas varken detta år eller året innan några kostnader. Har kommunen inte verksamheten(-erna)? Lämna förklarande kommentar"</f>
        <v>För minst en delv-ht inom v-het 510 redovisas varken detta år eller året innan några kostnader. Har kommunen inte verksamheten(-erna)? Lämna förklarande kommentar</v>
      </c>
      <c r="S14" s="2507"/>
      <c r="T14" s="2699"/>
      <c r="U14" s="2699"/>
      <c r="V14" s="2699"/>
      <c r="W14" s="287"/>
    </row>
    <row r="15" spans="1:23" ht="13.5" customHeight="1">
      <c r="A15" s="1183">
        <v>5104</v>
      </c>
      <c r="B15" s="1184" t="s">
        <v>458</v>
      </c>
      <c r="C15" s="293">
        <v>1450</v>
      </c>
      <c r="D15" s="141">
        <v>820</v>
      </c>
      <c r="E15" s="141">
        <v>114</v>
      </c>
      <c r="F15" s="141">
        <v>41</v>
      </c>
      <c r="G15" s="141">
        <v>0</v>
      </c>
      <c r="H15" s="141">
        <v>121</v>
      </c>
      <c r="I15" s="141">
        <v>0</v>
      </c>
      <c r="J15" s="293">
        <v>143</v>
      </c>
      <c r="K15" s="1201">
        <f t="shared" si="0"/>
        <v>1307</v>
      </c>
      <c r="L15" s="1849">
        <f t="shared" si="1"/>
        <v>1145</v>
      </c>
      <c r="M15" s="1202">
        <f>IF(C15&gt;0,K15*1000000/Q12,"")</f>
        <v>651.49794680945456</v>
      </c>
      <c r="N15" s="1205">
        <v>639.90465673541382</v>
      </c>
      <c r="O15" s="1203">
        <f>IF(ISERROR((M15-N15)/N15),"",((M15-N15)/N15))</f>
        <v>1.8117214731935141E-2</v>
      </c>
      <c r="P15" s="2121"/>
      <c r="Q15" s="2104"/>
      <c r="R15" s="2798"/>
      <c r="S15" s="2507"/>
      <c r="T15" s="2699"/>
      <c r="U15" s="2699"/>
      <c r="V15" s="2699"/>
      <c r="W15" s="287"/>
    </row>
    <row r="16" spans="1:23" ht="13.5" customHeight="1">
      <c r="A16" s="1183">
        <v>5105</v>
      </c>
      <c r="B16" s="1184" t="s">
        <v>496</v>
      </c>
      <c r="C16" s="293">
        <v>75360</v>
      </c>
      <c r="D16" s="141">
        <v>40362</v>
      </c>
      <c r="E16" s="294">
        <v>12461</v>
      </c>
      <c r="F16" s="294">
        <v>2220</v>
      </c>
      <c r="G16" s="294">
        <v>4088</v>
      </c>
      <c r="H16" s="294">
        <v>4657</v>
      </c>
      <c r="I16" s="294">
        <v>81</v>
      </c>
      <c r="J16" s="294">
        <v>5983</v>
      </c>
      <c r="K16" s="1201">
        <f t="shared" si="0"/>
        <v>69296</v>
      </c>
      <c r="L16" s="1849">
        <f t="shared" si="1"/>
        <v>58412</v>
      </c>
      <c r="M16" s="1202">
        <f>IF(C16&gt;0,K16*1000000/Q12,"")</f>
        <v>34541.852886081069</v>
      </c>
      <c r="N16" s="1206">
        <v>33828.445861283843</v>
      </c>
      <c r="O16" s="1203">
        <f>IF(ISERROR((M16-N16)/N16),"",((M16-N16)/N16))</f>
        <v>2.1088968370660818E-2</v>
      </c>
      <c r="P16" s="2121"/>
      <c r="Q16" s="2104"/>
      <c r="R16" s="2798"/>
      <c r="S16" s="2507"/>
      <c r="T16" s="281"/>
      <c r="U16" s="281"/>
      <c r="W16" s="287"/>
    </row>
    <row r="17" spans="1:23" ht="13.5" customHeight="1">
      <c r="A17" s="1183">
        <v>5106</v>
      </c>
      <c r="B17" s="1185" t="s">
        <v>105</v>
      </c>
      <c r="C17" s="293">
        <v>1869</v>
      </c>
      <c r="D17" s="141">
        <v>904</v>
      </c>
      <c r="E17" s="141">
        <v>57</v>
      </c>
      <c r="F17" s="141">
        <v>40</v>
      </c>
      <c r="G17" s="141">
        <v>24</v>
      </c>
      <c r="H17" s="141">
        <v>209</v>
      </c>
      <c r="I17" s="141">
        <v>2</v>
      </c>
      <c r="J17" s="141">
        <v>197</v>
      </c>
      <c r="K17" s="1201">
        <f t="shared" si="0"/>
        <v>1670</v>
      </c>
      <c r="L17" s="1849">
        <f t="shared" si="1"/>
        <v>1399</v>
      </c>
      <c r="M17" s="1202">
        <f>IF(C17&gt;0,K17*1000000/Q12,"")</f>
        <v>832.44190602279195</v>
      </c>
      <c r="N17" s="1202">
        <v>815.43581553951549</v>
      </c>
      <c r="O17" s="1203">
        <f>IF(ISERROR((M17-N17)/N17),"",((M17-N17)/N17))</f>
        <v>2.0855216510234781E-2</v>
      </c>
      <c r="P17" s="2121"/>
      <c r="Q17" s="2104"/>
      <c r="R17" s="2798"/>
      <c r="S17" s="2507"/>
      <c r="T17" s="281"/>
      <c r="U17" s="281"/>
      <c r="W17" s="287"/>
    </row>
    <row r="18" spans="1:23" ht="13.5" customHeight="1">
      <c r="A18" s="1183">
        <v>5109</v>
      </c>
      <c r="B18" s="1184" t="s">
        <v>379</v>
      </c>
      <c r="C18" s="293">
        <v>1917</v>
      </c>
      <c r="D18" s="141">
        <v>650</v>
      </c>
      <c r="E18" s="141">
        <v>119</v>
      </c>
      <c r="F18" s="141">
        <v>24</v>
      </c>
      <c r="G18" s="141">
        <v>91</v>
      </c>
      <c r="H18" s="141">
        <v>97</v>
      </c>
      <c r="I18" s="141">
        <v>17</v>
      </c>
      <c r="J18" s="141">
        <v>56</v>
      </c>
      <c r="K18" s="1201">
        <f t="shared" si="0"/>
        <v>1844</v>
      </c>
      <c r="L18" s="1849">
        <f t="shared" si="1"/>
        <v>1649</v>
      </c>
      <c r="M18" s="1207"/>
      <c r="N18" s="1207"/>
      <c r="O18" s="1207"/>
      <c r="P18" s="2595"/>
      <c r="Q18" s="2104"/>
      <c r="R18" s="2798"/>
      <c r="S18" s="2507"/>
      <c r="T18" s="281"/>
      <c r="U18" s="281"/>
      <c r="W18" s="287"/>
    </row>
    <row r="19" spans="1:23" ht="12.75">
      <c r="A19" s="1186">
        <v>51099</v>
      </c>
      <c r="B19" s="1187" t="s">
        <v>161</v>
      </c>
      <c r="C19" s="333">
        <f>SUM(C13:C18)</f>
        <v>133745</v>
      </c>
      <c r="D19" s="333">
        <f>SUM(D13:D18)</f>
        <v>75053</v>
      </c>
      <c r="E19" s="333">
        <f t="shared" ref="E19:J19" si="2">SUM(E13:E18)</f>
        <v>20047</v>
      </c>
      <c r="F19" s="333">
        <f t="shared" si="2"/>
        <v>4776</v>
      </c>
      <c r="G19" s="333">
        <f t="shared" si="2"/>
        <v>4249</v>
      </c>
      <c r="H19" s="333">
        <f>SUM(H13:H18)</f>
        <v>7277</v>
      </c>
      <c r="I19" s="333">
        <f t="shared" si="2"/>
        <v>211</v>
      </c>
      <c r="J19" s="333">
        <f t="shared" si="2"/>
        <v>11842</v>
      </c>
      <c r="K19" s="1209"/>
      <c r="L19" s="1857"/>
      <c r="M19" s="1210"/>
      <c r="N19" s="1210"/>
      <c r="O19" s="1210"/>
      <c r="P19" s="2019"/>
      <c r="Q19" s="2104"/>
      <c r="R19" s="2798"/>
      <c r="S19" s="2502"/>
      <c r="T19" s="281"/>
      <c r="U19" s="281"/>
      <c r="W19" s="287"/>
    </row>
    <row r="20" spans="1:23" ht="13.5" thickBot="1">
      <c r="A20" s="1188"/>
      <c r="B20" s="1777"/>
      <c r="C20" s="2519"/>
      <c r="D20" s="1850"/>
      <c r="E20" s="1850"/>
      <c r="F20" s="2520"/>
      <c r="G20" s="1214"/>
      <c r="H20" s="1850"/>
      <c r="I20" s="1850"/>
      <c r="J20" s="1850"/>
      <c r="K20" s="1211"/>
      <c r="L20" s="1866"/>
      <c r="M20" s="1212"/>
      <c r="N20" s="1212"/>
      <c r="O20" s="1212"/>
      <c r="P20" s="1213"/>
      <c r="Q20" s="1214"/>
      <c r="R20" s="1215"/>
      <c r="S20" s="2502"/>
      <c r="T20" s="281"/>
      <c r="U20" s="281"/>
      <c r="W20" s="287"/>
    </row>
    <row r="21" spans="1:23" ht="22.5" customHeight="1">
      <c r="A21" s="1189">
        <v>520</v>
      </c>
      <c r="B21" s="1190" t="s">
        <v>114</v>
      </c>
      <c r="C21" s="348">
        <f>Drift!P74</f>
        <v>14949</v>
      </c>
      <c r="D21" s="348">
        <f>SUM(Drift!C74:D74)</f>
        <v>7511</v>
      </c>
      <c r="E21" s="348">
        <f>Drift!F74</f>
        <v>3405</v>
      </c>
      <c r="F21" s="348">
        <f>Drift!R74</f>
        <v>266</v>
      </c>
      <c r="G21" s="348">
        <f>Drift!S74</f>
        <v>314</v>
      </c>
      <c r="H21" s="348">
        <f>Drift!T74</f>
        <v>768</v>
      </c>
      <c r="I21" s="348">
        <f>Motpart!Y28+Motpart!Z28</f>
        <v>45</v>
      </c>
      <c r="J21" s="348">
        <f>Drift!V74</f>
        <v>943</v>
      </c>
      <c r="K21" s="1216">
        <f t="shared" ref="K21:K28" si="3">C21-I21-J21</f>
        <v>13961</v>
      </c>
      <c r="L21" s="1216">
        <f t="shared" ref="L21:L28" si="4">C21-SUM(F21:H21,J21)</f>
        <v>12658</v>
      </c>
      <c r="M21" s="1217">
        <f>IF(C21&gt;0,K21*1000000/Q21,"")</f>
        <v>1720.5860024332962</v>
      </c>
      <c r="N21" s="1217">
        <v>1691.0076654690722</v>
      </c>
      <c r="O21" s="1218"/>
      <c r="P21" s="1318"/>
      <c r="Q21" s="1219">
        <v>8114096</v>
      </c>
      <c r="R21" s="1220" t="s">
        <v>1266</v>
      </c>
      <c r="S21" s="2507"/>
      <c r="T21" s="2503"/>
      <c r="U21" s="281"/>
      <c r="W21" s="287"/>
    </row>
    <row r="22" spans="1:23" ht="12.75">
      <c r="A22" s="1183">
        <v>5201</v>
      </c>
      <c r="B22" s="1184" t="s">
        <v>459</v>
      </c>
      <c r="C22" s="141">
        <v>4145</v>
      </c>
      <c r="D22" s="141">
        <v>2236</v>
      </c>
      <c r="E22" s="141">
        <v>756</v>
      </c>
      <c r="F22" s="141">
        <v>134</v>
      </c>
      <c r="G22" s="141">
        <v>1</v>
      </c>
      <c r="H22" s="141">
        <v>161</v>
      </c>
      <c r="I22" s="141">
        <v>9</v>
      </c>
      <c r="J22" s="141">
        <v>274</v>
      </c>
      <c r="K22" s="1221">
        <f t="shared" si="3"/>
        <v>3862</v>
      </c>
      <c r="L22" s="1849">
        <f t="shared" si="4"/>
        <v>3575</v>
      </c>
      <c r="M22" s="1205">
        <f>IF(C22&gt;0,K22*1000000/Q21,"")</f>
        <v>475.96183234706615</v>
      </c>
      <c r="N22" s="1205">
        <v>487.01120537331121</v>
      </c>
      <c r="O22" s="1203">
        <f>IF(ISERROR((M22-N22)/N22),"",((M22-N22)/N22))</f>
        <v>-2.2688128947208373E-2</v>
      </c>
      <c r="P22" s="2122"/>
      <c r="Q22" s="1204"/>
      <c r="R22" s="1222"/>
      <c r="S22" s="2507"/>
      <c r="T22" s="2787"/>
      <c r="U22" s="2788"/>
      <c r="V22" s="2788"/>
      <c r="W22" s="287"/>
    </row>
    <row r="23" spans="1:23" ht="12.75">
      <c r="A23" s="1183">
        <v>5202</v>
      </c>
      <c r="B23" s="1184" t="s">
        <v>460</v>
      </c>
      <c r="C23" s="293">
        <v>2441</v>
      </c>
      <c r="D23" s="141">
        <v>1715</v>
      </c>
      <c r="E23" s="141">
        <v>219</v>
      </c>
      <c r="F23" s="141">
        <v>20</v>
      </c>
      <c r="G23" s="141">
        <v>5</v>
      </c>
      <c r="H23" s="141">
        <v>57</v>
      </c>
      <c r="I23" s="141">
        <v>3</v>
      </c>
      <c r="J23" s="141">
        <v>161</v>
      </c>
      <c r="K23" s="1221">
        <f t="shared" si="3"/>
        <v>2277</v>
      </c>
      <c r="L23" s="1849">
        <f t="shared" si="4"/>
        <v>2198</v>
      </c>
      <c r="M23" s="1205">
        <f>IF(C23&gt;0,K23*1000000/Q21,"")</f>
        <v>280.62275822223449</v>
      </c>
      <c r="N23" s="1205">
        <v>270.63106675034197</v>
      </c>
      <c r="O23" s="1203">
        <f>IF(ISERROR((M23-N23)/N23),"",((M23-N23)/N23))</f>
        <v>3.691997224069582E-2</v>
      </c>
      <c r="P23" s="2122"/>
      <c r="Q23" s="2103"/>
      <c r="R23" s="2799" t="str">
        <f>"För minst en delv-ht inom v-het 520 redovisas varken detta år eller året innan några kostnader. Har kommunen inte verksamheten(-erna)? Lämna förklarande kommentar"</f>
        <v>För minst en delv-ht inom v-het 520 redovisas varken detta år eller året innan några kostnader. Har kommunen inte verksamheten(-erna)? Lämna förklarande kommentar</v>
      </c>
      <c r="S23" s="2507"/>
      <c r="T23" s="2788"/>
      <c r="U23" s="2788"/>
      <c r="V23" s="2788"/>
      <c r="W23" s="287"/>
    </row>
    <row r="24" spans="1:23" ht="12.75">
      <c r="A24" s="1183">
        <v>5203</v>
      </c>
      <c r="B24" s="1184" t="s">
        <v>811</v>
      </c>
      <c r="C24" s="293">
        <v>776</v>
      </c>
      <c r="D24" s="141">
        <v>255</v>
      </c>
      <c r="E24" s="141">
        <v>307</v>
      </c>
      <c r="F24" s="141">
        <v>11</v>
      </c>
      <c r="G24" s="141">
        <v>4</v>
      </c>
      <c r="H24" s="141">
        <v>40</v>
      </c>
      <c r="I24" s="141">
        <v>3</v>
      </c>
      <c r="J24" s="293">
        <v>61</v>
      </c>
      <c r="K24" s="1221">
        <f t="shared" si="3"/>
        <v>712</v>
      </c>
      <c r="L24" s="1849">
        <f t="shared" si="4"/>
        <v>660</v>
      </c>
      <c r="M24" s="1205">
        <f>IF(C24&gt;0,K24*1000000/Q21,"")</f>
        <v>87.748530458599461</v>
      </c>
      <c r="N24" s="1205">
        <v>89.046350995273812</v>
      </c>
      <c r="O24" s="1203">
        <f>IF(ISERROR((M24-N24)/N24),"",((M24-N24)/N24))</f>
        <v>-1.4574662770215407E-2</v>
      </c>
      <c r="P24" s="2122"/>
      <c r="Q24" s="2093"/>
      <c r="R24" s="2800"/>
      <c r="S24" s="2507"/>
      <c r="T24" s="2788"/>
      <c r="U24" s="2788"/>
      <c r="V24" s="2788"/>
      <c r="W24" s="287"/>
    </row>
    <row r="25" spans="1:23" ht="12.75">
      <c r="A25" s="2062">
        <v>5204</v>
      </c>
      <c r="B25" s="1184" t="s">
        <v>1200</v>
      </c>
      <c r="C25" s="141">
        <v>438</v>
      </c>
      <c r="D25" s="141">
        <v>253</v>
      </c>
      <c r="E25" s="141">
        <v>28</v>
      </c>
      <c r="F25" s="141">
        <v>8</v>
      </c>
      <c r="G25" s="141">
        <v>0</v>
      </c>
      <c r="H25" s="141">
        <v>25</v>
      </c>
      <c r="I25" s="141">
        <v>4</v>
      </c>
      <c r="J25" s="141">
        <v>34</v>
      </c>
      <c r="K25" s="1221">
        <f t="shared" si="3"/>
        <v>400</v>
      </c>
      <c r="L25" s="1849">
        <f t="shared" si="4"/>
        <v>371</v>
      </c>
      <c r="M25" s="1205">
        <f>IF(C25&gt;0,K25*1000000/Q21,"")</f>
        <v>49.296927223932279</v>
      </c>
      <c r="N25" s="1205">
        <v>45</v>
      </c>
      <c r="O25" s="1203">
        <f t="shared" ref="O25" si="5">IF(ISERROR((M25-N25)/N25),"",((M25-N25)/N25))</f>
        <v>9.5487271642939534E-2</v>
      </c>
      <c r="P25" s="2122"/>
      <c r="Q25" s="2093"/>
      <c r="R25" s="2800"/>
      <c r="S25" s="2507"/>
      <c r="T25" s="2788"/>
      <c r="U25" s="2788"/>
      <c r="V25" s="2788"/>
      <c r="W25" s="287"/>
    </row>
    <row r="26" spans="1:23" ht="12.75">
      <c r="A26" s="1183">
        <v>5205</v>
      </c>
      <c r="B26" s="1184" t="s">
        <v>496</v>
      </c>
      <c r="C26" s="141">
        <v>5455</v>
      </c>
      <c r="D26" s="141">
        <v>2263</v>
      </c>
      <c r="E26" s="141">
        <v>1942</v>
      </c>
      <c r="F26" s="141">
        <v>84</v>
      </c>
      <c r="G26" s="141">
        <v>286</v>
      </c>
      <c r="H26" s="141">
        <v>298</v>
      </c>
      <c r="I26" s="141">
        <v>9</v>
      </c>
      <c r="J26" s="141">
        <v>302</v>
      </c>
      <c r="K26" s="1221">
        <f t="shared" si="3"/>
        <v>5144</v>
      </c>
      <c r="L26" s="1849">
        <f t="shared" si="4"/>
        <v>4485</v>
      </c>
      <c r="M26" s="1205">
        <f>IF(C26&gt;0,K26*1000000/Q21,"")</f>
        <v>633.95848409976907</v>
      </c>
      <c r="N26" s="1205">
        <v>607.11153591735706</v>
      </c>
      <c r="O26" s="1203">
        <f>IF(ISERROR((M26-N26)/N26),"",((M26-N26)/N26))</f>
        <v>4.4220784146105474E-2</v>
      </c>
      <c r="P26" s="2122"/>
      <c r="Q26" s="2093"/>
      <c r="R26" s="2800"/>
      <c r="S26" s="2507"/>
      <c r="T26" s="2508"/>
      <c r="U26" s="2508"/>
      <c r="V26" s="2508"/>
      <c r="W26" s="287"/>
    </row>
    <row r="27" spans="1:23" ht="12.75">
      <c r="A27" s="1183">
        <v>5206</v>
      </c>
      <c r="B27" s="1184" t="s">
        <v>105</v>
      </c>
      <c r="C27" s="293">
        <v>791</v>
      </c>
      <c r="D27" s="141">
        <v>397</v>
      </c>
      <c r="E27" s="141">
        <v>42</v>
      </c>
      <c r="F27" s="141">
        <v>5</v>
      </c>
      <c r="G27" s="141">
        <v>5</v>
      </c>
      <c r="H27" s="141">
        <v>100</v>
      </c>
      <c r="I27" s="141">
        <v>8</v>
      </c>
      <c r="J27" s="141">
        <v>55</v>
      </c>
      <c r="K27" s="1223">
        <f t="shared" si="3"/>
        <v>728</v>
      </c>
      <c r="L27" s="1849">
        <f t="shared" si="4"/>
        <v>626</v>
      </c>
      <c r="M27" s="1202">
        <f>IF(C27&gt;0,K27*1000000/Q21,"")</f>
        <v>89.720407547556746</v>
      </c>
      <c r="N27" s="1202">
        <v>82.810612130058558</v>
      </c>
      <c r="O27" s="1203">
        <f>IF(ISERROR((M27-N27)/N27),"",((M27-N27)/N27))</f>
        <v>8.3440941200216945E-2</v>
      </c>
      <c r="P27" s="2018"/>
      <c r="Q27" s="2093"/>
      <c r="R27" s="2800"/>
      <c r="S27" s="2507"/>
      <c r="T27" s="281"/>
      <c r="U27" s="281"/>
      <c r="W27" s="287"/>
    </row>
    <row r="28" spans="1:23" ht="12.75">
      <c r="A28" s="1183">
        <v>5209</v>
      </c>
      <c r="B28" s="1184" t="s">
        <v>379</v>
      </c>
      <c r="C28" s="293">
        <v>903</v>
      </c>
      <c r="D28" s="141">
        <v>392</v>
      </c>
      <c r="E28" s="141">
        <v>111</v>
      </c>
      <c r="F28" s="141">
        <v>4</v>
      </c>
      <c r="G28" s="141">
        <v>13</v>
      </c>
      <c r="H28" s="141">
        <v>87</v>
      </c>
      <c r="I28" s="141">
        <v>9</v>
      </c>
      <c r="J28" s="141">
        <v>56</v>
      </c>
      <c r="K28" s="1221">
        <f t="shared" si="3"/>
        <v>838</v>
      </c>
      <c r="L28" s="1849">
        <f t="shared" si="4"/>
        <v>743</v>
      </c>
      <c r="M28" s="1209"/>
      <c r="N28" s="1207"/>
      <c r="O28" s="1207"/>
      <c r="P28" s="2595"/>
      <c r="Q28" s="2541"/>
      <c r="R28" s="2800"/>
      <c r="S28" s="2507"/>
      <c r="T28" s="281"/>
      <c r="U28" s="281"/>
      <c r="W28" s="287"/>
    </row>
    <row r="29" spans="1:23" ht="21.75" customHeight="1">
      <c r="A29" s="1186">
        <v>52099</v>
      </c>
      <c r="B29" s="1191" t="s">
        <v>642</v>
      </c>
      <c r="C29" s="142">
        <f>SUM(C22:C28)</f>
        <v>14949</v>
      </c>
      <c r="D29" s="142">
        <f>SUM(D22:D28)</f>
        <v>7511</v>
      </c>
      <c r="E29" s="142">
        <f t="shared" ref="E29:J29" si="6">SUM(E22:E28)</f>
        <v>3405</v>
      </c>
      <c r="F29" s="142">
        <f t="shared" si="6"/>
        <v>266</v>
      </c>
      <c r="G29" s="142">
        <f t="shared" si="6"/>
        <v>314</v>
      </c>
      <c r="H29" s="142">
        <f t="shared" si="6"/>
        <v>768</v>
      </c>
      <c r="I29" s="142">
        <f t="shared" si="6"/>
        <v>45</v>
      </c>
      <c r="J29" s="142">
        <f t="shared" si="6"/>
        <v>943</v>
      </c>
      <c r="K29" s="1209"/>
      <c r="L29" s="1857"/>
      <c r="M29" s="1210"/>
      <c r="N29" s="1210"/>
      <c r="O29" s="1210"/>
      <c r="P29" s="2019"/>
      <c r="Q29" s="1208"/>
      <c r="R29" s="2800"/>
      <c r="S29" s="2507"/>
      <c r="T29" s="281"/>
      <c r="U29" s="281"/>
      <c r="W29" s="287"/>
    </row>
    <row r="30" spans="1:23" ht="13.5" thickBot="1">
      <c r="A30" s="1192"/>
      <c r="B30" s="1777"/>
      <c r="C30" s="2519"/>
      <c r="D30" s="1850"/>
      <c r="E30" s="1850"/>
      <c r="F30" s="2520"/>
      <c r="G30" s="1214"/>
      <c r="H30" s="1850"/>
      <c r="I30" s="1850"/>
      <c r="J30" s="1850"/>
      <c r="K30" s="2521"/>
      <c r="L30" s="1866"/>
      <c r="M30" s="1850"/>
      <c r="N30" s="1850"/>
      <c r="O30" s="1850"/>
      <c r="P30" s="1213"/>
      <c r="Q30" s="1214"/>
      <c r="R30" s="1215"/>
      <c r="S30" s="2507"/>
      <c r="T30" s="281"/>
      <c r="U30" s="281"/>
      <c r="W30" s="287"/>
    </row>
    <row r="31" spans="1:23" ht="12.75">
      <c r="A31" s="1193">
        <v>513</v>
      </c>
      <c r="B31" s="1194" t="s">
        <v>643</v>
      </c>
      <c r="C31" s="348">
        <f>Drift!P75</f>
        <v>63120</v>
      </c>
      <c r="D31" s="348">
        <f>SUM(Drift!C75:D75)</f>
        <v>34370</v>
      </c>
      <c r="E31" s="348">
        <f>Drift!F75</f>
        <v>11665</v>
      </c>
      <c r="F31" s="348">
        <f>Drift!R75</f>
        <v>118</v>
      </c>
      <c r="G31" s="348">
        <f>Drift!S75</f>
        <v>1189</v>
      </c>
      <c r="H31" s="348">
        <f>Drift!T75</f>
        <v>8245</v>
      </c>
      <c r="I31" s="348">
        <f>Motpart!Y29+Motpart!Z29</f>
        <v>248</v>
      </c>
      <c r="J31" s="348">
        <f>Drift!V75</f>
        <v>3635</v>
      </c>
      <c r="K31" s="1221">
        <f>C31-I31-J31-G41-G43</f>
        <v>52828</v>
      </c>
      <c r="L31" s="1865">
        <f t="shared" ref="L31:L36" si="7">C31-SUM(F31:H31,J31)</f>
        <v>49933</v>
      </c>
      <c r="M31" s="1994">
        <f>IF(C31&gt;0,K31*1000000/Q31,"")</f>
        <v>5220.0332758841141</v>
      </c>
      <c r="N31" s="1994">
        <v>5009.5281182789295</v>
      </c>
      <c r="O31" s="1203">
        <f>IF(ISERROR((M31-N31)/N31),"",((M31-N31)/N31))</f>
        <v>4.2020955394398637E-2</v>
      </c>
      <c r="P31" s="1318"/>
      <c r="Q31" s="2106">
        <v>10120242</v>
      </c>
      <c r="R31" s="1220" t="s">
        <v>536</v>
      </c>
      <c r="S31" s="2507"/>
      <c r="T31" s="2503"/>
      <c r="U31" s="281"/>
      <c r="W31" s="287"/>
    </row>
    <row r="32" spans="1:23" ht="12.75">
      <c r="A32" s="1195">
        <v>5131</v>
      </c>
      <c r="B32" s="1196" t="s">
        <v>199</v>
      </c>
      <c r="C32" s="141">
        <v>28301</v>
      </c>
      <c r="D32" s="141">
        <v>17072</v>
      </c>
      <c r="E32" s="141">
        <v>5154</v>
      </c>
      <c r="F32" s="141">
        <v>52</v>
      </c>
      <c r="G32" s="141">
        <v>1149</v>
      </c>
      <c r="H32" s="141">
        <v>782</v>
      </c>
      <c r="I32" s="141">
        <v>47</v>
      </c>
      <c r="J32" s="141">
        <v>1656</v>
      </c>
      <c r="K32" s="1221">
        <f>C32-I32-J32</f>
        <v>26598</v>
      </c>
      <c r="L32" s="1857">
        <f t="shared" si="7"/>
        <v>24662</v>
      </c>
      <c r="M32" s="1205">
        <f>IF(C32&gt;0,K32*1000000/Q32,"")</f>
        <v>3577.4349637979399</v>
      </c>
      <c r="N32" s="1205">
        <v>3434.1935297581981</v>
      </c>
      <c r="O32" s="1203">
        <f>IF(ISERROR((M32-N32)/N32),"",((M32-N32)/N32))</f>
        <v>4.1710355807998804E-2</v>
      </c>
      <c r="P32" s="2122" t="str">
        <f>IF(C31=0,"",IF(C32="","Skriv belopp eller 0 i kol. C",IF(SUM(D32+E32)&gt;C32,"Därav-kol. D+E &gt;kol. C",IF(I32&gt;H32,"Därav-kol. I &gt; kol. H",IF(AND(O32&gt;-3%,O32&lt;3%),"",IF(AND(K32=0,N32=0),"se frågan till höger",IF(OR(M32&gt;5000,M32&lt;1000),"Kommentera riksavvikelsen",IF(OR(O32&gt;35%,O32&lt;-10%),"Kommentera förändringen",""))))))))</f>
        <v/>
      </c>
      <c r="Q32" s="2107">
        <v>7434936</v>
      </c>
      <c r="R32" s="1224" t="s">
        <v>1267</v>
      </c>
      <c r="S32" s="286"/>
      <c r="T32" s="2787"/>
      <c r="U32" s="2787"/>
      <c r="V32" s="2787"/>
      <c r="W32" s="287"/>
    </row>
    <row r="33" spans="1:23" ht="12.75">
      <c r="A33" s="1195">
        <v>5132</v>
      </c>
      <c r="B33" s="1197" t="s">
        <v>565</v>
      </c>
      <c r="C33" s="293">
        <v>1965</v>
      </c>
      <c r="D33" s="141">
        <v>553</v>
      </c>
      <c r="E33" s="141">
        <v>1116</v>
      </c>
      <c r="F33" s="141">
        <v>6</v>
      </c>
      <c r="G33" s="141">
        <v>20</v>
      </c>
      <c r="H33" s="141">
        <v>143</v>
      </c>
      <c r="I33" s="141">
        <v>64</v>
      </c>
      <c r="J33" s="141">
        <v>94</v>
      </c>
      <c r="K33" s="1221">
        <f>C33-I33-J33</f>
        <v>1807</v>
      </c>
      <c r="L33" s="1857">
        <f t="shared" si="7"/>
        <v>1702</v>
      </c>
      <c r="M33" s="1205">
        <f>IF(C33&gt;0,K33*1000000/Q33,"")</f>
        <v>672.92144731363953</v>
      </c>
      <c r="N33" s="1205">
        <v>650.93443201918956</v>
      </c>
      <c r="O33" s="1203">
        <f>IF(ISERROR((M33-N33)/N33),"",((M33-N33)/N33))</f>
        <v>3.377761908560676E-2</v>
      </c>
      <c r="P33" s="2122" t="str">
        <f>IF(C31=0,"",IF(C33="","Skriv belopp eller 0 i kol. C",IF(SUM(D33+E33)&gt;C33,"Därav-kol. D+E &gt; kol. C",IF(I33&gt;H33,"Därav-kol. I &gt; kol. H",IF(AND(O33&gt;-3%,O33&lt;3%),"",IF(AND(K33=0,N33=0),"se frågan till höger",IF(OR(M33&gt;2000,M33&lt;50),"Kommentera riksavvikelsen",IF(OR(O33&gt;250%,O33&lt;-100%),"Kommentera förändringen",""))))))))</f>
        <v/>
      </c>
      <c r="Q33" s="1995">
        <v>2685306</v>
      </c>
      <c r="R33" s="1225" t="s">
        <v>1268</v>
      </c>
      <c r="S33" s="286"/>
      <c r="T33" s="2787"/>
      <c r="U33" s="2787"/>
      <c r="V33" s="2787"/>
      <c r="W33" s="287"/>
    </row>
    <row r="34" spans="1:23" ht="12.75">
      <c r="A34" s="1195">
        <v>5133</v>
      </c>
      <c r="B34" s="1196" t="s">
        <v>644</v>
      </c>
      <c r="C34" s="293">
        <v>18081</v>
      </c>
      <c r="D34" s="141">
        <v>8914</v>
      </c>
      <c r="E34" s="141">
        <v>3145</v>
      </c>
      <c r="F34" s="141">
        <v>6</v>
      </c>
      <c r="G34" s="141">
        <v>12</v>
      </c>
      <c r="H34" s="141">
        <v>6721</v>
      </c>
      <c r="I34" s="141">
        <v>7</v>
      </c>
      <c r="J34" s="293">
        <v>323</v>
      </c>
      <c r="K34" s="1221">
        <f>C34-I34-J34</f>
        <v>17751</v>
      </c>
      <c r="L34" s="1857">
        <f t="shared" si="7"/>
        <v>11019</v>
      </c>
      <c r="M34" s="1205">
        <f>IF(C34&gt;0,K34*1000000/Q34,"")</f>
        <v>1754.0094396952168</v>
      </c>
      <c r="N34" s="1205">
        <v>1747.4469875548677</v>
      </c>
      <c r="O34" s="1203">
        <f>IF(ISERROR((M34-N34)/N34),"",((M34-N34)/N34))</f>
        <v>3.7554513453547443E-3</v>
      </c>
      <c r="P34" s="2122" t="str">
        <f>IF(C31=0,"",IF(C34="","Skriv belopp eller 0 i kol. C",IF(SUM(D34+E34)&gt;C34,"Därav-kol. D+E &gt; kol. C",IF(I34&gt;H34,"Därav-kol. I &gt; kol. H",IF(AND(O34&gt;-3%,O34&lt;3%),"",IF(AND(K34=0,N34=0),"se frågan till höger",IF(OR(M34&gt;5000,M34&lt;700),"Kommentera riksavvikelsen",IF(OR(O34&gt;30%,O34&lt;-15%),"Kommentera förändringen",""))))))))</f>
        <v/>
      </c>
      <c r="Q34" s="1995">
        <v>10120242</v>
      </c>
      <c r="R34" s="1225" t="s">
        <v>536</v>
      </c>
      <c r="S34" s="286"/>
      <c r="T34" s="2787"/>
      <c r="U34" s="2787"/>
      <c r="V34" s="2787"/>
      <c r="W34" s="287"/>
    </row>
    <row r="35" spans="1:23" ht="12.75">
      <c r="A35" s="1195">
        <v>5135</v>
      </c>
      <c r="B35" s="1184" t="s">
        <v>162</v>
      </c>
      <c r="C35" s="293">
        <v>9157</v>
      </c>
      <c r="D35" s="141">
        <v>4509</v>
      </c>
      <c r="E35" s="294">
        <v>1548</v>
      </c>
      <c r="F35" s="294">
        <v>29</v>
      </c>
      <c r="G35" s="294">
        <v>3</v>
      </c>
      <c r="H35" s="294">
        <v>404</v>
      </c>
      <c r="I35" s="294">
        <v>42</v>
      </c>
      <c r="J35" s="294">
        <v>973</v>
      </c>
      <c r="K35" s="1221">
        <f>C35-I35-J35</f>
        <v>8142</v>
      </c>
      <c r="L35" s="1857">
        <f t="shared" si="7"/>
        <v>7748</v>
      </c>
      <c r="M35" s="1205">
        <f>IF(C35&gt;0,K35*1000000/Q35,"")</f>
        <v>1499.7817193149854</v>
      </c>
      <c r="N35" s="1205">
        <v>1439.6515908951542</v>
      </c>
      <c r="O35" s="1203">
        <f>IF(ISERROR((M35-N35)/N35),"",((M35-N35)/N35))</f>
        <v>4.1767139216262142E-2</v>
      </c>
      <c r="P35" s="2122" t="str">
        <f>IF(C31=0,"",IF(C35="","Skriv belopp eller 0 i kol. C",IF(SUM(D35+E35)&gt;C35,"Därav-kol. D+E &gt; kol. C",IF(I35&gt;H35,"Därav-kol. I &gt; kol. H",IF(AND(O35&gt;-3%,O35&lt;3%),"",IF(AND(K35=0,N35=0),"se frågan till höger",IF(OR(M35&gt;2000,M35&lt;400),"Kommentera riksavvikelsen",IF(OR(O35&gt;50%,O35&lt;-20%),"Kommentera förändringen",""))))))))</f>
        <v/>
      </c>
      <c r="Q35" s="1995">
        <v>5428790</v>
      </c>
      <c r="R35" s="1225" t="s">
        <v>1269</v>
      </c>
      <c r="S35" s="286"/>
      <c r="T35" s="2787"/>
      <c r="U35" s="2787"/>
      <c r="V35" s="2787"/>
      <c r="W35" s="287"/>
    </row>
    <row r="36" spans="1:23" ht="12.75">
      <c r="A36" s="1195">
        <v>5139</v>
      </c>
      <c r="B36" s="1184" t="s">
        <v>163</v>
      </c>
      <c r="C36" s="293">
        <v>5616</v>
      </c>
      <c r="D36" s="141">
        <v>3322</v>
      </c>
      <c r="E36" s="141">
        <v>702</v>
      </c>
      <c r="F36" s="141">
        <v>25</v>
      </c>
      <c r="G36" s="141">
        <v>5</v>
      </c>
      <c r="H36" s="141">
        <v>195</v>
      </c>
      <c r="I36" s="141">
        <v>88</v>
      </c>
      <c r="J36" s="141">
        <v>589</v>
      </c>
      <c r="K36" s="1221">
        <f>C36-I36-J36</f>
        <v>4939</v>
      </c>
      <c r="L36" s="1849">
        <f t="shared" si="7"/>
        <v>4802</v>
      </c>
      <c r="M36" s="1209"/>
      <c r="N36" s="1207"/>
      <c r="O36" s="1207"/>
      <c r="P36" s="2595" t="str">
        <f>IF(C31=0,"",IF(C36="","Skriv belopp eller 0 i kol. C",IF(K36&lt;0,"Kontrollera nyckeltalet",IF(SUM(D36+E36)&gt;C36,"Därav-kol. D+E &gt; kol. C",IF(I36&gt;H36,"Därav-kol. I &gt; kol. H","")))))</f>
        <v/>
      </c>
      <c r="Q36" s="2108" t="str">
        <f>"På minst en delv-ht inom v-het 513 redovisas varken detta år eller året innan lämnat några kostnader. Har kommunen inte denna/dessa verksamhet(er)? Lämna förklarande kommentar"</f>
        <v>På minst en delv-ht inom v-het 513 redovisas varken detta år eller året innan lämnat några kostnader. Har kommunen inte denna/dessa verksamhet(er)? Lämna förklarande kommentar</v>
      </c>
      <c r="R36" s="2801" t="str">
        <f>"För minst en delv-ht inom v-het 513 redovisas varken detta år eller året innan några kostnader. Har kommunen inte verksamheten(-erna)? Lämna förklarande kommentar"</f>
        <v>För minst en delv-ht inom v-het 513 redovisas varken detta år eller året innan några kostnader. Har kommunen inte verksamheten(-erna)? Lämna förklarande kommentar</v>
      </c>
      <c r="S36" s="286"/>
      <c r="T36" s="287"/>
      <c r="U36" s="287"/>
      <c r="V36" s="287"/>
      <c r="W36" s="287"/>
    </row>
    <row r="37" spans="1:23" ht="17.25" customHeight="1">
      <c r="A37" s="1186">
        <v>51399</v>
      </c>
      <c r="B37" s="1187" t="s">
        <v>645</v>
      </c>
      <c r="C37" s="333">
        <f t="shared" ref="C37:J37" si="8">SUM(C32:C36)</f>
        <v>63120</v>
      </c>
      <c r="D37" s="333">
        <f>SUM(D32:D36)</f>
        <v>34370</v>
      </c>
      <c r="E37" s="333">
        <f t="shared" si="8"/>
        <v>11665</v>
      </c>
      <c r="F37" s="333">
        <f t="shared" si="8"/>
        <v>118</v>
      </c>
      <c r="G37" s="333">
        <f t="shared" si="8"/>
        <v>1189</v>
      </c>
      <c r="H37" s="333">
        <f t="shared" si="8"/>
        <v>8245</v>
      </c>
      <c r="I37" s="333">
        <f t="shared" si="8"/>
        <v>248</v>
      </c>
      <c r="J37" s="334">
        <f t="shared" si="8"/>
        <v>3635</v>
      </c>
      <c r="K37" s="1209"/>
      <c r="L37" s="1210"/>
      <c r="M37" s="1210"/>
      <c r="N37" s="1210"/>
      <c r="O37" s="1210"/>
      <c r="P37" s="2019"/>
      <c r="Q37" s="2109"/>
      <c r="R37" s="2802"/>
      <c r="S37" s="288"/>
      <c r="T37" s="287"/>
      <c r="U37" s="287"/>
      <c r="V37" s="287"/>
      <c r="W37" s="287"/>
    </row>
    <row r="38" spans="1:23" ht="13.5" thickBot="1">
      <c r="A38" s="1188"/>
      <c r="B38" s="1777"/>
      <c r="C38" s="1777"/>
      <c r="D38" s="2519"/>
      <c r="E38" s="1850"/>
      <c r="F38" s="1850"/>
      <c r="G38" s="2520"/>
      <c r="H38" s="1214"/>
      <c r="I38" s="1850"/>
      <c r="J38" s="1850"/>
      <c r="K38" s="1211"/>
      <c r="L38" s="1850"/>
      <c r="M38" s="1212"/>
      <c r="N38" s="1212"/>
      <c r="O38" s="1212"/>
      <c r="P38" s="1213" t="str">
        <f>IF(OR(C38&gt;5,C38&lt;-5),"Diff Bruttokostnad",IF(OR(D38&gt;5,E38&gt;5,D38&lt;-5,E38&lt;-5),"Diff Därav personalkostn. eller Därav köp av huvudv-het",IF(OR(F38&gt;5,F38&lt;-5),"Diff Taxor och avgifter",IF(OR(G38&gt;5,G38&lt;-5),"Diff Externa hyror",IF(OR(H38&gt;5,H38&lt;-5),"Diff Övriga externa intäkter",IF(OR(I38&gt;5,I38&lt;-5),"Diff Därav försäljning",IF(OR(J38&gt;5,J38&lt;-5),"Diff Interna intäkter","")))))))</f>
        <v/>
      </c>
      <c r="Q38" s="2105"/>
      <c r="R38" s="2803"/>
      <c r="S38" s="288"/>
      <c r="T38" s="287"/>
      <c r="U38" s="287"/>
      <c r="V38" s="287"/>
      <c r="W38" s="287"/>
    </row>
    <row r="39" spans="1:23" ht="12.75">
      <c r="A39" s="289"/>
      <c r="B39" s="314" t="s">
        <v>648</v>
      </c>
      <c r="C39" s="314"/>
      <c r="D39" s="314"/>
      <c r="E39" s="314"/>
      <c r="F39" s="314"/>
      <c r="G39" s="314"/>
      <c r="H39" s="314"/>
      <c r="I39" s="314"/>
      <c r="J39" s="1914"/>
      <c r="K39" s="1914"/>
      <c r="L39" s="1914"/>
      <c r="M39" s="1914"/>
      <c r="N39" s="1914"/>
      <c r="O39" s="1915"/>
      <c r="P39" s="1948"/>
      <c r="Q39" s="1914"/>
      <c r="R39" s="288"/>
      <c r="S39" s="287"/>
      <c r="T39" s="287"/>
      <c r="U39" s="287"/>
      <c r="V39" s="287"/>
    </row>
    <row r="40" spans="1:23" ht="12.75">
      <c r="B40" s="314" t="s">
        <v>646</v>
      </c>
      <c r="C40" s="315"/>
      <c r="D40" s="315"/>
      <c r="E40" s="315"/>
      <c r="F40" s="315"/>
      <c r="G40" s="316"/>
      <c r="H40" s="316"/>
      <c r="I40" s="316"/>
      <c r="J40" s="316"/>
      <c r="K40" s="289"/>
      <c r="L40" s="289"/>
      <c r="M40" s="289"/>
      <c r="N40" s="289"/>
    </row>
    <row r="41" spans="1:23" ht="12.75">
      <c r="B41" s="1226" t="s">
        <v>167</v>
      </c>
      <c r="C41" s="1227"/>
      <c r="D41" s="1227"/>
      <c r="E41" s="1228"/>
      <c r="F41" s="1229"/>
      <c r="G41" s="143">
        <f>'Verks int o kostn'!D20</f>
        <v>6399</v>
      </c>
      <c r="H41" s="2123" t="str">
        <f>IF(C31=0,"",IF(G41=0,"Belopp saknas",IF(OR(G41&lt;100,G41&gt;H34),"Ersättningen till FK ska ovan ingå på rad 5133 kol. H","")))</f>
        <v/>
      </c>
      <c r="I41" s="289"/>
      <c r="J41" s="289"/>
      <c r="K41" s="289"/>
      <c r="L41" s="289"/>
      <c r="M41" s="289"/>
      <c r="N41" s="289"/>
    </row>
    <row r="42" spans="1:23" ht="12.75">
      <c r="B42" s="1226" t="s">
        <v>168</v>
      </c>
      <c r="C42" s="1227"/>
      <c r="D42" s="1227"/>
      <c r="E42" s="1228"/>
      <c r="F42" s="1229"/>
      <c r="G42" s="143">
        <f>'Verks int o kostn'!I41</f>
        <v>4649</v>
      </c>
      <c r="H42" s="2123" t="str">
        <f>IF(C31=0,"",IF(G42=0,"Belopp saknas",IF(OR(G42&lt;100,G42&gt;C34),"Ersättningen till FK ska ovan ingå på rad 5133, kol C","")))</f>
        <v/>
      </c>
      <c r="I42" s="289"/>
      <c r="J42" s="289"/>
      <c r="K42" s="289"/>
      <c r="L42" s="289"/>
      <c r="M42" s="289"/>
      <c r="N42" s="289"/>
    </row>
    <row r="43" spans="1:23" ht="12.75">
      <c r="A43" s="442">
        <v>51398</v>
      </c>
      <c r="B43" s="1230" t="s">
        <v>195</v>
      </c>
      <c r="C43" s="1227"/>
      <c r="D43" s="1227"/>
      <c r="E43" s="1228"/>
      <c r="F43" s="1229"/>
      <c r="G43" s="141">
        <v>10</v>
      </c>
      <c r="H43" s="330"/>
      <c r="I43" s="289"/>
      <c r="J43" s="289"/>
      <c r="K43" s="289"/>
      <c r="L43" s="289"/>
      <c r="M43" s="289"/>
      <c r="N43" s="289"/>
    </row>
    <row r="44" spans="1:23" ht="13.5" thickBot="1">
      <c r="E44" s="435" t="s">
        <v>776</v>
      </c>
      <c r="F44" s="435" t="s">
        <v>777</v>
      </c>
      <c r="G44" s="435" t="s">
        <v>778</v>
      </c>
      <c r="H44" s="435" t="s">
        <v>779</v>
      </c>
      <c r="I44" s="435" t="s">
        <v>780</v>
      </c>
      <c r="J44" s="435" t="s">
        <v>781</v>
      </c>
      <c r="K44" s="435" t="s">
        <v>782</v>
      </c>
      <c r="L44" s="435" t="s">
        <v>783</v>
      </c>
      <c r="M44" s="435" t="s">
        <v>784</v>
      </c>
    </row>
    <row r="45" spans="1:23" ht="14.25" customHeight="1">
      <c r="A45" s="2765" t="s">
        <v>897</v>
      </c>
      <c r="B45" s="2766"/>
      <c r="C45" s="1371" t="s">
        <v>859</v>
      </c>
      <c r="D45" s="2509"/>
      <c r="E45" s="1154" t="s">
        <v>201</v>
      </c>
      <c r="F45" s="1154" t="s">
        <v>509</v>
      </c>
      <c r="G45" s="1154" t="s">
        <v>202</v>
      </c>
      <c r="H45" s="1154" t="s">
        <v>128</v>
      </c>
      <c r="I45" s="1231" t="s">
        <v>472</v>
      </c>
      <c r="J45" s="1154" t="s">
        <v>130</v>
      </c>
      <c r="K45" s="2769" t="s">
        <v>912</v>
      </c>
      <c r="L45" s="1154" t="s">
        <v>129</v>
      </c>
      <c r="M45" s="1154" t="s">
        <v>154</v>
      </c>
      <c r="N45" s="1157"/>
      <c r="O45" s="1156"/>
      <c r="P45" s="1232"/>
      <c r="R45" s="295"/>
      <c r="S45" s="287"/>
      <c r="T45" s="287"/>
      <c r="U45" s="287"/>
    </row>
    <row r="46" spans="1:23" ht="12.75">
      <c r="A46" s="2767"/>
      <c r="B46" s="2768"/>
      <c r="C46" s="1436" t="s">
        <v>882</v>
      </c>
      <c r="D46" s="2510"/>
      <c r="E46" s="1233" t="s">
        <v>131</v>
      </c>
      <c r="F46" s="1233" t="s">
        <v>200</v>
      </c>
      <c r="G46" s="1233" t="s">
        <v>132</v>
      </c>
      <c r="H46" s="1233"/>
      <c r="I46" s="1159"/>
      <c r="J46" s="1233" t="s">
        <v>134</v>
      </c>
      <c r="K46" s="2770"/>
      <c r="L46" s="1233" t="s">
        <v>133</v>
      </c>
      <c r="M46" s="1233"/>
      <c r="N46" s="1168"/>
      <c r="O46" s="1173"/>
      <c r="P46" s="1234"/>
      <c r="R46" s="2787"/>
      <c r="S46" s="2789"/>
      <c r="T46" s="2789"/>
      <c r="U46" s="287"/>
    </row>
    <row r="47" spans="1:23" ht="30" customHeight="1">
      <c r="A47" s="2767"/>
      <c r="B47" s="2768"/>
      <c r="C47" s="1671"/>
      <c r="D47" s="2511"/>
      <c r="E47" s="1672" t="s">
        <v>846</v>
      </c>
      <c r="F47" s="1657" t="s">
        <v>847</v>
      </c>
      <c r="G47" s="1657" t="s">
        <v>848</v>
      </c>
      <c r="H47" s="1657" t="s">
        <v>849</v>
      </c>
      <c r="I47" s="1657" t="s">
        <v>850</v>
      </c>
      <c r="J47" s="1657" t="s">
        <v>851</v>
      </c>
      <c r="K47" s="1657" t="s">
        <v>852</v>
      </c>
      <c r="L47" s="1657" t="s">
        <v>853</v>
      </c>
      <c r="M47" s="1657" t="s">
        <v>854</v>
      </c>
      <c r="N47" s="1168"/>
      <c r="O47" s="1173"/>
      <c r="P47" s="1234"/>
      <c r="R47" s="2789"/>
      <c r="S47" s="2789"/>
      <c r="T47" s="2789"/>
      <c r="U47" s="287"/>
    </row>
    <row r="48" spans="1:23" ht="6.75" customHeight="1">
      <c r="A48" s="1597"/>
      <c r="B48" s="1598"/>
      <c r="C48" s="1673"/>
      <c r="D48" s="2512"/>
      <c r="E48" s="1674"/>
      <c r="F48" s="1674"/>
      <c r="G48" s="1674"/>
      <c r="H48" s="1674"/>
      <c r="I48" s="1675"/>
      <c r="J48" s="1674"/>
      <c r="K48" s="1675"/>
      <c r="L48" s="1674"/>
      <c r="M48" s="1233"/>
      <c r="N48" s="1168"/>
      <c r="O48" s="1173"/>
      <c r="P48" s="1234"/>
      <c r="R48" s="2789"/>
      <c r="S48" s="2789"/>
      <c r="T48" s="2789"/>
      <c r="U48" s="287"/>
    </row>
    <row r="49" spans="1:21" ht="12" customHeight="1">
      <c r="A49" s="1235">
        <v>510</v>
      </c>
      <c r="B49" s="1236" t="s">
        <v>532</v>
      </c>
      <c r="C49" s="436">
        <f>E12</f>
        <v>20047</v>
      </c>
      <c r="D49" s="2513"/>
      <c r="E49" s="436">
        <f>Motpart!D27</f>
        <v>1699</v>
      </c>
      <c r="F49" s="436">
        <f>Motpart!E27</f>
        <v>329</v>
      </c>
      <c r="G49" s="436">
        <f>Motpart!F27</f>
        <v>16777</v>
      </c>
      <c r="H49" s="436">
        <f>Motpart!G27</f>
        <v>150</v>
      </c>
      <c r="I49" s="436">
        <f>Motpart!H27</f>
        <v>311</v>
      </c>
      <c r="J49" s="436">
        <f>Motpart!I27</f>
        <v>12</v>
      </c>
      <c r="K49" s="2013"/>
      <c r="L49" s="436">
        <f>Motpart!K27</f>
        <v>768</v>
      </c>
      <c r="M49" s="440">
        <f>Motpart!L27</f>
        <v>1</v>
      </c>
      <c r="N49" s="2124" t="str">
        <f>IF(SUM(E50:E52)&gt;E49+2,ROUND(SUM(E50:E52)-E49,0)&amp; " tkr för mycket fördelat i kolumn Föreningar, stiftelser",IF(SUM(F50:F52)&gt;F49+2,ROUND(SUM(F50:F52)-F49,0)&amp; " tkr för mycket fördelat i kolumn Kommunägda företag",IF(SUM(G50:G52)&gt;G49+2,ROUND(SUM(G50:G52)-G49,0)&amp; " tkr för mycket fördelat i kolumn Privata företag",IF(SUM(H50:H52)&gt;H49+2,ROUND(SUM(H50:H52)-H49,0)&amp; " tkr för mycket fördelat i kolumn Kommuner",IF(SUM(I50:I52)&gt;I49+2,ROUND(SUM(I50:I52)-I49,0)&amp; " tkr för mycket fördelat i kolumn Landsting"," ")))))</f>
        <v xml:space="preserve"> </v>
      </c>
      <c r="O49" s="338"/>
      <c r="P49" s="342"/>
      <c r="R49" s="287"/>
      <c r="S49" s="287"/>
      <c r="T49" s="287"/>
      <c r="U49" s="287"/>
    </row>
    <row r="50" spans="1:21" ht="12.75">
      <c r="A50" s="1195">
        <v>5101</v>
      </c>
      <c r="B50" s="1237" t="s">
        <v>457</v>
      </c>
      <c r="C50" s="437">
        <f>E13</f>
        <v>6436</v>
      </c>
      <c r="D50" s="2514"/>
      <c r="E50" s="141">
        <v>190</v>
      </c>
      <c r="F50" s="141">
        <v>131</v>
      </c>
      <c r="G50" s="141">
        <v>5790</v>
      </c>
      <c r="H50" s="141">
        <v>52</v>
      </c>
      <c r="I50" s="141">
        <v>44</v>
      </c>
      <c r="J50" s="141">
        <v>1</v>
      </c>
      <c r="K50" s="2014">
        <v>0</v>
      </c>
      <c r="L50" s="141">
        <v>228</v>
      </c>
      <c r="M50" s="337">
        <v>0</v>
      </c>
      <c r="N50" s="2125" t="str">
        <f>IF(SUM(J50:J52)&gt;J49+2,ROUND(SUM(J50:J52)-J49,0)&amp;" tkr för mycket fördelat i kolumn Staten och staliga myndigheter",IF(SUM(L50:L52)&gt;L49+2,ROUND(SUM(L50:L52)-L49,0)&amp; " tkr för mycket fördelat i kolumn Kommunalförbund",IF(SUM(M50:M52)&gt;M49+2,ROUND(SUM(M50:M52)-M49,0)&amp; " tkr för mycket fördelat i kolumn Utlandet"," ")))</f>
        <v xml:space="preserve"> </v>
      </c>
      <c r="O50" s="339"/>
      <c r="P50" s="343"/>
      <c r="R50" s="287"/>
      <c r="S50" s="287"/>
      <c r="T50" s="287"/>
      <c r="U50" s="287"/>
    </row>
    <row r="51" spans="1:21" ht="12.75">
      <c r="A51" s="1195">
        <v>5103</v>
      </c>
      <c r="B51" s="1238" t="s">
        <v>456</v>
      </c>
      <c r="C51" s="437">
        <f>E14</f>
        <v>860</v>
      </c>
      <c r="D51" s="2515"/>
      <c r="E51" s="141">
        <v>41</v>
      </c>
      <c r="F51" s="141">
        <v>22</v>
      </c>
      <c r="G51" s="141">
        <v>573</v>
      </c>
      <c r="H51" s="141">
        <v>16</v>
      </c>
      <c r="I51" s="141">
        <v>171</v>
      </c>
      <c r="J51" s="141">
        <v>5</v>
      </c>
      <c r="K51" s="2014">
        <v>0</v>
      </c>
      <c r="L51" s="141">
        <v>32</v>
      </c>
      <c r="M51" s="324">
        <v>0</v>
      </c>
      <c r="N51" s="2126"/>
      <c r="O51" s="340"/>
      <c r="P51" s="343"/>
      <c r="R51" s="287"/>
      <c r="S51" s="287"/>
      <c r="T51" s="287"/>
      <c r="U51" s="287"/>
    </row>
    <row r="52" spans="1:21" ht="12.75">
      <c r="A52" s="1239">
        <v>5105</v>
      </c>
      <c r="B52" s="1180" t="s">
        <v>496</v>
      </c>
      <c r="C52" s="438">
        <f>E16</f>
        <v>12461</v>
      </c>
      <c r="D52" s="2516"/>
      <c r="E52" s="323">
        <v>1447</v>
      </c>
      <c r="F52" s="323">
        <v>158</v>
      </c>
      <c r="G52" s="323">
        <v>10242</v>
      </c>
      <c r="H52" s="323">
        <v>68</v>
      </c>
      <c r="I52" s="323">
        <v>57</v>
      </c>
      <c r="J52" s="323">
        <v>5</v>
      </c>
      <c r="K52" s="2015">
        <v>0</v>
      </c>
      <c r="L52" s="323">
        <v>483</v>
      </c>
      <c r="M52" s="325">
        <v>1</v>
      </c>
      <c r="N52" s="2127"/>
      <c r="O52" s="515"/>
      <c r="P52" s="516"/>
    </row>
    <row r="53" spans="1:21" ht="12.75">
      <c r="A53" s="1240">
        <v>520</v>
      </c>
      <c r="B53" s="1176" t="s">
        <v>466</v>
      </c>
      <c r="C53" s="436">
        <f>E21</f>
        <v>3405</v>
      </c>
      <c r="D53" s="2514"/>
      <c r="E53" s="436">
        <f>Motpart!D28</f>
        <v>230</v>
      </c>
      <c r="F53" s="436">
        <f>Motpart!E28</f>
        <v>22</v>
      </c>
      <c r="G53" s="436">
        <f>Motpart!F28</f>
        <v>3003</v>
      </c>
      <c r="H53" s="436">
        <f>Motpart!G28</f>
        <v>48</v>
      </c>
      <c r="I53" s="436">
        <f>Motpart!H28</f>
        <v>26</v>
      </c>
      <c r="J53" s="436">
        <f>Motpart!I28</f>
        <v>4</v>
      </c>
      <c r="K53" s="2013"/>
      <c r="L53" s="436">
        <f>Motpart!K28</f>
        <v>72</v>
      </c>
      <c r="M53" s="436">
        <f>Motpart!L28</f>
        <v>0</v>
      </c>
      <c r="N53" s="2128" t="str">
        <f>IF(SUM(E54:E56)&gt;E53+2,ROUND(SUM(E54:E56)-E53,0)&amp; " tkr för mycket fördelat i kolumn Föreningar, stiftelser",IF(SUM(F54:F56)&gt;F53+2,ROUND(SUM(F54:F56)-F53,0)&amp; " tkr för mycket fördelat i kolumn Kommunägda företag",IF(SUM(G54:G56)&gt;G53+2,ROUND(SUM(G54:G56)-G53,0)&amp; " tkr för mycket fördelat i kolumn Privata företag",IF(SUM(H54:H56)&gt;H53+2,ROUND(SUM(H54:H56)-H53,0)&amp; " tkr för mycket fördelat i kolumn Kommuner",IF(SUM(I54:I56)&gt;I53+2,ROUND(SUM(I54:I56)-I53,0)&amp; " tkr för mycket fördelat i kolumn Landsting"," ")))))</f>
        <v xml:space="preserve"> </v>
      </c>
      <c r="O53" s="338"/>
      <c r="P53" s="342"/>
    </row>
    <row r="54" spans="1:21" ht="12.75">
      <c r="A54" s="1195">
        <v>5201</v>
      </c>
      <c r="B54" s="1237" t="s">
        <v>459</v>
      </c>
      <c r="C54" s="437">
        <f>E22</f>
        <v>756</v>
      </c>
      <c r="D54" s="2515"/>
      <c r="E54" s="141">
        <v>16</v>
      </c>
      <c r="F54" s="141">
        <v>11</v>
      </c>
      <c r="G54" s="141">
        <v>708</v>
      </c>
      <c r="H54" s="141">
        <v>5</v>
      </c>
      <c r="I54" s="141">
        <v>3</v>
      </c>
      <c r="J54" s="141">
        <v>0</v>
      </c>
      <c r="K54" s="2014">
        <v>0</v>
      </c>
      <c r="L54" s="141">
        <v>12</v>
      </c>
      <c r="M54" s="324">
        <v>0</v>
      </c>
      <c r="N54" s="2129" t="str">
        <f>IF(SUM(J54:J56)&gt;J53+2,ROUND(SUM(J54:J56)-J53,0)&amp;" tkr för mycket fördelat i kolumn Staten och staliga myndigheter",IF(SUM(L54:L56)&gt;L53+2,ROUND(SUM(L54:L56)-L53,0)&amp;" tkr för mycket fördelat i kolumn Kommunalförbund",IF(SUM(M54:M56)&gt;M53+2,ROUND(SUM(M54:M56)-M53,0)&amp;" tkr för mycket fördelat i kolumn Utlandet"," ")))</f>
        <v xml:space="preserve"> </v>
      </c>
      <c r="O54" s="340"/>
      <c r="P54" s="343"/>
    </row>
    <row r="55" spans="1:21" ht="12.75">
      <c r="A55" s="1195">
        <v>5203</v>
      </c>
      <c r="B55" s="1237" t="s">
        <v>456</v>
      </c>
      <c r="C55" s="437">
        <f>E24</f>
        <v>307</v>
      </c>
      <c r="D55" s="2515"/>
      <c r="E55" s="141">
        <v>27</v>
      </c>
      <c r="F55" s="141">
        <v>0</v>
      </c>
      <c r="G55" s="141">
        <v>270</v>
      </c>
      <c r="H55" s="141">
        <v>2</v>
      </c>
      <c r="I55" s="141">
        <v>7</v>
      </c>
      <c r="J55" s="141">
        <v>0</v>
      </c>
      <c r="K55" s="2014">
        <v>0</v>
      </c>
      <c r="L55" s="141">
        <v>1</v>
      </c>
      <c r="M55" s="324">
        <v>0</v>
      </c>
      <c r="N55" s="2126"/>
      <c r="O55" s="340"/>
      <c r="P55" s="343"/>
    </row>
    <row r="56" spans="1:21" ht="12.75">
      <c r="A56" s="1241">
        <v>5205</v>
      </c>
      <c r="B56" s="1171" t="s">
        <v>496</v>
      </c>
      <c r="C56" s="438">
        <f>E26</f>
        <v>1942</v>
      </c>
      <c r="D56" s="2517"/>
      <c r="E56" s="141">
        <v>157</v>
      </c>
      <c r="F56" s="141">
        <v>1</v>
      </c>
      <c r="G56" s="141">
        <v>1721</v>
      </c>
      <c r="H56" s="141">
        <v>24</v>
      </c>
      <c r="I56" s="141">
        <v>6</v>
      </c>
      <c r="J56" s="141">
        <v>2</v>
      </c>
      <c r="K56" s="2014">
        <v>0</v>
      </c>
      <c r="L56" s="141">
        <v>31</v>
      </c>
      <c r="M56" s="325">
        <v>0</v>
      </c>
      <c r="N56" s="2127"/>
      <c r="O56" s="515"/>
      <c r="P56" s="516"/>
    </row>
    <row r="57" spans="1:21" ht="12.75">
      <c r="A57" s="1242">
        <v>513</v>
      </c>
      <c r="B57" s="1243" t="s">
        <v>465</v>
      </c>
      <c r="C57" s="436">
        <f>E31</f>
        <v>11665</v>
      </c>
      <c r="D57" s="2513"/>
      <c r="E57" s="436">
        <f>Motpart!D29</f>
        <v>1326</v>
      </c>
      <c r="F57" s="436">
        <f>Motpart!E29</f>
        <v>207</v>
      </c>
      <c r="G57" s="436">
        <f>Motpart!F29</f>
        <v>9347</v>
      </c>
      <c r="H57" s="436">
        <f>Motpart!G29</f>
        <v>309</v>
      </c>
      <c r="I57" s="436">
        <f>Motpart!H29</f>
        <v>100</v>
      </c>
      <c r="J57" s="436">
        <f>Motpart!I29</f>
        <v>28</v>
      </c>
      <c r="K57" s="2013"/>
      <c r="L57" s="436">
        <f>Motpart!K29</f>
        <v>347</v>
      </c>
      <c r="M57" s="436">
        <f>Motpart!L29</f>
        <v>1</v>
      </c>
      <c r="N57" s="2130" t="str">
        <f>IF(E58&gt;E57+1,ROUND(E58-E57,0)&amp; " tkr för mycket fördelat i kolumn Föreningar, stiftelser",IF(F58&gt;F57+1,ROUND(F58-F57,0)&amp; " tkr för mycket fördelat i kolumn Kommunägda företag",IF(G58&gt;G57+1,ROUND(G58-G57,0)&amp; " tkr för mycket fördelat i kolumn Privata företag",IF(H58&gt;H57+1,ROUND(H58-H57,0)&amp; " tkr för mycket fördelat i kolumn Kommuner",IF(I58&gt;I57+1,ROUND(I58-I57,0)&amp; " tkr för mycket fördelat i kolumn Landsting"," ")))))</f>
        <v xml:space="preserve"> </v>
      </c>
      <c r="O57" s="517"/>
      <c r="P57" s="342"/>
    </row>
    <row r="58" spans="1:21" ht="13.5" thickBot="1">
      <c r="A58" s="1188">
        <v>5131</v>
      </c>
      <c r="B58" s="1244" t="s">
        <v>199</v>
      </c>
      <c r="C58" s="439">
        <f>E32</f>
        <v>5154</v>
      </c>
      <c r="D58" s="2518"/>
      <c r="E58" s="326">
        <v>670</v>
      </c>
      <c r="F58" s="326">
        <v>97</v>
      </c>
      <c r="G58" s="326">
        <v>4130</v>
      </c>
      <c r="H58" s="326">
        <v>63</v>
      </c>
      <c r="I58" s="326">
        <v>20</v>
      </c>
      <c r="J58" s="326">
        <v>7</v>
      </c>
      <c r="K58" s="2016">
        <v>0</v>
      </c>
      <c r="L58" s="326">
        <v>166</v>
      </c>
      <c r="M58" s="327">
        <v>0</v>
      </c>
      <c r="N58" s="2131" t="str">
        <f>IF(J58&gt;J57+1,ROUND(J58-J57,0)&amp;" tkr för mycket fördelat i kolumn Staten och staliga myndigheter",IF(L58&gt;L57+1,ROUND(L58-L57,0)&amp;" tkr för mycket fördelat i kolumn Kommunalförbund",IF(M58&gt;M57+1,ROUND(M58-M57,0)&amp;" tkr för mycket fördelat i kolumn Utlandet"," ")))</f>
        <v xml:space="preserve"> </v>
      </c>
      <c r="O58" s="341"/>
      <c r="P58" s="344"/>
    </row>
    <row r="59" spans="1:21" ht="12.75">
      <c r="D59" s="345" t="str">
        <f>IF(OR(COUNTIF(D49:D58,"&lt;-5")&gt;0,(COUNTIF(D49:D58,"&gt;5")&gt;0)),"Rätta differenserna i kolumn D","")</f>
        <v/>
      </c>
      <c r="N59" s="328"/>
      <c r="O59" s="329"/>
    </row>
    <row r="60" spans="1:21" ht="12.75"/>
  </sheetData>
  <customSheetViews>
    <customSheetView guid="{27C9E95B-0E2B-454F-B637-1CECC9579A10}" showGridLines="0" fitToPage="1" hiddenRows="1" hiddenColumns="1" showRuler="0">
      <selection activeCell="J30" sqref="J30"/>
      <pageMargins left="0.31496062992125984" right="0.6692913385826772" top="0.74803149606299213" bottom="0.15748031496062992" header="0.31496062992125984" footer="0.31496062992125984"/>
      <pageSetup paperSize="9" scale="56" orientation="landscape" r:id="rId1"/>
      <headerFooter alignWithMargins="0">
        <oddHeader>&amp;L&amp;8Statistiska Centralbyrån
Offentlig ekonomi&amp;R&amp;P</oddHeader>
      </headerFooter>
    </customSheetView>
    <customSheetView guid="{99FBDEB7-DD08-4F57-81F4-3C180403E153}" showGridLines="0" fitToPage="1" hiddenRows="1" hiddenColumns="1">
      <selection activeCell="A43" sqref="A43:B47"/>
      <pageMargins left="0.31496062992125984" right="0.6692913385826772" top="0.74803149606299213" bottom="0.15748031496062992" header="0.31496062992125984" footer="0.31496062992125984"/>
      <pageSetup paperSize="9" scale="56" orientation="landscape" r:id="rId2"/>
      <headerFooter>
        <oddHeader>&amp;L&amp;8Statistiska Centralbyrån
Offentlig ekonomi&amp;R&amp;P</oddHeader>
      </headerFooter>
    </customSheetView>
    <customSheetView guid="{97D6DB71-3F4C-4C5F-8C5B-51E3EBF78932}" showPageBreaks="1" showGridLines="0" fitToPage="1" hiddenRows="1" hiddenColumns="1" topLeftCell="A15">
      <selection activeCell="A44" sqref="A44:B48"/>
      <pageMargins left="0.31496062992125984" right="0.6692913385826772" top="0.74803149606299213" bottom="0.15748031496062992" header="0.31496062992125984" footer="0.31496062992125984"/>
      <pageSetup paperSize="9" scale="54" orientation="landscape" r:id="rId3"/>
      <headerFooter>
        <oddHeader>&amp;L&amp;8Statistiska Centralbyrån
Offentlig ekonomi&amp;R&amp;P</oddHeader>
      </headerFooter>
    </customSheetView>
  </customSheetViews>
  <mergeCells count="21">
    <mergeCell ref="O4:O6"/>
    <mergeCell ref="T22:V25"/>
    <mergeCell ref="R46:T48"/>
    <mergeCell ref="Q6:R7"/>
    <mergeCell ref="T12:V15"/>
    <mergeCell ref="T32:V35"/>
    <mergeCell ref="P6:P8"/>
    <mergeCell ref="P9:P11"/>
    <mergeCell ref="R14:R19"/>
    <mergeCell ref="R23:R29"/>
    <mergeCell ref="R36:R38"/>
    <mergeCell ref="A45:B47"/>
    <mergeCell ref="K45:K46"/>
    <mergeCell ref="F6:F7"/>
    <mergeCell ref="G6:G7"/>
    <mergeCell ref="H6:H7"/>
    <mergeCell ref="H9:H11"/>
    <mergeCell ref="E6:E7"/>
    <mergeCell ref="I6:I7"/>
    <mergeCell ref="D6:D7"/>
    <mergeCell ref="D9:D10"/>
  </mergeCells>
  <phoneticPr fontId="95" type="noConversion"/>
  <conditionalFormatting sqref="H34">
    <cfRule type="cellIs" dxfId="26" priority="25" stopIfTrue="1" operator="lessThan">
      <formula>0</formula>
    </cfRule>
    <cfRule type="cellIs" dxfId="25" priority="26" stopIfTrue="1" operator="lessThan">
      <formula>SUM(G41)</formula>
    </cfRule>
  </conditionalFormatting>
  <conditionalFormatting sqref="C34:D34">
    <cfRule type="cellIs" dxfId="24" priority="27" stopIfTrue="1" operator="lessThan">
      <formula>0</formula>
    </cfRule>
    <cfRule type="cellIs" dxfId="23" priority="28" stopIfTrue="1" operator="lessThan">
      <formula>SUM(G42)</formula>
    </cfRule>
  </conditionalFormatting>
  <conditionalFormatting sqref="E58:M58 G43 H35:H36 I32:J36 H32:H33 E32:G36 E50:M52 E54:M56 C13:J18 C22:J28 C32:D33 C35:D36">
    <cfRule type="cellIs" dxfId="22" priority="23" stopIfTrue="1" operator="lessThan">
      <formula>0</formula>
    </cfRule>
  </conditionalFormatting>
  <conditionalFormatting sqref="B20 B30 B38">
    <cfRule type="expression" dxfId="21" priority="86" stopIfTrue="1">
      <formula>OR(C20&gt;5,C20&lt;-5,E20&gt;5,E20&lt;-5,F20&gt;5,F20&lt;-5,G20&gt;5,G20&lt;-5,H20&gt;5,H20&lt;-5,I20&gt;5,I20&lt;-5,J20&gt;5,J20&lt;-5)</formula>
    </cfRule>
  </conditionalFormatting>
  <conditionalFormatting sqref="Q23">
    <cfRule type="expression" dxfId="20" priority="16">
      <formula>IF(C24="","",IF(K24=0,N24=0))</formula>
    </cfRule>
  </conditionalFormatting>
  <conditionalFormatting sqref="R14:R19">
    <cfRule type="expression" dxfId="19" priority="6">
      <formula>IF(C12=0,"",IF(C17&gt;1,"",IF(K17=0,N17=0)))</formula>
    </cfRule>
    <cfRule type="expression" dxfId="18" priority="7">
      <formula>IF(C12=0,"",IF(C16&gt;1,"",IF(K16=0,N16=0)))</formula>
    </cfRule>
    <cfRule type="expression" dxfId="17" priority="8">
      <formula>IF(C12=0,"",IF(C15&gt;1,"",IF(K15=0,N15=0)))</formula>
    </cfRule>
    <cfRule type="expression" dxfId="16" priority="9">
      <formula>IF(C12=0,"",IF(C14&gt;1,"",IF(K14=0,N14=0)))</formula>
    </cfRule>
    <cfRule type="expression" dxfId="15" priority="15">
      <formula>IF(C12=0,"",IF(C13&gt;1,"",IF(K13=0,N13=0)))</formula>
    </cfRule>
  </conditionalFormatting>
  <conditionalFormatting sqref="R36:R38">
    <cfRule type="expression" dxfId="14" priority="2">
      <formula>IF(C31=0,"",IF(C35&gt;1,"",IF(K35=0,N35=0)))</formula>
    </cfRule>
    <cfRule type="expression" dxfId="13" priority="3">
      <formula>IF(C31=0,"",IF(C34&gt;1,"",IF(K34=0,N34=0)))</formula>
    </cfRule>
    <cfRule type="expression" dxfId="12" priority="4">
      <formula>IF(C31=0,"",IF(C33&gt;1,"",IF(K33=0,N33=0)))</formula>
    </cfRule>
    <cfRule type="expression" dxfId="11" priority="5">
      <formula>IF(C31=0,"",IF(C32&gt;1,"",IF(K32=0,N32=0)))</formula>
    </cfRule>
  </conditionalFormatting>
  <conditionalFormatting sqref="R23:R28">
    <cfRule type="expression" dxfId="10" priority="10">
      <formula>IF(C21=0,"",IF(C27&gt;1,"",IF(K27=0,N27=0)))</formula>
    </cfRule>
    <cfRule type="expression" dxfId="9" priority="11">
      <formula>IF(C21=0,"",IF(C26&gt;1,"",IF(K26=0,N26=0)))</formula>
    </cfRule>
    <cfRule type="expression" dxfId="8" priority="12">
      <formula>IF(C21=0,"",IF(C25&gt;1,"",IF(K25=0,N25=0)))</formula>
    </cfRule>
    <cfRule type="expression" dxfId="7" priority="13">
      <formula>IF(C21=0,"",IF(C23&gt;1,"",IF(K23=0,N23=0)))</formula>
    </cfRule>
    <cfRule type="expression" dxfId="6" priority="14">
      <formula>IF(C21=0,"",IF(C22&gt;1,"",IF(K22=0,N22=0)))</formula>
    </cfRule>
  </conditionalFormatting>
  <conditionalFormatting sqref="C38">
    <cfRule type="expression" dxfId="5" priority="1" stopIfTrue="1">
      <formula>OR(D38&gt;5,D38&lt;-5,F38&gt;5,F38&lt;-5,G38&gt;5,G38&lt;-5,H38&gt;5,H38&lt;-5,I38&gt;5,I38&lt;-5,J38&gt;5,J38&lt;-5,K38&gt;5,K38&lt;-5)</formula>
    </cfRule>
  </conditionalFormatting>
  <dataValidations count="2">
    <dataValidation type="decimal" operator="lessThan" allowBlank="1" showInputMessage="1" showErrorMessage="1" error="Beloppen ska vara i 1000 tal kronor" sqref="E58:M58 I29:I30 J29:J31 I21 G43 E50:M56 C32:J36 C22:J28 C13:J20 C29:H31">
      <formula1>99999999</formula1>
    </dataValidation>
    <dataValidation type="decimal" operator="lessThan" allowBlank="1" showInputMessage="1" showErrorMessage="1" error="Beloppet ska vara i 1000 tal kr" sqref="I31">
      <formula1>99999999</formula1>
    </dataValidation>
  </dataValidations>
  <pageMargins left="0.43" right="0.17" top="0.43" bottom="0.15748031496062992" header="0.21" footer="0.31496062992125984"/>
  <pageSetup paperSize="9" scale="70" orientation="landscape" r:id="rId4"/>
  <headerFooter>
    <oddHeader>&amp;L&amp;8Statistiska Centralbyrån
Offentlig ekonomi&amp;R&amp;P</oddHeader>
  </headerFooter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/>
  <dimension ref="A1:S65536"/>
  <sheetViews>
    <sheetView showGridLines="0" zoomScaleNormal="100" workbookViewId="0">
      <pane xSplit="2" ySplit="11" topLeftCell="C12" activePane="bottomRight" state="frozen"/>
      <selection activeCell="I28" sqref="I28"/>
      <selection pane="topRight" activeCell="I28" sqref="I28"/>
      <selection pane="bottomLeft" activeCell="I28" sqref="I28"/>
      <selection pane="bottomRight" activeCell="I28" sqref="I28"/>
    </sheetView>
  </sheetViews>
  <sheetFormatPr defaultColWidth="0" defaultRowHeight="12.75" zeroHeight="1"/>
  <cols>
    <col min="1" max="1" width="5.7109375" style="297" customWidth="1"/>
    <col min="2" max="2" width="34.140625" style="1903" customWidth="1"/>
    <col min="3" max="3" width="9.42578125" style="1903" customWidth="1"/>
    <col min="4" max="4" width="8.7109375" style="1903" customWidth="1"/>
    <col min="5" max="5" width="10.28515625" style="1903" customWidth="1"/>
    <col min="6" max="6" width="10.5703125" style="1903" customWidth="1"/>
    <col min="7" max="7" width="8.7109375" style="1903" customWidth="1"/>
    <col min="8" max="8" width="11.7109375" style="1903" customWidth="1"/>
    <col min="9" max="9" width="10.42578125" style="1903" customWidth="1"/>
    <col min="10" max="10" width="11.42578125" style="1903" customWidth="1"/>
    <col min="11" max="11" width="9.5703125" style="300" customWidth="1"/>
    <col min="12" max="12" width="1.5703125" style="300" customWidth="1"/>
    <col min="13" max="13" width="10.42578125" style="300" customWidth="1"/>
    <col min="14" max="14" width="10.28515625" style="300" customWidth="1"/>
    <col min="15" max="19" width="9.140625" style="300" customWidth="1"/>
    <col min="20" max="16384" width="0" style="300" hidden="1"/>
  </cols>
  <sheetData>
    <row r="1" spans="1:19" s="1870" customFormat="1" ht="21.75">
      <c r="A1" s="82" t="str">
        <f>"Specificering individ- och familjeomsorg "&amp;År&amp;", miljoner kronor"</f>
        <v>Specificering individ- och familjeomsorg 2017, miljoner kronor</v>
      </c>
      <c r="B1" s="83"/>
      <c r="C1" s="83"/>
      <c r="D1" s="83"/>
      <c r="E1" s="298"/>
      <c r="F1" s="298"/>
      <c r="G1" s="298"/>
      <c r="H1" s="298"/>
      <c r="I1" s="527" t="s">
        <v>471</v>
      </c>
      <c r="J1" s="528" t="str">
        <f>'Kn Information'!A2</f>
        <v>RIKSTOTAL</v>
      </c>
      <c r="K1" s="298"/>
      <c r="L1" s="298"/>
      <c r="M1" s="298"/>
      <c r="N1" s="298"/>
      <c r="O1" s="298"/>
      <c r="P1" s="298"/>
      <c r="Q1" s="298"/>
      <c r="R1" s="298"/>
      <c r="S1" s="298"/>
    </row>
    <row r="2" spans="1:19" s="299" customFormat="1" ht="12.75" customHeight="1">
      <c r="A2" s="1293"/>
      <c r="B2" s="1871"/>
      <c r="C2" s="76"/>
      <c r="D2" s="76"/>
      <c r="O2" s="75"/>
    </row>
    <row r="3" spans="1:19" s="1870" customFormat="1" ht="12.75" customHeight="1" thickBot="1">
      <c r="A3" s="262"/>
      <c r="B3" s="206"/>
      <c r="C3" s="206" t="s">
        <v>650</v>
      </c>
      <c r="D3" s="206"/>
      <c r="E3" s="206" t="s">
        <v>655</v>
      </c>
      <c r="F3" s="206" t="s">
        <v>651</v>
      </c>
      <c r="G3" s="206" t="s">
        <v>654</v>
      </c>
      <c r="H3" s="206" t="s">
        <v>653</v>
      </c>
      <c r="I3" s="206"/>
      <c r="J3" s="206"/>
      <c r="K3" s="206"/>
      <c r="L3" s="299"/>
      <c r="M3" s="299"/>
      <c r="N3" s="299"/>
      <c r="O3" s="299"/>
    </row>
    <row r="4" spans="1:19" s="301" customFormat="1" ht="18" customHeight="1">
      <c r="A4" s="666" t="s">
        <v>656</v>
      </c>
      <c r="B4" s="1872" t="s">
        <v>16</v>
      </c>
      <c r="C4" s="1868"/>
      <c r="D4" s="2046"/>
      <c r="E4" s="2046"/>
      <c r="F4" s="1867"/>
      <c r="G4" s="1868"/>
      <c r="H4" s="1873" t="s">
        <v>1084</v>
      </c>
      <c r="I4" s="1719" t="s">
        <v>1096</v>
      </c>
      <c r="J4" s="1720"/>
      <c r="K4" s="2811" t="str">
        <f>"Förändring kostnader för eget åtagande "&amp;År-1&amp;"-"&amp;År&amp;" procent"</f>
        <v>Förändring kostnader för eget åtagande 2016-2017 procent</v>
      </c>
      <c r="L4" s="2561"/>
      <c r="M4" s="2534"/>
      <c r="N4" s="1256"/>
      <c r="O4" s="2536"/>
      <c r="P4" s="2537"/>
      <c r="Q4" s="300"/>
      <c r="R4" s="300"/>
      <c r="S4" s="300"/>
    </row>
    <row r="5" spans="1:19" s="301" customFormat="1" ht="15" customHeight="1">
      <c r="A5" s="668" t="s">
        <v>659</v>
      </c>
      <c r="B5" s="1660"/>
      <c r="C5" s="1437" t="s">
        <v>43</v>
      </c>
      <c r="D5" s="1437"/>
      <c r="E5" s="1437"/>
      <c r="F5" s="1869"/>
      <c r="G5" s="1869"/>
      <c r="H5" s="1732" t="s">
        <v>1101</v>
      </c>
      <c r="I5" s="1721" t="s">
        <v>1092</v>
      </c>
      <c r="J5" s="1722"/>
      <c r="K5" s="2812"/>
      <c r="L5" s="2562"/>
      <c r="M5" s="1874"/>
      <c r="N5" s="1875"/>
      <c r="O5" s="2536"/>
      <c r="P5" s="2537"/>
      <c r="Q5" s="300"/>
      <c r="R5" s="300"/>
      <c r="S5" s="300"/>
    </row>
    <row r="6" spans="1:19" s="301" customFormat="1" ht="24" customHeight="1">
      <c r="A6" s="1246"/>
      <c r="B6" s="1877"/>
      <c r="C6" s="1437" t="s">
        <v>45</v>
      </c>
      <c r="D6" s="2806" t="s">
        <v>1197</v>
      </c>
      <c r="E6" s="2806" t="s">
        <v>1205</v>
      </c>
      <c r="F6" s="2808" t="s">
        <v>149</v>
      </c>
      <c r="G6" s="2809" t="s">
        <v>919</v>
      </c>
      <c r="H6" s="1733" t="s">
        <v>1100</v>
      </c>
      <c r="I6" s="1878"/>
      <c r="J6" s="1879"/>
      <c r="K6" s="2812"/>
      <c r="L6" s="2804"/>
      <c r="M6" s="2535" t="str">
        <f>"Nämnare nyckeltal"</f>
        <v>Nämnare nyckeltal</v>
      </c>
      <c r="N6" s="1846"/>
      <c r="O6" s="300"/>
      <c r="P6" s="2537"/>
      <c r="Q6" s="300"/>
      <c r="R6" s="300"/>
      <c r="S6" s="300"/>
    </row>
    <row r="7" spans="1:19" s="301" customFormat="1" ht="27.75" customHeight="1">
      <c r="A7" s="1086"/>
      <c r="B7" s="1880"/>
      <c r="C7" s="1437"/>
      <c r="D7" s="2807"/>
      <c r="E7" s="2807"/>
      <c r="F7" s="2793"/>
      <c r="G7" s="2809"/>
      <c r="H7" s="1718" t="s">
        <v>1094</v>
      </c>
      <c r="I7" s="1735" t="s">
        <v>1099</v>
      </c>
      <c r="J7" s="1734" t="s">
        <v>1099</v>
      </c>
      <c r="K7" s="2546"/>
      <c r="L7" s="2805"/>
      <c r="M7" s="2535"/>
      <c r="N7" s="1846"/>
      <c r="O7" s="300"/>
      <c r="P7" s="2537"/>
      <c r="Q7" s="300"/>
      <c r="R7" s="300"/>
      <c r="S7" s="300"/>
    </row>
    <row r="8" spans="1:19" s="301" customFormat="1" ht="12" customHeight="1">
      <c r="A8" s="1246"/>
      <c r="B8" s="1881"/>
      <c r="C8" s="1869"/>
      <c r="D8" s="2807"/>
      <c r="E8" s="2807"/>
      <c r="F8" s="2793"/>
      <c r="G8" s="2810"/>
      <c r="H8" s="1717" t="s">
        <v>46</v>
      </c>
      <c r="I8" s="1172">
        <f>År</f>
        <v>2017</v>
      </c>
      <c r="J8" s="1172">
        <f>År-1</f>
        <v>2016</v>
      </c>
      <c r="K8" s="2547"/>
      <c r="L8" s="2805"/>
      <c r="M8" s="1259"/>
      <c r="N8" s="1260"/>
      <c r="O8" s="299"/>
      <c r="P8" s="299"/>
      <c r="Q8" s="299"/>
      <c r="R8" s="299"/>
    </row>
    <row r="9" spans="1:19" s="301" customFormat="1" ht="21" customHeight="1">
      <c r="A9" s="1246"/>
      <c r="B9" s="1881"/>
      <c r="C9" s="1869"/>
      <c r="D9" s="2809" t="s">
        <v>1204</v>
      </c>
      <c r="E9" s="1906" t="s">
        <v>880</v>
      </c>
      <c r="F9" s="1869"/>
      <c r="G9" s="1723" t="s">
        <v>1086</v>
      </c>
      <c r="H9" s="1718" t="s">
        <v>1095</v>
      </c>
      <c r="I9" s="1882"/>
      <c r="J9" s="1882"/>
      <c r="K9" s="2548"/>
      <c r="L9" s="2805"/>
      <c r="M9" s="1259"/>
      <c r="N9" s="1260"/>
      <c r="O9" s="299"/>
      <c r="P9" s="299"/>
      <c r="Q9" s="299"/>
      <c r="R9" s="299"/>
    </row>
    <row r="10" spans="1:19" s="301" customFormat="1" ht="14.25" customHeight="1">
      <c r="A10" s="1246"/>
      <c r="B10" s="1881"/>
      <c r="C10" s="1869"/>
      <c r="D10" s="2793"/>
      <c r="E10" s="1869"/>
      <c r="F10" s="1869"/>
      <c r="G10" s="1869"/>
      <c r="H10" s="1717" t="s">
        <v>51</v>
      </c>
      <c r="I10" s="1724"/>
      <c r="J10" s="1724"/>
      <c r="K10" s="2548"/>
      <c r="L10" s="2805"/>
      <c r="M10" s="1259"/>
      <c r="N10" s="1260"/>
      <c r="O10" s="299"/>
      <c r="P10" s="299"/>
      <c r="Q10" s="299"/>
      <c r="R10" s="299"/>
    </row>
    <row r="11" spans="1:19" s="301" customFormat="1" ht="13.5" customHeight="1">
      <c r="A11" s="1248"/>
      <c r="B11" s="1883"/>
      <c r="C11" s="1261"/>
      <c r="D11" s="2813"/>
      <c r="E11" s="1261"/>
      <c r="F11" s="1261"/>
      <c r="G11" s="1680"/>
      <c r="H11" s="1884"/>
      <c r="I11" s="1262"/>
      <c r="J11" s="1262"/>
      <c r="K11" s="2549"/>
      <c r="L11" s="2560"/>
      <c r="M11" s="2538"/>
      <c r="N11" s="1263"/>
      <c r="O11" s="299"/>
      <c r="P11" s="299"/>
      <c r="Q11" s="299"/>
      <c r="R11" s="299"/>
    </row>
    <row r="12" spans="1:19" s="301" customFormat="1">
      <c r="A12" s="1249">
        <v>559</v>
      </c>
      <c r="B12" s="1885" t="s">
        <v>506</v>
      </c>
      <c r="C12" s="1886">
        <f>Drift!P79</f>
        <v>8307</v>
      </c>
      <c r="D12" s="1886">
        <f>SUM(Drift!C79:D79)</f>
        <v>3047</v>
      </c>
      <c r="E12" s="1886">
        <f>Drift!F79</f>
        <v>3079</v>
      </c>
      <c r="F12" s="1886">
        <f>Drift!V79</f>
        <v>427</v>
      </c>
      <c r="G12" s="1887">
        <f>Motpart!Y31+Motpart!Z31</f>
        <v>80</v>
      </c>
      <c r="H12" s="1264">
        <f t="shared" ref="H12:H18" si="0">C12-F12-G12</f>
        <v>7800</v>
      </c>
      <c r="I12" s="1265">
        <f>IF(C12&gt;0,H12*1000000/M12,"")</f>
        <v>1376.475122506286</v>
      </c>
      <c r="J12" s="1265">
        <v>1301.4183108915249</v>
      </c>
      <c r="K12" s="2550">
        <f>IF(ISERROR((I12-J12)/J12),"",((I12-J12)/J12))</f>
        <v>5.7673087113200405E-2</v>
      </c>
      <c r="L12" s="2556"/>
      <c r="M12" s="2539">
        <v>5666648</v>
      </c>
      <c r="N12" s="1266" t="s">
        <v>533</v>
      </c>
      <c r="O12" s="299"/>
      <c r="P12" s="1888"/>
      <c r="Q12" s="1889"/>
      <c r="R12" s="1889"/>
      <c r="S12" s="1889"/>
    </row>
    <row r="13" spans="1:19" s="301" customFormat="1">
      <c r="A13" s="1250">
        <v>552</v>
      </c>
      <c r="B13" s="1660" t="s">
        <v>451</v>
      </c>
      <c r="C13" s="54">
        <v>3373</v>
      </c>
      <c r="D13" s="54">
        <v>741</v>
      </c>
      <c r="E13" s="54">
        <v>2112</v>
      </c>
      <c r="F13" s="54">
        <v>99</v>
      </c>
      <c r="G13" s="1876">
        <f>Motpart!Y32+Motpart!Z32</f>
        <v>46</v>
      </c>
      <c r="H13" s="1267">
        <f t="shared" si="0"/>
        <v>3228</v>
      </c>
      <c r="I13" s="1268">
        <f>IF(C13&gt;0,H13*1000000/M12,"")</f>
        <v>569.64893531413986</v>
      </c>
      <c r="J13" s="1268">
        <v>558.28494863778474</v>
      </c>
      <c r="K13" s="2551">
        <f t="shared" ref="K13:K18" si="1">IF(ISERROR((I13-J13)/J13),"",((I13-J13)/J13))</f>
        <v>2.0355172934687301E-2</v>
      </c>
      <c r="L13" s="2557"/>
      <c r="M13" s="2072"/>
      <c r="N13" s="2071"/>
      <c r="O13" s="299"/>
      <c r="P13" s="2787"/>
      <c r="Q13" s="2682"/>
      <c r="R13" s="2682"/>
      <c r="S13" s="1889"/>
    </row>
    <row r="14" spans="1:19" s="301" customFormat="1">
      <c r="A14" s="1250">
        <v>556</v>
      </c>
      <c r="B14" s="1890" t="s">
        <v>512</v>
      </c>
      <c r="C14" s="54">
        <v>224</v>
      </c>
      <c r="D14" s="54">
        <v>72</v>
      </c>
      <c r="E14" s="54">
        <v>115</v>
      </c>
      <c r="F14" s="54">
        <v>6</v>
      </c>
      <c r="G14" s="54">
        <v>3</v>
      </c>
      <c r="H14" s="1267">
        <f t="shared" si="0"/>
        <v>215</v>
      </c>
      <c r="I14" s="1268">
        <f>IF(C14&gt;0,H14*1000000/M12,"")</f>
        <v>37.941301453698905</v>
      </c>
      <c r="J14" s="1268">
        <v>32.945044815945828</v>
      </c>
      <c r="K14" s="2551">
        <f t="shared" si="1"/>
        <v>0.15165426745253127</v>
      </c>
      <c r="L14" s="2557"/>
      <c r="M14" s="2540"/>
      <c r="N14" s="2071"/>
      <c r="O14" s="299"/>
      <c r="P14" s="2682"/>
      <c r="Q14" s="2682"/>
      <c r="R14" s="2682"/>
      <c r="S14" s="1889"/>
    </row>
    <row r="15" spans="1:19" s="301" customFormat="1">
      <c r="A15" s="1250">
        <v>5581</v>
      </c>
      <c r="B15" s="1890" t="s">
        <v>165</v>
      </c>
      <c r="C15" s="54">
        <v>2675</v>
      </c>
      <c r="D15" s="54">
        <v>1000</v>
      </c>
      <c r="E15" s="54">
        <v>643</v>
      </c>
      <c r="F15" s="54">
        <v>239</v>
      </c>
      <c r="G15" s="54">
        <v>10</v>
      </c>
      <c r="H15" s="1267">
        <f t="shared" si="0"/>
        <v>2426</v>
      </c>
      <c r="I15" s="1270">
        <f>IF(C15&gt;0,H15*1000000/M12,"")</f>
        <v>428.11905733336533</v>
      </c>
      <c r="J15" s="1270">
        <v>404.06652263449234</v>
      </c>
      <c r="K15" s="2551">
        <f t="shared" si="1"/>
        <v>5.9526175398178838E-2</v>
      </c>
      <c r="L15" s="2557"/>
      <c r="M15" s="2540"/>
      <c r="N15" s="2071"/>
      <c r="O15" s="299"/>
      <c r="P15" s="2682"/>
      <c r="Q15" s="2682"/>
      <c r="R15" s="2682"/>
      <c r="S15" s="1889"/>
    </row>
    <row r="16" spans="1:19" s="301" customFormat="1">
      <c r="A16" s="1250">
        <v>5582</v>
      </c>
      <c r="B16" s="1890" t="s">
        <v>164</v>
      </c>
      <c r="C16" s="54">
        <v>1155</v>
      </c>
      <c r="D16" s="54">
        <v>699</v>
      </c>
      <c r="E16" s="54">
        <v>158</v>
      </c>
      <c r="F16" s="54">
        <v>22</v>
      </c>
      <c r="G16" s="54">
        <v>8</v>
      </c>
      <c r="H16" s="1267">
        <f t="shared" si="0"/>
        <v>1125</v>
      </c>
      <c r="I16" s="1268">
        <f>IF(C16&gt;0,H16*1000000/M12,"")</f>
        <v>198.53006574609893</v>
      </c>
      <c r="J16" s="1268">
        <v>195.17713036906287</v>
      </c>
      <c r="K16" s="2551">
        <f t="shared" si="1"/>
        <v>1.7178935722110239E-2</v>
      </c>
      <c r="L16" s="2557"/>
      <c r="M16" s="2540"/>
      <c r="N16" s="2071"/>
      <c r="O16" s="299"/>
      <c r="P16" s="2682"/>
      <c r="Q16" s="2682"/>
      <c r="R16" s="2682"/>
      <c r="S16" s="1889"/>
    </row>
    <row r="17" spans="1:19" s="301" customFormat="1">
      <c r="A17" s="1250">
        <v>5583</v>
      </c>
      <c r="B17" s="1890" t="s">
        <v>166</v>
      </c>
      <c r="C17" s="54">
        <v>880</v>
      </c>
      <c r="D17" s="54">
        <v>535</v>
      </c>
      <c r="E17" s="54">
        <v>51</v>
      </c>
      <c r="F17" s="54">
        <v>61</v>
      </c>
      <c r="G17" s="54">
        <v>13</v>
      </c>
      <c r="H17" s="1267">
        <f t="shared" si="0"/>
        <v>806</v>
      </c>
      <c r="I17" s="1268">
        <f>IF(C17&gt;0,H17*1000000/M12,"")</f>
        <v>142.23576265898288</v>
      </c>
      <c r="J17" s="1270">
        <v>110.9446644342392</v>
      </c>
      <c r="K17" s="2551">
        <f t="shared" si="1"/>
        <v>0.28204238918844998</v>
      </c>
      <c r="L17" s="2558"/>
      <c r="M17" s="2540"/>
      <c r="N17" s="2071"/>
      <c r="O17" s="299"/>
      <c r="P17" s="1889"/>
      <c r="Q17" s="1889"/>
      <c r="R17" s="1889"/>
      <c r="S17" s="1889"/>
    </row>
    <row r="18" spans="1:19" s="301" customFormat="1">
      <c r="A18" s="1251">
        <v>558</v>
      </c>
      <c r="B18" s="1891" t="s">
        <v>204</v>
      </c>
      <c r="C18" s="335">
        <f>SUM(C15:C17)</f>
        <v>4710</v>
      </c>
      <c r="D18" s="335">
        <f>SUM(D15:D17)</f>
        <v>2234</v>
      </c>
      <c r="E18" s="335">
        <f>SUM(E15:E17)</f>
        <v>852</v>
      </c>
      <c r="F18" s="335">
        <f>SUM(F15:F17)</f>
        <v>322</v>
      </c>
      <c r="G18" s="335">
        <f>SUM(G15:G17)</f>
        <v>31</v>
      </c>
      <c r="H18" s="1267">
        <f t="shared" si="0"/>
        <v>4357</v>
      </c>
      <c r="I18" s="1268">
        <f>IF(C18&gt;0,H18*1000000/M12,"")</f>
        <v>768.88488573844711</v>
      </c>
      <c r="J18" s="1268">
        <v>710.18831743779447</v>
      </c>
      <c r="K18" s="2551">
        <f t="shared" si="1"/>
        <v>8.2649301402784467E-2</v>
      </c>
      <c r="L18" s="2559"/>
      <c r="M18" s="2541"/>
      <c r="N18" s="2070"/>
      <c r="O18" s="299"/>
      <c r="P18" s="1889"/>
      <c r="Q18" s="1889"/>
      <c r="R18" s="1889"/>
      <c r="S18" s="1889"/>
    </row>
    <row r="19" spans="1:19" s="178" customFormat="1">
      <c r="A19" s="1251">
        <v>55999</v>
      </c>
      <c r="B19" s="1891" t="s">
        <v>209</v>
      </c>
      <c r="C19" s="335">
        <f>C13+C14+C15+C16+C17</f>
        <v>8307</v>
      </c>
      <c r="D19" s="335">
        <f>D13+D14+D15+D16+D17</f>
        <v>3047</v>
      </c>
      <c r="E19" s="335">
        <f>E13+E14+E15+E16+E17</f>
        <v>3079</v>
      </c>
      <c r="F19" s="335">
        <f>F13+F14+F15+F16+F17</f>
        <v>427</v>
      </c>
      <c r="G19" s="335">
        <f>G13+G14+G15+G16+G17</f>
        <v>80</v>
      </c>
      <c r="H19" s="1267"/>
      <c r="I19" s="2564"/>
      <c r="J19" s="2564"/>
      <c r="K19" s="2552"/>
      <c r="L19" s="2556"/>
      <c r="M19" s="1272"/>
      <c r="N19" s="1269"/>
      <c r="O19" s="300"/>
      <c r="P19" s="1889"/>
      <c r="Q19" s="1889"/>
      <c r="R19" s="1889"/>
      <c r="S19" s="1889"/>
    </row>
    <row r="20" spans="1:19" s="178" customFormat="1" ht="13.5" thickBot="1">
      <c r="A20" s="1252"/>
      <c r="B20" s="1892"/>
      <c r="C20" s="2563"/>
      <c r="D20" s="2563"/>
      <c r="E20" s="2563"/>
      <c r="F20" s="2563"/>
      <c r="G20" s="2563"/>
      <c r="H20" s="1285"/>
      <c r="I20" s="2565"/>
      <c r="J20" s="2565"/>
      <c r="K20" s="2553"/>
      <c r="L20" s="2559"/>
      <c r="M20" s="1273"/>
      <c r="N20" s="1269"/>
      <c r="O20" s="300"/>
      <c r="P20" s="1889"/>
      <c r="Q20" s="1889"/>
      <c r="R20" s="1889"/>
      <c r="S20" s="1889"/>
    </row>
    <row r="21" spans="1:19" s="301" customFormat="1">
      <c r="A21" s="1253">
        <v>569</v>
      </c>
      <c r="B21" s="1893" t="s">
        <v>507</v>
      </c>
      <c r="C21" s="1894">
        <f>Drift!P80</f>
        <v>21470</v>
      </c>
      <c r="D21" s="1894">
        <f>SUM(Drift!C80:D80)</f>
        <v>9874</v>
      </c>
      <c r="E21" s="1894">
        <f>Drift!F80</f>
        <v>7100</v>
      </c>
      <c r="F21" s="1894">
        <f>Drift!V80</f>
        <v>708</v>
      </c>
      <c r="G21" s="1895">
        <f>Motpart!Y33+Motpart!Z33</f>
        <v>199</v>
      </c>
      <c r="H21" s="1274">
        <f t="shared" ref="H21:H26" si="2">C21-F21-G21</f>
        <v>20563</v>
      </c>
      <c r="I21" s="1268">
        <f>IF(C21&gt;0,H21*1000000/M21,"")</f>
        <v>8398.381341976632</v>
      </c>
      <c r="J21" s="1268">
        <v>8086.5326832256569</v>
      </c>
      <c r="K21" s="2554">
        <f t="shared" ref="K21:K26" si="3">IF(ISERROR((I21-J21)/J21),"",((I21-J21)/J21))</f>
        <v>3.8563952062898366E-2</v>
      </c>
      <c r="L21" s="2556"/>
      <c r="M21" s="2542">
        <v>2448448</v>
      </c>
      <c r="N21" s="1275" t="s">
        <v>535</v>
      </c>
      <c r="O21" s="299"/>
      <c r="P21" s="1888"/>
      <c r="Q21" s="1889"/>
      <c r="R21" s="1889"/>
      <c r="S21" s="1889"/>
    </row>
    <row r="22" spans="1:19" s="301" customFormat="1">
      <c r="A22" s="1250">
        <v>554</v>
      </c>
      <c r="B22" s="1896" t="s">
        <v>205</v>
      </c>
      <c r="C22" s="54">
        <v>7108</v>
      </c>
      <c r="D22" s="54">
        <v>1742</v>
      </c>
      <c r="E22" s="54">
        <v>4292</v>
      </c>
      <c r="F22" s="54">
        <v>256</v>
      </c>
      <c r="G22" s="1876">
        <f>Motpart!Y34+Motpart!Z34</f>
        <v>57</v>
      </c>
      <c r="H22" s="1274">
        <f t="shared" si="2"/>
        <v>6795</v>
      </c>
      <c r="I22" s="1268">
        <f>IF(C22&gt;0,H22*1000000/M21,"")</f>
        <v>2775.2274093629926</v>
      </c>
      <c r="J22" s="1268">
        <v>2713.4060570547726</v>
      </c>
      <c r="K22" s="2551">
        <f t="shared" si="3"/>
        <v>2.2783671521439387E-2</v>
      </c>
      <c r="L22" s="2559"/>
      <c r="M22" s="2072"/>
      <c r="N22" s="2071"/>
      <c r="O22" s="299"/>
      <c r="P22" s="2787"/>
      <c r="Q22" s="2789"/>
      <c r="R22" s="2789"/>
      <c r="S22" s="1889"/>
    </row>
    <row r="23" spans="1:19" s="301" customFormat="1">
      <c r="A23" s="1250">
        <v>557</v>
      </c>
      <c r="B23" s="1896" t="s">
        <v>169</v>
      </c>
      <c r="C23" s="54">
        <v>7689</v>
      </c>
      <c r="D23" s="54">
        <v>4018</v>
      </c>
      <c r="E23" s="54">
        <v>1992</v>
      </c>
      <c r="F23" s="54">
        <v>186</v>
      </c>
      <c r="G23" s="54">
        <v>38</v>
      </c>
      <c r="H23" s="1274">
        <f t="shared" si="2"/>
        <v>7465</v>
      </c>
      <c r="I23" s="1268">
        <f>IF(C23&gt;0,H23*1000000/M21,"")</f>
        <v>3048.8701414120292</v>
      </c>
      <c r="J23" s="1268">
        <v>2876.5433537365934</v>
      </c>
      <c r="K23" s="2551">
        <f t="shared" si="3"/>
        <v>5.9907592719430226E-2</v>
      </c>
      <c r="L23" s="2559"/>
      <c r="M23" s="2073"/>
      <c r="N23" s="2071"/>
      <c r="O23" s="299"/>
      <c r="P23" s="2789"/>
      <c r="Q23" s="2789"/>
      <c r="R23" s="2789"/>
      <c r="S23" s="1889"/>
    </row>
    <row r="24" spans="1:19" s="301" customFormat="1">
      <c r="A24" s="1250">
        <v>5681</v>
      </c>
      <c r="B24" s="1896" t="s">
        <v>164</v>
      </c>
      <c r="C24" s="54">
        <v>4111</v>
      </c>
      <c r="D24" s="54">
        <v>2450</v>
      </c>
      <c r="E24" s="54">
        <v>681</v>
      </c>
      <c r="F24" s="54">
        <v>121</v>
      </c>
      <c r="G24" s="54">
        <v>27</v>
      </c>
      <c r="H24" s="1274">
        <f t="shared" si="2"/>
        <v>3963</v>
      </c>
      <c r="I24" s="1268">
        <f>IF(C24&gt;0,H24*1000000/M21,"")</f>
        <v>1618.5763389706458</v>
      </c>
      <c r="J24" s="1268">
        <v>1505.6906617214979</v>
      </c>
      <c r="K24" s="2551">
        <f t="shared" si="3"/>
        <v>7.4972688692963363E-2</v>
      </c>
      <c r="L24" s="2559"/>
      <c r="M24" s="2073"/>
      <c r="N24" s="2071"/>
      <c r="O24" s="299"/>
      <c r="P24" s="2789"/>
      <c r="Q24" s="2789"/>
      <c r="R24" s="2789"/>
      <c r="S24" s="1889"/>
    </row>
    <row r="25" spans="1:19" s="301" customFormat="1">
      <c r="A25" s="1250">
        <v>5682</v>
      </c>
      <c r="B25" s="1896" t="s">
        <v>166</v>
      </c>
      <c r="C25" s="54">
        <v>2562</v>
      </c>
      <c r="D25" s="54">
        <v>1664</v>
      </c>
      <c r="E25" s="54">
        <v>135</v>
      </c>
      <c r="F25" s="54">
        <v>145</v>
      </c>
      <c r="G25" s="55">
        <v>77</v>
      </c>
      <c r="H25" s="1274">
        <f t="shared" si="2"/>
        <v>2340</v>
      </c>
      <c r="I25" s="1268">
        <f>IF(C25&gt;0,H25*1000000/M21,"")</f>
        <v>955.70745223096424</v>
      </c>
      <c r="J25" s="1268">
        <v>990.8926107127935</v>
      </c>
      <c r="K25" s="2551">
        <f t="shared" si="3"/>
        <v>-3.5508548657476616E-2</v>
      </c>
      <c r="L25" s="2556"/>
      <c r="M25" s="2073"/>
      <c r="N25" s="2071"/>
      <c r="O25" s="299"/>
      <c r="P25" s="2789"/>
      <c r="Q25" s="2789"/>
      <c r="R25" s="2789"/>
      <c r="S25" s="1889"/>
    </row>
    <row r="26" spans="1:19" s="301" customFormat="1">
      <c r="A26" s="1251">
        <v>568</v>
      </c>
      <c r="B26" s="1897" t="s">
        <v>211</v>
      </c>
      <c r="C26" s="335">
        <f>SUM(C24:C25)</f>
        <v>6673</v>
      </c>
      <c r="D26" s="335">
        <f>SUM(D24:D25)</f>
        <v>4114</v>
      </c>
      <c r="E26" s="335">
        <f>SUM(E24:E25)</f>
        <v>816</v>
      </c>
      <c r="F26" s="335">
        <f>SUM(F24:F25)</f>
        <v>266</v>
      </c>
      <c r="G26" s="335">
        <f>SUM(G24:G25)</f>
        <v>104</v>
      </c>
      <c r="H26" s="1274">
        <f t="shared" si="2"/>
        <v>6303</v>
      </c>
      <c r="I26" s="1268">
        <f>IF(C26&gt;0,H26*1000000/M21,"")</f>
        <v>2574.2837912016103</v>
      </c>
      <c r="J26" s="1268">
        <v>2496.5832724342913</v>
      </c>
      <c r="K26" s="2551">
        <f t="shared" si="3"/>
        <v>3.1122742680061752E-2</v>
      </c>
      <c r="L26" s="2559"/>
      <c r="M26" s="2073"/>
      <c r="N26" s="2071"/>
      <c r="O26" s="299"/>
      <c r="P26" s="1889"/>
      <c r="Q26" s="1889"/>
      <c r="R26" s="1889"/>
      <c r="S26" s="1889"/>
    </row>
    <row r="27" spans="1:19" s="301" customFormat="1">
      <c r="A27" s="1251">
        <v>56999</v>
      </c>
      <c r="B27" s="1891" t="s">
        <v>170</v>
      </c>
      <c r="C27" s="335">
        <f>SUM(C22+C23+C24+C25)</f>
        <v>21470</v>
      </c>
      <c r="D27" s="335">
        <f>SUM(D22+D23+D24+D25)</f>
        <v>9874</v>
      </c>
      <c r="E27" s="335">
        <f>SUM(E22+E23+E24+E25)</f>
        <v>7100</v>
      </c>
      <c r="F27" s="335">
        <f>SUM(F22+F23+F24+F25)</f>
        <v>708</v>
      </c>
      <c r="G27" s="335">
        <f>SUM(G22+G23+G24+G25)</f>
        <v>199</v>
      </c>
      <c r="H27" s="1271"/>
      <c r="I27" s="2564"/>
      <c r="J27" s="2566"/>
      <c r="K27" s="2552"/>
      <c r="L27" s="2556"/>
      <c r="M27" s="2073"/>
      <c r="N27" s="2071"/>
      <c r="O27" s="299"/>
      <c r="P27" s="1889"/>
      <c r="Q27" s="1889"/>
      <c r="R27" s="1889"/>
      <c r="S27" s="1889"/>
    </row>
    <row r="28" spans="1:19" s="301" customFormat="1" ht="13.5" thickBot="1">
      <c r="A28" s="1252"/>
      <c r="B28" s="1898"/>
      <c r="C28" s="2563"/>
      <c r="D28" s="2563"/>
      <c r="E28" s="2563"/>
      <c r="F28" s="2563"/>
      <c r="G28" s="2563"/>
      <c r="H28" s="1285"/>
      <c r="I28" s="2567"/>
      <c r="J28" s="2567"/>
      <c r="K28" s="2553"/>
      <c r="L28" s="2556"/>
      <c r="M28" s="1273"/>
      <c r="N28" s="1276"/>
      <c r="O28" s="299"/>
      <c r="P28" s="1889"/>
      <c r="Q28" s="1889"/>
      <c r="R28" s="1889"/>
      <c r="S28" s="1889"/>
    </row>
    <row r="29" spans="1:19" s="301" customFormat="1">
      <c r="A29" s="1250">
        <v>571</v>
      </c>
      <c r="B29" s="1896" t="s">
        <v>171</v>
      </c>
      <c r="C29" s="1894">
        <f>Drift!P81</f>
        <v>2952</v>
      </c>
      <c r="D29" s="1894">
        <f>SUM(Drift!C81:D81)</f>
        <v>957</v>
      </c>
      <c r="E29" s="1894">
        <f>Drift!F81</f>
        <v>895</v>
      </c>
      <c r="F29" s="1894">
        <f>Drift!V81</f>
        <v>172</v>
      </c>
      <c r="G29" s="54">
        <v>37</v>
      </c>
      <c r="H29" s="1274">
        <f t="shared" ref="H29:H34" si="4">C29-F29-G29</f>
        <v>2743</v>
      </c>
      <c r="I29" s="1268">
        <f>IF(C29&gt;0,H29*1000000/M12,"")</f>
        <v>484.06041808137724</v>
      </c>
      <c r="J29" s="2568">
        <v>428.46366393062522</v>
      </c>
      <c r="K29" s="2554">
        <f t="shared" ref="K29:K34" si="5">IF(ISERROR((I29-J29)/J29),"",((I29-J29)/J29))</f>
        <v>0.12975838753914493</v>
      </c>
      <c r="L29" s="2556"/>
      <c r="M29" s="2543"/>
      <c r="N29" s="1277"/>
      <c r="O29" s="299"/>
      <c r="P29" s="1888"/>
      <c r="Q29" s="1889"/>
      <c r="R29" s="1889"/>
      <c r="S29" s="1889"/>
    </row>
    <row r="30" spans="1:19" s="301" customFormat="1">
      <c r="A30" s="1250">
        <v>575</v>
      </c>
      <c r="B30" s="1896" t="s">
        <v>109</v>
      </c>
      <c r="C30" s="1876">
        <f>Drift!P82</f>
        <v>13793</v>
      </c>
      <c r="D30" s="1876">
        <f>SUM(Drift!C82:D82)</f>
        <v>2758</v>
      </c>
      <c r="E30" s="1876">
        <f>Drift!F82</f>
        <v>63</v>
      </c>
      <c r="F30" s="1876">
        <f>Drift!V82</f>
        <v>112</v>
      </c>
      <c r="G30" s="54">
        <v>8</v>
      </c>
      <c r="H30" s="1274">
        <f t="shared" si="4"/>
        <v>13673</v>
      </c>
      <c r="I30" s="1268">
        <f>IF(C30&gt;0,H30*1000000/M30,"")</f>
        <v>1351.0546486931835</v>
      </c>
      <c r="J30" s="1268">
        <v>1343.2510737954688</v>
      </c>
      <c r="K30" s="2551">
        <f t="shared" si="5"/>
        <v>5.8094685721449442E-3</v>
      </c>
      <c r="L30" s="2559"/>
      <c r="M30" s="2544">
        <v>10120242</v>
      </c>
      <c r="N30" s="1278" t="s">
        <v>536</v>
      </c>
      <c r="O30" s="299"/>
      <c r="P30" s="2699"/>
      <c r="Q30" s="2789"/>
      <c r="R30" s="2789"/>
      <c r="S30" s="1889"/>
    </row>
    <row r="31" spans="1:19" s="301" customFormat="1" ht="13.5" thickBot="1">
      <c r="A31" s="1254">
        <v>580</v>
      </c>
      <c r="B31" s="1899" t="s">
        <v>174</v>
      </c>
      <c r="C31" s="85">
        <f>C12+C21+C29+C30</f>
        <v>46522</v>
      </c>
      <c r="D31" s="85">
        <f>D12+D21+D29+D30</f>
        <v>16636</v>
      </c>
      <c r="E31" s="85">
        <f>E12+E21+E29+E30</f>
        <v>11137</v>
      </c>
      <c r="F31" s="85">
        <f>F12+F21+F29+F30</f>
        <v>1419</v>
      </c>
      <c r="G31" s="85">
        <f>G12+G21+G29+G30</f>
        <v>324</v>
      </c>
      <c r="H31" s="1279">
        <f t="shared" si="4"/>
        <v>44779</v>
      </c>
      <c r="I31" s="1280">
        <f>IF(C31&gt;0,H31*1000000/M30,"")</f>
        <v>4424.6965635801989</v>
      </c>
      <c r="J31" s="1280">
        <v>4259.1644169929168</v>
      </c>
      <c r="K31" s="2555">
        <f t="shared" si="5"/>
        <v>3.8864934616483347E-2</v>
      </c>
      <c r="L31" s="2556"/>
      <c r="M31" s="1273"/>
      <c r="N31" s="1281"/>
      <c r="O31" s="299"/>
      <c r="P31" s="2789"/>
      <c r="Q31" s="2789"/>
      <c r="R31" s="2789"/>
      <c r="S31" s="1889"/>
    </row>
    <row r="32" spans="1:19" s="301" customFormat="1">
      <c r="A32" s="1251">
        <v>585</v>
      </c>
      <c r="B32" s="1897" t="s">
        <v>508</v>
      </c>
      <c r="C32" s="1876">
        <f>Drift!P84</f>
        <v>976</v>
      </c>
      <c r="D32" s="1876">
        <f>SUM(Drift!C84:D84)</f>
        <v>625</v>
      </c>
      <c r="E32" s="1876">
        <f>Drift!F84</f>
        <v>120</v>
      </c>
      <c r="F32" s="1876">
        <f>Drift!V84</f>
        <v>29</v>
      </c>
      <c r="G32" s="335">
        <f>SUM(G33:G34)</f>
        <v>53</v>
      </c>
      <c r="H32" s="1274">
        <f t="shared" si="4"/>
        <v>894</v>
      </c>
      <c r="I32" s="1268">
        <f>IF(C32&gt;0,H32*1000000/M32,"")</f>
        <v>421.18196662768929</v>
      </c>
      <c r="J32" s="1268">
        <v>403.10016292566922</v>
      </c>
      <c r="K32" s="2554">
        <f t="shared" si="5"/>
        <v>4.4856850393668317E-2</v>
      </c>
      <c r="L32" s="2559"/>
      <c r="M32" s="2542">
        <v>2122598</v>
      </c>
      <c r="N32" s="1282" t="s">
        <v>537</v>
      </c>
      <c r="O32" s="299"/>
      <c r="P32" s="1888"/>
      <c r="Q32" s="1889"/>
      <c r="R32" s="1889"/>
      <c r="S32" s="1889"/>
    </row>
    <row r="33" spans="1:19" s="301" customFormat="1">
      <c r="A33" s="1250">
        <v>5851</v>
      </c>
      <c r="B33" s="1896" t="s">
        <v>172</v>
      </c>
      <c r="C33" s="54">
        <v>665</v>
      </c>
      <c r="D33" s="54">
        <v>468</v>
      </c>
      <c r="E33" s="54">
        <v>43</v>
      </c>
      <c r="F33" s="54">
        <v>18</v>
      </c>
      <c r="G33" s="54">
        <v>24</v>
      </c>
      <c r="H33" s="1274">
        <f t="shared" si="4"/>
        <v>623</v>
      </c>
      <c r="I33" s="1268">
        <f>IF(C33&gt;0,H33*1000000/M33,"")</f>
        <v>293.50823848887069</v>
      </c>
      <c r="J33" s="1268">
        <v>279.8102684107692</v>
      </c>
      <c r="K33" s="2551">
        <f t="shared" si="5"/>
        <v>4.8954493900104097E-2</v>
      </c>
      <c r="L33" s="2559"/>
      <c r="M33" s="2542">
        <f>M32</f>
        <v>2122598</v>
      </c>
      <c r="N33" s="1282" t="s">
        <v>537</v>
      </c>
      <c r="O33" s="299"/>
      <c r="P33" s="2787"/>
      <c r="Q33" s="2789"/>
      <c r="R33" s="2789"/>
      <c r="S33" s="1889"/>
    </row>
    <row r="34" spans="1:19" s="301" customFormat="1">
      <c r="A34" s="1250">
        <v>5855</v>
      </c>
      <c r="B34" s="1896" t="s">
        <v>173</v>
      </c>
      <c r="C34" s="54">
        <v>313</v>
      </c>
      <c r="D34" s="54">
        <v>157</v>
      </c>
      <c r="E34" s="54">
        <v>77</v>
      </c>
      <c r="F34" s="54">
        <v>11</v>
      </c>
      <c r="G34" s="54">
        <v>29</v>
      </c>
      <c r="H34" s="1274">
        <f t="shared" si="4"/>
        <v>273</v>
      </c>
      <c r="I34" s="1268">
        <f>IF(C34&gt;0,H34*1000000/M34,"")</f>
        <v>41.654650901983402</v>
      </c>
      <c r="J34" s="1268">
        <v>39.293002238626713</v>
      </c>
      <c r="K34" s="2551">
        <f t="shared" si="5"/>
        <v>6.0103543348873634E-2</v>
      </c>
      <c r="L34" s="2559"/>
      <c r="M34" s="2542">
        <v>6553890</v>
      </c>
      <c r="N34" s="1282" t="s">
        <v>538</v>
      </c>
      <c r="O34" s="299"/>
      <c r="P34" s="2789"/>
      <c r="Q34" s="2789"/>
      <c r="R34" s="2789"/>
      <c r="S34" s="1889"/>
    </row>
    <row r="35" spans="1:19" s="301" customFormat="1" ht="15" customHeight="1">
      <c r="A35" s="1255">
        <v>58599</v>
      </c>
      <c r="B35" s="1900" t="s">
        <v>534</v>
      </c>
      <c r="C35" s="335">
        <f>SUM(C33:C34)</f>
        <v>978</v>
      </c>
      <c r="D35" s="335">
        <f>SUM(D33:D34)</f>
        <v>625</v>
      </c>
      <c r="E35" s="335">
        <f>SUM(E33:E34)</f>
        <v>120</v>
      </c>
      <c r="F35" s="335">
        <f>SUM(F33:F34)</f>
        <v>29</v>
      </c>
      <c r="G35" s="335">
        <f>SUM(G33:G34)</f>
        <v>53</v>
      </c>
      <c r="H35" s="1283"/>
      <c r="I35" s="1284"/>
      <c r="J35" s="1284"/>
      <c r="K35" s="2551"/>
      <c r="L35" s="2556"/>
      <c r="M35" s="2072"/>
      <c r="N35" s="2071"/>
      <c r="O35" s="299"/>
      <c r="P35" s="2789"/>
      <c r="Q35" s="2789"/>
      <c r="R35" s="2789"/>
      <c r="S35" s="178"/>
    </row>
    <row r="36" spans="1:19" s="301" customFormat="1" ht="15" customHeight="1" thickBot="1">
      <c r="A36" s="1137"/>
      <c r="B36" s="1898"/>
      <c r="C36" s="2563"/>
      <c r="D36" s="2563"/>
      <c r="E36" s="2563"/>
      <c r="F36" s="2563"/>
      <c r="G36" s="2563"/>
      <c r="H36" s="1285"/>
      <c r="I36" s="1286"/>
      <c r="J36" s="1286"/>
      <c r="K36" s="2555"/>
      <c r="L36" s="2559"/>
      <c r="M36" s="2545"/>
      <c r="N36" s="2074"/>
      <c r="O36" s="299"/>
      <c r="P36" s="2789"/>
      <c r="Q36" s="2789"/>
      <c r="R36" s="2789"/>
      <c r="S36" s="178"/>
    </row>
    <row r="37" spans="1:19" s="301" customFormat="1" ht="16.5" customHeight="1">
      <c r="A37" s="1901"/>
      <c r="B37" s="1901"/>
      <c r="C37" s="77"/>
      <c r="D37" s="77"/>
      <c r="E37" s="77"/>
      <c r="F37" s="1335"/>
      <c r="G37" s="2132" t="str">
        <f>IF(ABS(SUM(G29:G30,G32)-(SUM(Motpart!Y35:Z35)))&gt;20,ROUND(SUM(G29:G30,G32)-SUM(Motpart!Y35:Z35),0)&amp; " tkr differens försäljning av verksamhet rad 571+575+585 mot belopp i Motpartsfliken rad 585 kol Y+Z","")</f>
        <v/>
      </c>
      <c r="H37" s="299"/>
      <c r="I37" s="1902"/>
      <c r="J37" s="1902"/>
      <c r="K37" s="1902"/>
      <c r="L37" s="300"/>
      <c r="M37" s="299"/>
      <c r="N37" s="299"/>
      <c r="O37" s="299"/>
      <c r="P37" s="178"/>
      <c r="Q37" s="178"/>
      <c r="R37" s="178"/>
    </row>
    <row r="38" spans="1:19" ht="20.25" customHeight="1">
      <c r="A38" s="1307"/>
      <c r="D38" s="77"/>
      <c r="E38" s="77"/>
    </row>
    <row r="39" spans="1:19" hidden="1"/>
    <row r="40" spans="1:19" hidden="1"/>
    <row r="41" spans="1:19" hidden="1"/>
    <row r="42" spans="1:19" hidden="1"/>
    <row r="43" spans="1:19" hidden="1"/>
    <row r="44" spans="1:19" hidden="1"/>
    <row r="45" spans="1:19" hidden="1"/>
    <row r="46" spans="1:19" hidden="1"/>
    <row r="47" spans="1:19" hidden="1"/>
    <row r="48" spans="1:19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</sheetData>
  <sheetProtection password="CBFD" sheet="1" objects="1" scenarios="1"/>
  <customSheetViews>
    <customSheetView guid="{27C9E95B-0E2B-454F-B637-1CECC9579A10}" showGridLines="0" hiddenRows="1" hiddenColumns="1" showRuler="0">
      <selection activeCell="E12" sqref="E12"/>
      <pageMargins left="0.31496062992125984" right="0.31496062992125984" top="0.74803149606299213" bottom="0.74803149606299213" header="0.31496062992125984" footer="0.31496062992125984"/>
      <pageSetup paperSize="9" scale="85" orientation="landscape" r:id="rId1"/>
      <headerFooter alignWithMargins="0">
        <oddHeader>&amp;L&amp;8Statistiska Centralbyrån
Offentlig ekonomi&amp;R&amp;P</oddHeader>
      </headerFooter>
    </customSheetView>
    <customSheetView guid="{99FBDEB7-DD08-4F57-81F4-3C180403E153}" showGridLines="0" hiddenRows="1" hiddenColumns="1">
      <selection activeCell="H34" sqref="H34"/>
      <pageMargins left="0.31496062992125984" right="0.31496062992125984" top="0.74803149606299213" bottom="0.74803149606299213" header="0.31496062992125984" footer="0.31496062992125984"/>
      <pageSetup paperSize="9" scale="85" orientation="landscape" r:id="rId2"/>
      <headerFooter>
        <oddHeader>&amp;L&amp;8Statistiska Centralbyrån
Offentlig ekonomi&amp;R&amp;P</oddHeader>
      </headerFooter>
    </customSheetView>
    <customSheetView guid="{97D6DB71-3F4C-4C5F-8C5B-51E3EBF78932}" showPageBreaks="1" showGridLines="0" hiddenRows="1" hiddenColumns="1">
      <selection activeCell="H34" sqref="H34"/>
      <pageMargins left="0.31496062992125984" right="0.31496062992125984" top="0.74803149606299213" bottom="0.74803149606299213" header="0.31496062992125984" footer="0.31496062992125984"/>
      <pageSetup paperSize="9" scale="85" orientation="landscape" r:id="rId3"/>
      <headerFooter>
        <oddHeader>&amp;L&amp;8Statistiska Centralbyrån
Offentlig ekonomi&amp;R&amp;P</oddHeader>
      </headerFooter>
    </customSheetView>
  </customSheetViews>
  <mergeCells count="11">
    <mergeCell ref="P33:R36"/>
    <mergeCell ref="L6:L10"/>
    <mergeCell ref="D6:D8"/>
    <mergeCell ref="E6:E8"/>
    <mergeCell ref="F6:F8"/>
    <mergeCell ref="G6:G8"/>
    <mergeCell ref="K4:K6"/>
    <mergeCell ref="D9:D11"/>
    <mergeCell ref="P13:R16"/>
    <mergeCell ref="P22:R25"/>
    <mergeCell ref="P30:R31"/>
  </mergeCells>
  <phoneticPr fontId="95" type="noConversion"/>
  <conditionalFormatting sqref="G14:G17 G23:G25 G29:G30 C13:F17 C22:F25 C33:G34">
    <cfRule type="cellIs" dxfId="4" priority="23" stopIfTrue="1" operator="lessThan">
      <formula>-500</formula>
    </cfRule>
    <cfRule type="cellIs" dxfId="3" priority="24" stopIfTrue="1" operator="lessThan">
      <formula>0</formula>
    </cfRule>
  </conditionalFormatting>
  <conditionalFormatting sqref="B20 B28 B36">
    <cfRule type="expression" dxfId="2" priority="107" stopIfTrue="1">
      <formula>OR(G20&gt;10,G20&lt;-10)</formula>
    </cfRule>
    <cfRule type="expression" dxfId="1" priority="108" stopIfTrue="1">
      <formula>OR(F20&gt;10,F20&lt;-10)</formula>
    </cfRule>
    <cfRule type="expression" dxfId="0" priority="109" stopIfTrue="1">
      <formula>OR(C20&gt;10,C20&lt;-10)</formula>
    </cfRule>
  </conditionalFormatting>
  <dataValidations count="1">
    <dataValidation type="decimal" operator="lessThan" allowBlank="1" showInputMessage="1" showErrorMessage="1" error="Beloppet ska vara i 1000 tal kronor" sqref="G14:G17 G23:G25 G29:G30 C13:F17 C22:F25 C33:G34">
      <formula1>99999999</formula1>
    </dataValidation>
  </dataValidations>
  <pageMargins left="0.31496062992125984" right="0.31496062992125984" top="0.74803149606299213" bottom="0.74803149606299213" header="0.31496062992125984" footer="0.31496062992125984"/>
  <pageSetup paperSize="9" scale="79" orientation="landscape" r:id="rId4"/>
  <headerFooter>
    <oddHeader>&amp;L&amp;8Statistiska Centralbyrån
Offentlig ekonomi&amp;R&amp;P</oddHeader>
  </headerFooter>
  <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/>
  <dimension ref="A1:H94"/>
  <sheetViews>
    <sheetView topLeftCell="A68" workbookViewId="0">
      <selection activeCell="C89" sqref="C89"/>
    </sheetView>
  </sheetViews>
  <sheetFormatPr defaultRowHeight="12.75"/>
  <cols>
    <col min="1" max="1" width="29.85546875" bestFit="1" customWidth="1"/>
    <col min="2" max="2" width="30.5703125" bestFit="1" customWidth="1"/>
    <col min="3" max="3" width="82.85546875" customWidth="1"/>
    <col min="5" max="5" width="59.28515625" bestFit="1" customWidth="1"/>
  </cols>
  <sheetData>
    <row r="1" spans="1:4">
      <c r="A1" t="str">
        <f>RR!$E$7</f>
        <v/>
      </c>
      <c r="B1" t="s">
        <v>941</v>
      </c>
      <c r="C1" t="str">
        <f t="shared" ref="C1:C6" si="0">IF(AND(A1&lt;&gt;"",D1=0), A1,"")</f>
        <v/>
      </c>
      <c r="D1">
        <f>Extraordinära_RR</f>
        <v>0</v>
      </c>
    </row>
    <row r="2" spans="1:4">
      <c r="A2" t="str">
        <f>BR!$F$79</f>
        <v/>
      </c>
      <c r="B2" t="s">
        <v>1227</v>
      </c>
      <c r="C2" t="str">
        <f t="shared" si="0"/>
        <v/>
      </c>
      <c r="D2">
        <f>BR</f>
        <v>0</v>
      </c>
    </row>
    <row r="3" spans="1:4">
      <c r="A3" t="str">
        <f>BR!$F$61</f>
        <v/>
      </c>
      <c r="B3" t="s">
        <v>1228</v>
      </c>
      <c r="C3" t="str">
        <f t="shared" si="0"/>
        <v/>
      </c>
      <c r="D3">
        <f>BR</f>
        <v>0</v>
      </c>
    </row>
    <row r="4" spans="1:4">
      <c r="A4" t="str">
        <f>Investeringar!I13</f>
        <v>Kommentera Omklassificeringar</v>
      </c>
      <c r="B4" t="s">
        <v>1230</v>
      </c>
      <c r="C4" t="str">
        <f t="shared" si="0"/>
        <v>Kommentera Omklassificeringar</v>
      </c>
      <c r="D4">
        <f t="shared" ref="D4:D31" si="1">Förändring_anläggningstillgångar</f>
        <v>0</v>
      </c>
    </row>
    <row r="5" spans="1:4">
      <c r="A5" t="str">
        <f>Investeringar!I14</f>
        <v>Kommentera Övriga förändringar</v>
      </c>
      <c r="B5" t="s">
        <v>1302</v>
      </c>
      <c r="C5" t="str">
        <f t="shared" si="0"/>
        <v>Kommentera Övriga förändringar</v>
      </c>
      <c r="D5">
        <f t="shared" si="1"/>
        <v>0</v>
      </c>
    </row>
    <row r="6" spans="1:4">
      <c r="A6" s="331" t="str">
        <f>Investeringar!E97</f>
        <v/>
      </c>
      <c r="B6" t="s">
        <v>1232</v>
      </c>
      <c r="C6" t="str">
        <f t="shared" si="0"/>
        <v/>
      </c>
      <c r="D6">
        <f>Tillägg_2_Invest</f>
        <v>0</v>
      </c>
    </row>
    <row r="9" spans="1:4">
      <c r="A9" t="str">
        <f>Drift!$W$123</f>
        <v/>
      </c>
      <c r="B9" t="s">
        <v>953</v>
      </c>
      <c r="C9" t="str">
        <f t="shared" ref="C9:C18" si="2">IF(AND(A9&lt;&gt;"",D9=0),A9,"")</f>
        <v/>
      </c>
      <c r="D9">
        <f t="shared" ref="D9:D35" si="3">Drift</f>
        <v>0</v>
      </c>
    </row>
    <row r="10" spans="1:4">
      <c r="A10" s="331" t="str">
        <f>Drift!$P$126</f>
        <v/>
      </c>
      <c r="B10" t="s">
        <v>1134</v>
      </c>
      <c r="C10" t="str">
        <f t="shared" si="2"/>
        <v/>
      </c>
      <c r="D10">
        <f t="shared" si="3"/>
        <v>0</v>
      </c>
    </row>
    <row r="11" spans="1:4">
      <c r="A11" s="331" t="str">
        <f>Motpart!F44</f>
        <v/>
      </c>
      <c r="B11" t="s">
        <v>1235</v>
      </c>
      <c r="C11" t="str">
        <f t="shared" si="2"/>
        <v/>
      </c>
      <c r="D11">
        <f t="shared" ref="D11:D50" si="4">Köp_huvudvht</f>
        <v>0</v>
      </c>
    </row>
    <row r="12" spans="1:4">
      <c r="A12" s="331" t="str">
        <f>Motpart!F45</f>
        <v/>
      </c>
      <c r="B12" t="s">
        <v>1236</v>
      </c>
      <c r="C12" t="str">
        <f t="shared" si="2"/>
        <v/>
      </c>
      <c r="D12">
        <f t="shared" si="4"/>
        <v>0</v>
      </c>
    </row>
    <row r="13" spans="1:4">
      <c r="A13" s="331" t="str">
        <f>Motpart!T44</f>
        <v/>
      </c>
      <c r="B13" t="s">
        <v>1247</v>
      </c>
      <c r="C13" t="str">
        <f t="shared" si="2"/>
        <v/>
      </c>
      <c r="D13">
        <f t="shared" ref="D13:D54" si="5">Bidrag_o_transfer.</f>
        <v>0</v>
      </c>
    </row>
    <row r="14" spans="1:4">
      <c r="A14" s="331" t="str">
        <f>Motpart!T45</f>
        <v/>
      </c>
      <c r="B14" t="s">
        <v>1248</v>
      </c>
      <c r="C14" t="str">
        <f t="shared" si="2"/>
        <v/>
      </c>
      <c r="D14">
        <f t="shared" si="5"/>
        <v>0</v>
      </c>
    </row>
    <row r="15" spans="1:4">
      <c r="A15" s="331" t="str">
        <f>Motpart!K44</f>
        <v/>
      </c>
      <c r="B15" t="s">
        <v>1239</v>
      </c>
      <c r="C15" t="str">
        <f t="shared" si="2"/>
        <v/>
      </c>
      <c r="D15">
        <f t="shared" si="4"/>
        <v>0</v>
      </c>
    </row>
    <row r="16" spans="1:4">
      <c r="A16" s="331" t="str">
        <f>Motpart!K45</f>
        <v/>
      </c>
      <c r="B16" t="s">
        <v>1240</v>
      </c>
      <c r="C16" t="str">
        <f t="shared" si="2"/>
        <v/>
      </c>
      <c r="D16">
        <f t="shared" si="4"/>
        <v>0</v>
      </c>
    </row>
    <row r="17" spans="1:4">
      <c r="A17" s="331" t="str">
        <f>Motpart!Q44</f>
        <v/>
      </c>
      <c r="B17" t="s">
        <v>1243</v>
      </c>
      <c r="C17" t="str">
        <f t="shared" si="2"/>
        <v/>
      </c>
      <c r="D17">
        <f t="shared" si="5"/>
        <v>0</v>
      </c>
    </row>
    <row r="18" spans="1:4">
      <c r="A18" s="331" t="str">
        <f>Motpart!Q45</f>
        <v/>
      </c>
      <c r="B18" t="s">
        <v>1244</v>
      </c>
      <c r="C18" t="str">
        <f t="shared" si="2"/>
        <v/>
      </c>
      <c r="D18">
        <f t="shared" si="5"/>
        <v>0</v>
      </c>
    </row>
    <row r="19" spans="1:4">
      <c r="A19" t="str">
        <f>'Verks int o kostn'!$E$20</f>
        <v/>
      </c>
      <c r="B19" t="s">
        <v>942</v>
      </c>
      <c r="C19" t="str">
        <f t="shared" ref="C19:C35" si="6">IF(AND(A19&lt;&gt;"",D19=0), A19,"")</f>
        <v/>
      </c>
      <c r="D19">
        <f>Vht_int</f>
        <v>0</v>
      </c>
    </row>
    <row r="20" spans="1:4">
      <c r="A20" t="str">
        <f>'Verks int o kostn'!$E$21</f>
        <v/>
      </c>
      <c r="B20" t="s">
        <v>943</v>
      </c>
      <c r="C20" t="str">
        <f t="shared" si="6"/>
        <v/>
      </c>
      <c r="D20">
        <f>Vht_int</f>
        <v>0</v>
      </c>
    </row>
    <row r="21" spans="1:4">
      <c r="A21" t="str">
        <f>'Verks int o kostn'!D35</f>
        <v/>
      </c>
      <c r="B21" s="1593" t="s">
        <v>1229</v>
      </c>
      <c r="C21" t="str">
        <f t="shared" si="6"/>
        <v/>
      </c>
      <c r="D21">
        <f>Vht_int</f>
        <v>0</v>
      </c>
    </row>
    <row r="22" spans="1:4">
      <c r="A22" t="str">
        <f>'Verks int o kostn'!$J$41</f>
        <v/>
      </c>
      <c r="B22" t="s">
        <v>945</v>
      </c>
      <c r="C22" t="str">
        <f>IF(AND(A22&lt;&gt;"",D22=0), A22,"")</f>
        <v/>
      </c>
      <c r="D22">
        <f>Vht_kostn</f>
        <v>0</v>
      </c>
    </row>
    <row r="23" spans="1:4">
      <c r="A23" s="331" t="str">
        <f>'Verks int o kostn'!$J$45</f>
        <v/>
      </c>
      <c r="B23" t="s">
        <v>944</v>
      </c>
      <c r="C23" t="str">
        <f t="shared" si="6"/>
        <v/>
      </c>
      <c r="D23">
        <f>Vht_kostn</f>
        <v>0</v>
      </c>
    </row>
    <row r="24" spans="1:4">
      <c r="A24" s="331" t="str">
        <f>'Verks int o kostn'!$D$76</f>
        <v/>
      </c>
      <c r="B24" t="s">
        <v>940</v>
      </c>
      <c r="C24" t="str">
        <f>IF(AND(A24&lt;&gt;"",D24=0), A24,"")</f>
        <v/>
      </c>
      <c r="D24">
        <f>Vht_kostn</f>
        <v>0</v>
      </c>
    </row>
    <row r="25" spans="1:4">
      <c r="A25" t="str">
        <f>'Skatter, bidrag o fin poster'!$E$11</f>
        <v>Kommentera beloppet</v>
      </c>
      <c r="B25" t="s">
        <v>946</v>
      </c>
      <c r="C25" t="str">
        <f t="shared" si="6"/>
        <v>Kommentera beloppet</v>
      </c>
      <c r="D25">
        <f>Skatter_bidrag_finpost</f>
        <v>0</v>
      </c>
    </row>
    <row r="26" spans="1:4">
      <c r="A26" t="str">
        <f>'Skatter, bidrag o fin poster'!E28</f>
        <v/>
      </c>
      <c r="B26" s="1593" t="s">
        <v>1304</v>
      </c>
      <c r="C26" t="str">
        <f t="shared" si="6"/>
        <v/>
      </c>
      <c r="D26">
        <f>Skatter_bidrag_finpost</f>
        <v>0</v>
      </c>
    </row>
    <row r="27" spans="1:4">
      <c r="A27" s="331" t="str">
        <f>Investeringar!$C$16</f>
        <v/>
      </c>
      <c r="B27" t="s">
        <v>947</v>
      </c>
      <c r="C27" t="str">
        <f t="shared" si="6"/>
        <v/>
      </c>
      <c r="D27">
        <f t="shared" si="1"/>
        <v>0</v>
      </c>
    </row>
    <row r="28" spans="1:4">
      <c r="A28" s="331" t="str">
        <f>Investeringar!$D$16</f>
        <v/>
      </c>
      <c r="B28" t="s">
        <v>948</v>
      </c>
      <c r="C28" t="str">
        <f t="shared" si="6"/>
        <v/>
      </c>
      <c r="D28">
        <f t="shared" si="1"/>
        <v>0</v>
      </c>
    </row>
    <row r="29" spans="1:4">
      <c r="A29" s="331" t="str">
        <f>Investeringar!$E$16</f>
        <v/>
      </c>
      <c r="B29" t="s">
        <v>949</v>
      </c>
      <c r="C29" t="str">
        <f t="shared" si="6"/>
        <v/>
      </c>
      <c r="D29">
        <f t="shared" si="1"/>
        <v>0</v>
      </c>
    </row>
    <row r="30" spans="1:4">
      <c r="A30" s="331" t="str">
        <f>Investeringar!$F$16</f>
        <v/>
      </c>
      <c r="B30" t="s">
        <v>950</v>
      </c>
      <c r="C30" t="str">
        <f t="shared" si="6"/>
        <v/>
      </c>
      <c r="D30">
        <f t="shared" si="1"/>
        <v>0</v>
      </c>
    </row>
    <row r="31" spans="1:4">
      <c r="A31" s="331" t="str">
        <f>Investeringar!G66</f>
        <v/>
      </c>
      <c r="B31" t="s">
        <v>1231</v>
      </c>
      <c r="C31" t="str">
        <f t="shared" si="6"/>
        <v/>
      </c>
      <c r="D31">
        <f t="shared" si="1"/>
        <v>0</v>
      </c>
    </row>
    <row r="32" spans="1:4">
      <c r="A32" s="331" t="str">
        <f>Drift!AD113</f>
        <v/>
      </c>
      <c r="B32" t="s">
        <v>951</v>
      </c>
      <c r="C32" t="str">
        <f>IF(AND(A32&lt;&gt;"",D32=0),A32,"")</f>
        <v/>
      </c>
      <c r="D32">
        <f t="shared" si="3"/>
        <v>0</v>
      </c>
    </row>
    <row r="33" spans="1:4">
      <c r="A33" t="str">
        <f>Drift!$N$114</f>
        <v/>
      </c>
      <c r="B33" t="s">
        <v>952</v>
      </c>
      <c r="C33" t="str">
        <f>IF(AND(A33&lt;&gt;"",D33=0), A33,"")</f>
        <v/>
      </c>
      <c r="D33">
        <f t="shared" si="3"/>
        <v>0</v>
      </c>
    </row>
    <row r="34" spans="1:4">
      <c r="A34" s="331" t="str">
        <f>Drift!X116</f>
        <v/>
      </c>
      <c r="B34" t="s">
        <v>1132</v>
      </c>
      <c r="C34" t="str">
        <f t="shared" si="6"/>
        <v/>
      </c>
      <c r="D34">
        <f t="shared" si="3"/>
        <v>0</v>
      </c>
    </row>
    <row r="35" spans="1:4">
      <c r="A35" t="str">
        <f>Drift!J118</f>
        <v/>
      </c>
      <c r="B35" t="s">
        <v>1133</v>
      </c>
      <c r="C35" t="str">
        <f t="shared" si="6"/>
        <v/>
      </c>
      <c r="D35">
        <f t="shared" si="3"/>
        <v>0</v>
      </c>
    </row>
    <row r="36" spans="1:4">
      <c r="A36">
        <f>Motpart!$AD$10</f>
        <v>0</v>
      </c>
      <c r="B36" t="s">
        <v>954</v>
      </c>
      <c r="C36">
        <f t="shared" ref="C36:C46" si="7">IF(AND(A36&lt;&gt;"",D36=0),A36,"")</f>
        <v>0</v>
      </c>
      <c r="D36">
        <f t="shared" ref="D36:D46" si="8">Spec_intäkter</f>
        <v>0</v>
      </c>
    </row>
    <row r="37" spans="1:4">
      <c r="A37">
        <f>Motpart!$AD$39</f>
        <v>0</v>
      </c>
      <c r="B37" t="s">
        <v>1075</v>
      </c>
      <c r="C37">
        <f t="shared" si="7"/>
        <v>0</v>
      </c>
      <c r="D37">
        <f t="shared" si="8"/>
        <v>0</v>
      </c>
    </row>
    <row r="38" spans="1:4">
      <c r="A38">
        <f>Motpart!$M$41</f>
        <v>0</v>
      </c>
      <c r="B38" t="s">
        <v>1068</v>
      </c>
      <c r="C38">
        <f t="shared" si="7"/>
        <v>0</v>
      </c>
      <c r="D38">
        <f>Köp_huvudvht</f>
        <v>0</v>
      </c>
    </row>
    <row r="39" spans="1:4">
      <c r="A39" s="331">
        <f>Motpart!$X$41</f>
        <v>0</v>
      </c>
      <c r="B39" t="s">
        <v>1069</v>
      </c>
      <c r="C39">
        <f t="shared" si="7"/>
        <v>0</v>
      </c>
      <c r="D39">
        <f>Bidrag_o_transfer.</f>
        <v>0</v>
      </c>
    </row>
    <row r="40" spans="1:4">
      <c r="A40" s="331">
        <f>Motpart!$U$42</f>
        <v>0</v>
      </c>
      <c r="B40" t="s">
        <v>1140</v>
      </c>
      <c r="C40">
        <f t="shared" si="7"/>
        <v>0</v>
      </c>
      <c r="D40">
        <f>Bidrag_o_transfer.</f>
        <v>0</v>
      </c>
    </row>
    <row r="41" spans="1:4">
      <c r="A41" s="331" t="str">
        <f>Motpart!$AA$43</f>
        <v/>
      </c>
      <c r="B41" t="s">
        <v>1072</v>
      </c>
      <c r="C41" t="str">
        <f t="shared" si="7"/>
        <v/>
      </c>
      <c r="D41">
        <f t="shared" si="8"/>
        <v>0</v>
      </c>
    </row>
    <row r="42" spans="1:4">
      <c r="A42" s="331" t="str">
        <f>Motpart!$AB$43</f>
        <v/>
      </c>
      <c r="B42" t="s">
        <v>1073</v>
      </c>
      <c r="C42" t="str">
        <f t="shared" si="7"/>
        <v/>
      </c>
      <c r="D42">
        <f t="shared" si="8"/>
        <v>0</v>
      </c>
    </row>
    <row r="43" spans="1:4">
      <c r="A43" s="331" t="str">
        <f>Motpart!$AC$43</f>
        <v/>
      </c>
      <c r="B43" t="s">
        <v>1074</v>
      </c>
      <c r="C43" t="str">
        <f t="shared" si="7"/>
        <v/>
      </c>
      <c r="D43">
        <f t="shared" si="8"/>
        <v>0</v>
      </c>
    </row>
    <row r="44" spans="1:4">
      <c r="A44" s="331" t="str">
        <f>Motpart!V43</f>
        <v/>
      </c>
      <c r="B44" t="s">
        <v>1249</v>
      </c>
      <c r="C44" t="str">
        <f t="shared" si="7"/>
        <v/>
      </c>
      <c r="D44">
        <f t="shared" si="5"/>
        <v>0</v>
      </c>
    </row>
    <row r="45" spans="1:4">
      <c r="A45" s="331" t="str">
        <f>Motpart!$Y$43</f>
        <v/>
      </c>
      <c r="B45" t="s">
        <v>1070</v>
      </c>
      <c r="C45" t="str">
        <f t="shared" si="7"/>
        <v/>
      </c>
      <c r="D45">
        <f t="shared" si="8"/>
        <v>0</v>
      </c>
    </row>
    <row r="46" spans="1:4">
      <c r="A46" s="331" t="str">
        <f>Motpart!$Z$43</f>
        <v/>
      </c>
      <c r="B46" t="s">
        <v>1071</v>
      </c>
      <c r="C46" t="str">
        <f t="shared" si="7"/>
        <v/>
      </c>
      <c r="D46">
        <f t="shared" si="8"/>
        <v>0</v>
      </c>
    </row>
    <row r="47" spans="1:4">
      <c r="A47" s="331" t="str">
        <f>Motpart!D44</f>
        <v/>
      </c>
      <c r="B47" t="s">
        <v>1233</v>
      </c>
      <c r="C47" t="str">
        <f t="shared" ref="C47:C54" si="9">IF(AND(A47&lt;&gt;"",D47=0),A47,"")</f>
        <v/>
      </c>
      <c r="D47">
        <f t="shared" si="4"/>
        <v>0</v>
      </c>
    </row>
    <row r="48" spans="1:4">
      <c r="A48" s="331" t="str">
        <f>Motpart!D45</f>
        <v/>
      </c>
      <c r="B48" t="s">
        <v>1234</v>
      </c>
      <c r="C48" t="str">
        <f t="shared" si="9"/>
        <v/>
      </c>
      <c r="D48">
        <f t="shared" si="4"/>
        <v>0</v>
      </c>
    </row>
    <row r="49" spans="1:8">
      <c r="A49" s="331" t="str">
        <f>Motpart!I44</f>
        <v/>
      </c>
      <c r="B49" t="s">
        <v>1237</v>
      </c>
      <c r="C49" t="str">
        <f>IF(AND(A49&lt;&gt;"",D49=0),A49,"")</f>
        <v/>
      </c>
      <c r="D49">
        <f t="shared" si="4"/>
        <v>0</v>
      </c>
    </row>
    <row r="50" spans="1:8">
      <c r="A50" s="331" t="str">
        <f>Motpart!I45</f>
        <v/>
      </c>
      <c r="B50" t="s">
        <v>1238</v>
      </c>
      <c r="C50" t="str">
        <f>IF(AND(A50&lt;&gt;"",D50=0),A50,"")</f>
        <v/>
      </c>
      <c r="D50">
        <f t="shared" si="4"/>
        <v>0</v>
      </c>
    </row>
    <row r="51" spans="1:8">
      <c r="A51" s="331" t="str">
        <f>Motpart!O44</f>
        <v/>
      </c>
      <c r="B51" t="s">
        <v>1241</v>
      </c>
      <c r="C51" t="str">
        <f t="shared" si="9"/>
        <v/>
      </c>
      <c r="D51">
        <f t="shared" si="5"/>
        <v>0</v>
      </c>
    </row>
    <row r="52" spans="1:8">
      <c r="A52" s="331" t="str">
        <f>Motpart!O45</f>
        <v/>
      </c>
      <c r="B52" t="s">
        <v>1242</v>
      </c>
      <c r="C52" t="str">
        <f t="shared" si="9"/>
        <v/>
      </c>
      <c r="D52">
        <f t="shared" si="5"/>
        <v>0</v>
      </c>
    </row>
    <row r="53" spans="1:8">
      <c r="A53" s="331" t="str">
        <f>Motpart!S44</f>
        <v/>
      </c>
      <c r="B53" t="s">
        <v>1245</v>
      </c>
      <c r="C53" t="str">
        <f t="shared" si="9"/>
        <v/>
      </c>
      <c r="D53">
        <f t="shared" si="5"/>
        <v>0</v>
      </c>
    </row>
    <row r="54" spans="1:8">
      <c r="A54" s="331" t="str">
        <f>Motpart!S45</f>
        <v/>
      </c>
      <c r="B54" t="s">
        <v>1246</v>
      </c>
      <c r="C54" t="str">
        <f t="shared" si="9"/>
        <v/>
      </c>
      <c r="D54">
        <f t="shared" si="5"/>
        <v>0</v>
      </c>
    </row>
    <row r="55" spans="1:8">
      <c r="A55" s="1772" t="str">
        <f>'Pedagogisk verksamhet'!P9</f>
        <v/>
      </c>
      <c r="B55" s="1593" t="s">
        <v>1119</v>
      </c>
      <c r="C55" t="str">
        <f t="shared" ref="C55:C71" si="10">IF(AND(A55&lt;&gt;"",D55=0),CONCATENATE(E55,F55),"")</f>
        <v/>
      </c>
      <c r="D55">
        <f>Förskola</f>
        <v>0</v>
      </c>
      <c r="E55" t="str">
        <f>CONCATENATE(A55,H55)</f>
        <v xml:space="preserve"> förskola</v>
      </c>
      <c r="F55" s="331"/>
      <c r="H55" t="s">
        <v>1252</v>
      </c>
    </row>
    <row r="56" spans="1:8">
      <c r="A56" t="str">
        <f>'Pedagogisk verksamhet'!P17</f>
        <v/>
      </c>
      <c r="B56" s="1593" t="s">
        <v>1118</v>
      </c>
      <c r="C56" t="str">
        <f t="shared" si="10"/>
        <v/>
      </c>
      <c r="D56">
        <f>Fritidshem</f>
        <v>0</v>
      </c>
      <c r="E56" t="str">
        <f>CONCATENATE(A56,H56)</f>
        <v xml:space="preserve"> fritidshem</v>
      </c>
      <c r="F56" s="331"/>
      <c r="H56" t="s">
        <v>1253</v>
      </c>
    </row>
    <row r="57" spans="1:8">
      <c r="A57" t="str">
        <f>'Pedagogisk verksamhet'!P25</f>
        <v/>
      </c>
      <c r="B57" s="1593" t="s">
        <v>1303</v>
      </c>
      <c r="C57" t="str">
        <f t="shared" si="10"/>
        <v/>
      </c>
      <c r="D57">
        <f>Förskoleklass</f>
        <v>0</v>
      </c>
      <c r="E57" t="str">
        <f>CONCATENATE(A57,H57)</f>
        <v xml:space="preserve"> förskoleklass</v>
      </c>
      <c r="F57" s="331"/>
      <c r="H57" t="s">
        <v>1254</v>
      </c>
    </row>
    <row r="58" spans="1:8">
      <c r="A58" t="str">
        <f>'Pedagogisk verksamhet'!P31</f>
        <v/>
      </c>
      <c r="B58" s="1593" t="s">
        <v>1112</v>
      </c>
      <c r="C58" t="str">
        <f t="shared" si="10"/>
        <v/>
      </c>
      <c r="D58">
        <f>Grundskola</f>
        <v>0</v>
      </c>
      <c r="E58" t="str">
        <f>CONCATENATE(A58,H58)</f>
        <v xml:space="preserve"> grundskola</v>
      </c>
      <c r="F58" s="331"/>
      <c r="H58" t="s">
        <v>1255</v>
      </c>
    </row>
    <row r="59" spans="1:8">
      <c r="A59" t="str">
        <f>'Pedagogisk verksamhet'!$P$43</f>
        <v/>
      </c>
      <c r="B59" t="s">
        <v>955</v>
      </c>
      <c r="C59" t="str">
        <f t="shared" si="10"/>
        <v/>
      </c>
      <c r="D59">
        <f>Grundskola</f>
        <v>0</v>
      </c>
      <c r="E59" s="331" t="s">
        <v>1120</v>
      </c>
      <c r="H59" s="331" t="s">
        <v>1120</v>
      </c>
    </row>
    <row r="60" spans="1:8">
      <c r="A60" t="str">
        <f>'Pedagogisk verksamhet'!P44</f>
        <v/>
      </c>
      <c r="B60" s="1593" t="s">
        <v>1113</v>
      </c>
      <c r="C60" t="str">
        <f t="shared" si="10"/>
        <v/>
      </c>
      <c r="D60">
        <f>Grundsärskola</f>
        <v>0</v>
      </c>
      <c r="E60" t="str">
        <f>CONCATENATE(A60,H60)</f>
        <v xml:space="preserve"> grundsärskola</v>
      </c>
      <c r="F60" s="331"/>
      <c r="H60" t="s">
        <v>1256</v>
      </c>
    </row>
    <row r="61" spans="1:8">
      <c r="A61" t="str">
        <f>'Pedagogisk verksamhet'!$P$53</f>
        <v/>
      </c>
      <c r="B61" t="s">
        <v>956</v>
      </c>
      <c r="C61" t="str">
        <f t="shared" si="10"/>
        <v/>
      </c>
      <c r="D61">
        <f>Grundsärskola</f>
        <v>0</v>
      </c>
      <c r="E61" t="s">
        <v>1250</v>
      </c>
      <c r="F61" s="331"/>
      <c r="H61" t="s">
        <v>1250</v>
      </c>
    </row>
    <row r="62" spans="1:8">
      <c r="A62" t="str">
        <f>'Pedagogisk verksamhet'!P57</f>
        <v/>
      </c>
      <c r="B62" s="1593" t="s">
        <v>1121</v>
      </c>
      <c r="C62" t="str">
        <f t="shared" si="10"/>
        <v/>
      </c>
      <c r="D62">
        <f>Grundsärskola</f>
        <v>0</v>
      </c>
      <c r="E62" s="331" t="s">
        <v>1122</v>
      </c>
      <c r="H62" s="331" t="s">
        <v>1122</v>
      </c>
    </row>
    <row r="63" spans="1:8">
      <c r="A63" t="str">
        <f>'Pedagogisk verksamhet'!P58</f>
        <v/>
      </c>
      <c r="B63" s="1593" t="s">
        <v>1114</v>
      </c>
      <c r="C63" t="str">
        <f t="shared" si="10"/>
        <v/>
      </c>
      <c r="D63">
        <f>Gymnasieskola</f>
        <v>0</v>
      </c>
      <c r="E63" t="str">
        <f>CONCATENATE(A63,H63)</f>
        <v xml:space="preserve"> gymnasieskolan</v>
      </c>
      <c r="F63" s="331"/>
      <c r="H63" t="s">
        <v>1257</v>
      </c>
    </row>
    <row r="64" spans="1:8">
      <c r="A64" t="str">
        <f>'Pedagogisk verksamhet'!$P$67</f>
        <v/>
      </c>
      <c r="B64" t="s">
        <v>958</v>
      </c>
      <c r="C64" t="str">
        <f t="shared" si="10"/>
        <v/>
      </c>
      <c r="D64" s="441">
        <f>Gymnasieskola</f>
        <v>0</v>
      </c>
      <c r="E64" t="s">
        <v>1260</v>
      </c>
      <c r="F64" s="331"/>
      <c r="H64" t="s">
        <v>1123</v>
      </c>
    </row>
    <row r="65" spans="1:8">
      <c r="A65" t="str">
        <f>'Pedagogisk verksamhet'!P71</f>
        <v/>
      </c>
      <c r="B65" s="1593" t="s">
        <v>1124</v>
      </c>
      <c r="C65" t="str">
        <f t="shared" si="10"/>
        <v/>
      </c>
      <c r="D65" s="441">
        <f>Gymnasieskola</f>
        <v>0</v>
      </c>
      <c r="E65" t="s">
        <v>1125</v>
      </c>
      <c r="F65" s="331"/>
      <c r="H65" t="s">
        <v>1125</v>
      </c>
    </row>
    <row r="66" spans="1:8">
      <c r="A66" t="str">
        <f>'Pedagogisk verksamhet'!P72</f>
        <v/>
      </c>
      <c r="B66" s="1593" t="s">
        <v>1115</v>
      </c>
      <c r="C66" t="str">
        <f t="shared" si="10"/>
        <v/>
      </c>
      <c r="D66" s="441">
        <f>Gymnasieskola</f>
        <v>0</v>
      </c>
      <c r="E66" t="s">
        <v>1251</v>
      </c>
      <c r="F66" s="331"/>
      <c r="H66" t="s">
        <v>1251</v>
      </c>
    </row>
    <row r="67" spans="1:8">
      <c r="A67" t="str">
        <f>'Pedagogisk verksamhet'!P85</f>
        <v/>
      </c>
      <c r="B67" s="1593" t="s">
        <v>1126</v>
      </c>
      <c r="C67" t="str">
        <f t="shared" si="10"/>
        <v/>
      </c>
      <c r="D67" s="441">
        <f>Gymnasieskola</f>
        <v>0</v>
      </c>
      <c r="E67" t="s">
        <v>1127</v>
      </c>
      <c r="F67" s="331"/>
      <c r="H67" t="s">
        <v>1127</v>
      </c>
    </row>
    <row r="68" spans="1:8">
      <c r="A68" t="str">
        <f>'Pedagogisk verksamhet'!P86</f>
        <v/>
      </c>
      <c r="B68" s="1593" t="s">
        <v>1116</v>
      </c>
      <c r="C68" t="str">
        <f t="shared" si="10"/>
        <v/>
      </c>
      <c r="D68" s="441">
        <f>Grundvux</f>
        <v>0</v>
      </c>
      <c r="E68" t="str">
        <f>CONCATENATE(A68,H68)</f>
        <v xml:space="preserve"> grundläggande vuxenutbildning </v>
      </c>
      <c r="F68" s="331"/>
      <c r="H68" t="s">
        <v>1258</v>
      </c>
    </row>
    <row r="69" spans="1:8">
      <c r="A69" t="str">
        <f>'Pedagogisk verksamhet'!P93</f>
        <v/>
      </c>
      <c r="B69" s="1593" t="s">
        <v>1128</v>
      </c>
      <c r="C69" t="str">
        <f t="shared" si="10"/>
        <v/>
      </c>
      <c r="D69" s="441">
        <f>Grundvux</f>
        <v>0</v>
      </c>
      <c r="E69" t="s">
        <v>1129</v>
      </c>
      <c r="F69" s="331"/>
      <c r="H69" t="s">
        <v>1129</v>
      </c>
    </row>
    <row r="70" spans="1:8">
      <c r="A70" t="str">
        <f>'Pedagogisk verksamhet'!P95</f>
        <v/>
      </c>
      <c r="B70" s="1593" t="s">
        <v>1117</v>
      </c>
      <c r="C70" t="str">
        <f t="shared" si="10"/>
        <v/>
      </c>
      <c r="D70">
        <f>Gymnvux</f>
        <v>0</v>
      </c>
      <c r="E70" t="str">
        <f>CONCATENATE(A70,H70)</f>
        <v xml:space="preserve"> gymnasial vuxen- och påbyggnadsutbildning </v>
      </c>
      <c r="F70" s="331"/>
      <c r="H70" t="s">
        <v>1259</v>
      </c>
    </row>
    <row r="71" spans="1:8">
      <c r="A71" t="str">
        <f>'Pedagogisk verksamhet'!P102</f>
        <v/>
      </c>
      <c r="B71" s="1593" t="s">
        <v>1130</v>
      </c>
      <c r="C71" t="str">
        <f t="shared" si="10"/>
        <v/>
      </c>
      <c r="D71">
        <f>Gymnvux</f>
        <v>0</v>
      </c>
      <c r="E71" t="s">
        <v>1131</v>
      </c>
      <c r="F71" s="331"/>
      <c r="H71" t="s">
        <v>1131</v>
      </c>
    </row>
    <row r="72" spans="1:8">
      <c r="A72" s="331">
        <f>'Äldre o personer funktionsn'!$P$20</f>
        <v>0</v>
      </c>
      <c r="B72" t="s">
        <v>972</v>
      </c>
      <c r="C72">
        <f t="shared" ref="C72:C79" si="11">IF(AND(A72&lt;&gt;"",D72=0),A72,"")</f>
        <v>0</v>
      </c>
      <c r="D72">
        <f>Äldre</f>
        <v>0</v>
      </c>
    </row>
    <row r="73" spans="1:8">
      <c r="A73" s="331">
        <f>'Äldre o personer funktionsn'!$P$30</f>
        <v>0</v>
      </c>
      <c r="B73" s="1593" t="s">
        <v>1261</v>
      </c>
      <c r="C73">
        <f t="shared" si="11"/>
        <v>0</v>
      </c>
      <c r="D73">
        <f>Funktionsnedsättning</f>
        <v>0</v>
      </c>
    </row>
    <row r="74" spans="1:8">
      <c r="A74" s="331" t="str">
        <f>'Äldre o personer funktionsn'!$P$38</f>
        <v/>
      </c>
      <c r="B74" s="1593" t="s">
        <v>1262</v>
      </c>
      <c r="C74" t="str">
        <f t="shared" si="11"/>
        <v/>
      </c>
      <c r="D74">
        <f>LSS</f>
        <v>0</v>
      </c>
    </row>
    <row r="75" spans="1:8">
      <c r="A75" t="str">
        <f>'Äldre o personer funktionsn'!$D$59</f>
        <v/>
      </c>
      <c r="B75" t="s">
        <v>973</v>
      </c>
      <c r="C75" t="str">
        <f t="shared" si="11"/>
        <v/>
      </c>
      <c r="D75">
        <f>Spec_VoO</f>
        <v>0</v>
      </c>
    </row>
    <row r="76" spans="1:8">
      <c r="A76" s="331">
        <f>IFO!$L$20</f>
        <v>0</v>
      </c>
      <c r="B76" t="s">
        <v>1281</v>
      </c>
      <c r="C76">
        <f t="shared" si="11"/>
        <v>0</v>
      </c>
      <c r="D76">
        <f>Vuxna_missb.</f>
        <v>0</v>
      </c>
    </row>
    <row r="77" spans="1:8">
      <c r="A77" s="331">
        <f>IFO!$L$28</f>
        <v>0</v>
      </c>
      <c r="B77" t="s">
        <v>1282</v>
      </c>
      <c r="C77">
        <f t="shared" si="11"/>
        <v>0</v>
      </c>
      <c r="D77">
        <f>Barn_o_ungdomsvård</f>
        <v>0</v>
      </c>
    </row>
    <row r="78" spans="1:8">
      <c r="A78" s="331">
        <f>IFO!$L$30</f>
        <v>0</v>
      </c>
      <c r="B78" t="s">
        <v>1280</v>
      </c>
      <c r="C78">
        <f>IF(AND(A78&lt;&gt;"",D78=0),A78,"")</f>
        <v>0</v>
      </c>
      <c r="D78">
        <f>Övr._o_ek.bistånd</f>
        <v>0</v>
      </c>
    </row>
    <row r="79" spans="1:8">
      <c r="A79" s="331">
        <f>IFO!$L$36</f>
        <v>0</v>
      </c>
      <c r="B79" t="s">
        <v>1283</v>
      </c>
      <c r="C79">
        <f t="shared" si="11"/>
        <v>0</v>
      </c>
      <c r="D79">
        <f>Familjerätt</f>
        <v>0</v>
      </c>
    </row>
    <row r="80" spans="1:8">
      <c r="A80" s="331" t="e">
        <f>#REF!</f>
        <v>#REF!</v>
      </c>
      <c r="B80" t="s">
        <v>957</v>
      </c>
      <c r="C80" t="e">
        <f>IF(AND(A80&lt;&gt;"",D80=0,E80=0),A80,"")</f>
        <v>#REF!</v>
      </c>
      <c r="D80" t="e">
        <f>Kontrollblad_1</f>
        <v>#REF!</v>
      </c>
      <c r="E80">
        <f t="shared" ref="E80:E93" si="12">Drift</f>
        <v>0</v>
      </c>
    </row>
    <row r="81" spans="1:5">
      <c r="A81" s="331" t="e">
        <f>#REF!</f>
        <v>#REF!</v>
      </c>
      <c r="B81" t="s">
        <v>959</v>
      </c>
      <c r="C81" t="e">
        <f>IF(AND(A81&lt;&gt;"",D81=0,E81=0),A81,"")</f>
        <v>#REF!</v>
      </c>
      <c r="D81" t="e">
        <f>Kontrollblad_2</f>
        <v>#REF!</v>
      </c>
      <c r="E81">
        <f t="shared" si="12"/>
        <v>0</v>
      </c>
    </row>
    <row r="82" spans="1:5">
      <c r="A82" s="331" t="e">
        <f>#REF!</f>
        <v>#REF!</v>
      </c>
      <c r="B82" t="s">
        <v>960</v>
      </c>
      <c r="C82" t="e">
        <f>IF(AND(A82&lt;&gt;"",D82=0,E82=0),A82,"")</f>
        <v>#REF!</v>
      </c>
      <c r="D82" t="e">
        <f>Kontrollblad_3</f>
        <v>#REF!</v>
      </c>
      <c r="E82">
        <f t="shared" si="12"/>
        <v>0</v>
      </c>
    </row>
    <row r="83" spans="1:5">
      <c r="A83" s="331" t="e">
        <f>#REF!</f>
        <v>#REF!</v>
      </c>
      <c r="B83" t="s">
        <v>961</v>
      </c>
      <c r="C83" t="e">
        <f>IF(AND(A83&lt;&gt;"",D83=0,E83=0),A83,"")</f>
        <v>#REF!</v>
      </c>
      <c r="D83" t="e">
        <f>Kontrollblad_4</f>
        <v>#REF!</v>
      </c>
      <c r="E83">
        <f t="shared" si="12"/>
        <v>0</v>
      </c>
    </row>
    <row r="84" spans="1:5">
      <c r="A84" s="331" t="e">
        <f>#REF!</f>
        <v>#REF!</v>
      </c>
      <c r="B84" t="s">
        <v>962</v>
      </c>
      <c r="C84" t="e">
        <f>IF(AND(A84&lt;&gt;"",D84=0,E84=0),A84,"")</f>
        <v>#REF!</v>
      </c>
      <c r="D84" t="e">
        <f>Kontrollblad_5</f>
        <v>#REF!</v>
      </c>
      <c r="E84">
        <f t="shared" si="12"/>
        <v>0</v>
      </c>
    </row>
    <row r="85" spans="1:5">
      <c r="A85" s="331" t="e">
        <f>#REF!</f>
        <v>#REF!</v>
      </c>
      <c r="B85" t="s">
        <v>963</v>
      </c>
      <c r="C85" t="e">
        <f t="shared" ref="C85:C93" si="13">IF(AND(A85&lt;&gt;"",D85=0,E85=0),A85,"")</f>
        <v>#REF!</v>
      </c>
      <c r="D85" t="e">
        <f>Kontrollblad_6</f>
        <v>#REF!</v>
      </c>
      <c r="E85">
        <f t="shared" si="12"/>
        <v>0</v>
      </c>
    </row>
    <row r="86" spans="1:5">
      <c r="A86" s="331" t="e">
        <f>#REF!</f>
        <v>#REF!</v>
      </c>
      <c r="B86" t="s">
        <v>964</v>
      </c>
      <c r="C86" t="e">
        <f t="shared" si="13"/>
        <v>#REF!</v>
      </c>
      <c r="D86" t="e">
        <f>Kontrollblad_7</f>
        <v>#REF!</v>
      </c>
      <c r="E86">
        <f t="shared" si="12"/>
        <v>0</v>
      </c>
    </row>
    <row r="87" spans="1:5">
      <c r="A87" s="331" t="e">
        <f>#REF!</f>
        <v>#REF!</v>
      </c>
      <c r="B87" t="s">
        <v>965</v>
      </c>
      <c r="C87" t="e">
        <f t="shared" si="13"/>
        <v>#REF!</v>
      </c>
      <c r="D87" t="e">
        <f>Kontrollblad_8</f>
        <v>#REF!</v>
      </c>
      <c r="E87">
        <f t="shared" si="12"/>
        <v>0</v>
      </c>
    </row>
    <row r="88" spans="1:5">
      <c r="A88" s="331" t="e">
        <f>#REF!</f>
        <v>#REF!</v>
      </c>
      <c r="B88" t="s">
        <v>966</v>
      </c>
      <c r="C88" t="e">
        <f t="shared" si="13"/>
        <v>#REF!</v>
      </c>
      <c r="D88" t="e">
        <f>Kontrollblad_9</f>
        <v>#REF!</v>
      </c>
      <c r="E88">
        <f t="shared" si="12"/>
        <v>0</v>
      </c>
    </row>
    <row r="89" spans="1:5">
      <c r="A89" s="331" t="e">
        <f>#REF!</f>
        <v>#REF!</v>
      </c>
      <c r="B89" t="s">
        <v>967</v>
      </c>
      <c r="C89" t="e">
        <f t="shared" si="13"/>
        <v>#REF!</v>
      </c>
      <c r="D89" t="e">
        <f>Kontrollblad_10</f>
        <v>#REF!</v>
      </c>
      <c r="E89">
        <f t="shared" si="12"/>
        <v>0</v>
      </c>
    </row>
    <row r="90" spans="1:5">
      <c r="A90" s="331" t="e">
        <f>#REF!</f>
        <v>#REF!</v>
      </c>
      <c r="B90" t="s">
        <v>968</v>
      </c>
      <c r="C90" t="e">
        <f t="shared" si="13"/>
        <v>#REF!</v>
      </c>
      <c r="D90" t="e">
        <f>Kontrollblad_11</f>
        <v>#REF!</v>
      </c>
      <c r="E90">
        <f t="shared" si="12"/>
        <v>0</v>
      </c>
    </row>
    <row r="91" spans="1:5">
      <c r="A91" s="331" t="e">
        <f>#REF!</f>
        <v>#REF!</v>
      </c>
      <c r="B91" t="s">
        <v>969</v>
      </c>
      <c r="C91" t="e">
        <f t="shared" si="13"/>
        <v>#REF!</v>
      </c>
      <c r="D91" t="e">
        <f>Kontrollblad_12</f>
        <v>#REF!</v>
      </c>
      <c r="E91">
        <f t="shared" si="12"/>
        <v>0</v>
      </c>
    </row>
    <row r="92" spans="1:5">
      <c r="A92" s="331" t="e">
        <f>#REF!</f>
        <v>#REF!</v>
      </c>
      <c r="B92" t="s">
        <v>970</v>
      </c>
      <c r="C92" t="e">
        <f t="shared" si="13"/>
        <v>#REF!</v>
      </c>
      <c r="D92" t="e">
        <f>Kontrollblad_13</f>
        <v>#REF!</v>
      </c>
      <c r="E92">
        <f t="shared" si="12"/>
        <v>0</v>
      </c>
    </row>
    <row r="93" spans="1:5">
      <c r="A93" s="331" t="e">
        <f>#REF!</f>
        <v>#REF!</v>
      </c>
      <c r="B93" t="s">
        <v>971</v>
      </c>
      <c r="C93" t="e">
        <f t="shared" si="13"/>
        <v>#REF!</v>
      </c>
      <c r="D93" t="e">
        <f>Kontrollblad_14</f>
        <v>#REF!</v>
      </c>
      <c r="E93">
        <f t="shared" si="12"/>
        <v>0</v>
      </c>
    </row>
    <row r="94" spans="1:5">
      <c r="A94" t="e">
        <f>IF(AND(A84&lt;&gt;"",D84=0,E84=0),A84,"")</f>
        <v>#REF!</v>
      </c>
    </row>
  </sheetData>
  <sheetProtection password="CBFD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L73"/>
  <sheetViews>
    <sheetView showGridLines="0" zoomScaleNormal="100" workbookViewId="0">
      <pane ySplit="1" topLeftCell="A2" activePane="bottomLeft" state="frozen"/>
      <selection activeCell="I28" sqref="I28"/>
      <selection pane="bottomLeft" activeCell="D14" sqref="D14"/>
    </sheetView>
  </sheetViews>
  <sheetFormatPr defaultColWidth="0" defaultRowHeight="12.75" zeroHeight="1"/>
  <cols>
    <col min="1" max="1" width="4" style="174" customWidth="1"/>
    <col min="2" max="2" width="37.140625" style="174" customWidth="1"/>
    <col min="3" max="3" width="11.5703125" style="174" customWidth="1"/>
    <col min="4" max="4" width="11.7109375" style="174" customWidth="1"/>
    <col min="5" max="5" width="12.140625" style="174" customWidth="1"/>
    <col min="6" max="6" width="5.7109375" style="174" customWidth="1"/>
    <col min="7" max="7" width="24" style="174" customWidth="1"/>
    <col min="8" max="8" width="15" style="174" customWidth="1"/>
    <col min="9" max="9" width="8.7109375" style="174" customWidth="1"/>
    <col min="10" max="10" width="9.140625" style="174" customWidth="1"/>
    <col min="11" max="11" width="10.140625" style="174" customWidth="1"/>
    <col min="12" max="12" width="0" style="174" hidden="1" customWidth="1"/>
    <col min="13" max="16384" width="9.140625" style="174" hidden="1"/>
  </cols>
  <sheetData>
    <row r="1" spans="1:11" ht="21.75">
      <c r="A1" s="82" t="str">
        <f>"Resultaträkning "&amp;År&amp;", miljoner kronor"</f>
        <v>Resultaträkning 2017, miljoner kronor</v>
      </c>
      <c r="B1" s="83"/>
      <c r="C1" s="83"/>
      <c r="D1" s="83"/>
      <c r="E1" s="83"/>
      <c r="F1" s="2260" t="s">
        <v>471</v>
      </c>
      <c r="G1" s="518" t="str">
        <f>'Kn Information'!A2</f>
        <v>RIKSTOTAL</v>
      </c>
      <c r="H1" s="173"/>
      <c r="I1" s="173"/>
      <c r="J1" s="173"/>
      <c r="K1" s="173"/>
    </row>
    <row r="2" spans="1:11" ht="12.75" customHeight="1">
      <c r="A2" s="1290"/>
      <c r="C2" s="2172"/>
      <c r="D2" s="45"/>
      <c r="G2" s="1287"/>
      <c r="H2" s="1372"/>
      <c r="I2" s="45"/>
      <c r="J2" s="4"/>
      <c r="K2" s="175"/>
    </row>
    <row r="3" spans="1:11" ht="12.75" customHeight="1" thickBot="1">
      <c r="C3" s="2"/>
      <c r="D3" s="45"/>
      <c r="G3" s="175"/>
      <c r="H3" s="1372"/>
      <c r="I3" s="45"/>
      <c r="J3" s="175"/>
      <c r="K3" s="175"/>
    </row>
    <row r="4" spans="1:11" ht="12.75" customHeight="1">
      <c r="A4" s="609" t="s">
        <v>656</v>
      </c>
      <c r="B4" s="610"/>
      <c r="C4" s="621" t="s">
        <v>658</v>
      </c>
      <c r="D4" s="622" t="s">
        <v>785</v>
      </c>
      <c r="G4" s="4"/>
      <c r="H4" s="4"/>
      <c r="I4" s="2638" t="s">
        <v>476</v>
      </c>
      <c r="J4" s="2639"/>
      <c r="K4" s="175"/>
    </row>
    <row r="5" spans="1:11" ht="12.75" customHeight="1">
      <c r="A5" s="611" t="s">
        <v>659</v>
      </c>
      <c r="B5" s="612"/>
      <c r="C5" s="623" t="s">
        <v>1313</v>
      </c>
      <c r="D5" s="624" t="s">
        <v>1313</v>
      </c>
      <c r="E5" s="2"/>
      <c r="F5" s="4"/>
      <c r="G5" s="4"/>
      <c r="H5" s="4"/>
      <c r="I5" s="627" t="s">
        <v>658</v>
      </c>
      <c r="J5" s="628" t="s">
        <v>785</v>
      </c>
      <c r="K5" s="175"/>
    </row>
    <row r="6" spans="1:11" ht="12.75" customHeight="1">
      <c r="A6" s="611"/>
      <c r="B6" s="613"/>
      <c r="C6" s="612"/>
      <c r="D6" s="625"/>
      <c r="E6" s="2135"/>
      <c r="F6" s="4"/>
      <c r="G6" s="4"/>
      <c r="H6" s="4"/>
      <c r="I6" s="629"/>
      <c r="J6" s="630"/>
      <c r="K6" s="175"/>
    </row>
    <row r="7" spans="1:11">
      <c r="A7" s="594" t="s">
        <v>288</v>
      </c>
      <c r="B7" s="614" t="s">
        <v>803</v>
      </c>
      <c r="C7" s="179">
        <v>169556</v>
      </c>
      <c r="D7" s="180">
        <v>314122</v>
      </c>
      <c r="E7" s="1432" t="str">
        <f>IF(OR(C7=0,D7=0),"Belopp saknas","")</f>
        <v/>
      </c>
      <c r="F7" s="69"/>
      <c r="G7" s="69"/>
      <c r="H7" s="4"/>
      <c r="I7" s="631">
        <f>C7*1000000/invanare</f>
        <v>16754.144811952126</v>
      </c>
      <c r="J7" s="632">
        <f>D7*1000000/invanare</f>
        <v>31038.981083653929</v>
      </c>
      <c r="K7" s="175"/>
    </row>
    <row r="8" spans="1:11">
      <c r="A8" s="592" t="s">
        <v>289</v>
      </c>
      <c r="B8" s="614" t="s">
        <v>804</v>
      </c>
      <c r="C8" s="179">
        <v>674874</v>
      </c>
      <c r="D8" s="180">
        <v>762558</v>
      </c>
      <c r="E8" s="1432" t="str">
        <f>IF(OR(C8=0,D8=0),"Belopp saknas","")</f>
        <v/>
      </c>
      <c r="F8" s="69"/>
      <c r="G8" s="69"/>
      <c r="H8" s="4"/>
      <c r="I8" s="633">
        <f>C8*1000000/invanare*-1</f>
        <v>-66685.55949551404</v>
      </c>
      <c r="J8" s="632">
        <f>D8*1000000/invanare*-1</f>
        <v>-75349.779185122257</v>
      </c>
      <c r="K8" s="175"/>
    </row>
    <row r="9" spans="1:11">
      <c r="A9" s="592" t="s">
        <v>290</v>
      </c>
      <c r="B9" s="614" t="s">
        <v>1111</v>
      </c>
      <c r="C9" s="66">
        <v>23184</v>
      </c>
      <c r="D9" s="181">
        <v>52320</v>
      </c>
      <c r="E9" s="1432" t="str">
        <f>IF(OR(C9=0,D9=0),"Belopp saknas","")</f>
        <v/>
      </c>
      <c r="F9" s="69"/>
      <c r="G9" s="69"/>
      <c r="H9" s="4"/>
      <c r="I9" s="631">
        <f>C9*1000000/invanare*-1</f>
        <v>-2290.8543096103826</v>
      </c>
      <c r="J9" s="632">
        <f>D9*1000000/invanare*-1</f>
        <v>-5169.8368477749837</v>
      </c>
      <c r="K9" s="175"/>
    </row>
    <row r="10" spans="1:11" ht="13.5" thickBot="1">
      <c r="A10" s="585" t="s">
        <v>291</v>
      </c>
      <c r="B10" s="615" t="s">
        <v>660</v>
      </c>
      <c r="C10" s="350">
        <f>C7-SUM(C8:C9)</f>
        <v>-528502</v>
      </c>
      <c r="D10" s="351">
        <f>D7-SUM(D8:D9)</f>
        <v>-500756</v>
      </c>
      <c r="E10" s="2136"/>
      <c r="F10" s="69"/>
      <c r="G10" s="69"/>
      <c r="H10" s="4"/>
      <c r="I10" s="634">
        <f t="shared" ref="I10:J12" si="0">C10*1000000/invanare</f>
        <v>-52222.2689931723</v>
      </c>
      <c r="J10" s="632">
        <f t="shared" si="0"/>
        <v>-49480.634949243307</v>
      </c>
      <c r="K10" s="175"/>
    </row>
    <row r="11" spans="1:11">
      <c r="A11" s="616" t="s">
        <v>292</v>
      </c>
      <c r="B11" s="617" t="s">
        <v>661</v>
      </c>
      <c r="C11" s="103">
        <f>'Skatter, bidrag o fin poster'!D14</f>
        <v>454635</v>
      </c>
      <c r="D11" s="1288">
        <f>C11</f>
        <v>454635</v>
      </c>
      <c r="E11" s="2136"/>
      <c r="F11" s="69"/>
      <c r="G11" s="69"/>
      <c r="H11" s="4"/>
      <c r="I11" s="635">
        <f t="shared" si="0"/>
        <v>44923.332861012612</v>
      </c>
      <c r="J11" s="636">
        <f t="shared" si="0"/>
        <v>44923.332861012612</v>
      </c>
      <c r="K11" s="175"/>
    </row>
    <row r="12" spans="1:11" ht="18">
      <c r="A12" s="592" t="s">
        <v>293</v>
      </c>
      <c r="B12" s="618" t="s">
        <v>203</v>
      </c>
      <c r="C12" s="104">
        <f>'Skatter, bidrag o fin poster'!D28-'Skatter, bidrag o fin poster'!D39+'Skatter, bidrag o fin poster'!D41</f>
        <v>92180</v>
      </c>
      <c r="D12" s="1289">
        <f>C12</f>
        <v>92180</v>
      </c>
      <c r="E12" s="2136"/>
      <c r="F12" s="69"/>
      <c r="G12" s="69"/>
      <c r="H12" s="4"/>
      <c r="I12" s="631">
        <f t="shared" si="0"/>
        <v>9108.4778407472859</v>
      </c>
      <c r="J12" s="637">
        <f t="shared" si="0"/>
        <v>9108.4778407472859</v>
      </c>
      <c r="K12" s="175"/>
    </row>
    <row r="13" spans="1:11">
      <c r="A13" s="594" t="s">
        <v>294</v>
      </c>
      <c r="B13" s="619" t="s">
        <v>662</v>
      </c>
      <c r="C13" s="179">
        <v>10677</v>
      </c>
      <c r="D13" s="180">
        <v>4355</v>
      </c>
      <c r="E13" s="1432" t="str">
        <f>IF(OR(C13=0,D13=0),"Belopp saknas","")</f>
        <v/>
      </c>
      <c r="F13" s="80"/>
      <c r="G13" s="69"/>
      <c r="H13" s="4"/>
      <c r="I13" s="2641">
        <f>(C13-C14)*1000000/invanare</f>
        <v>545.83674975361259</v>
      </c>
      <c r="J13" s="2643">
        <f>(D13-D14)*1000000/invanare</f>
        <v>-606.50723569653769</v>
      </c>
      <c r="K13" s="175"/>
    </row>
    <row r="14" spans="1:11">
      <c r="A14" s="594" t="s">
        <v>295</v>
      </c>
      <c r="B14" s="619" t="s">
        <v>663</v>
      </c>
      <c r="C14" s="179">
        <v>5153</v>
      </c>
      <c r="D14" s="180">
        <v>10493</v>
      </c>
      <c r="E14" s="1432" t="str">
        <f>IF(OR(C14=0,D14=0),"Belopp saknas","")</f>
        <v/>
      </c>
      <c r="F14" s="80"/>
      <c r="G14" s="69"/>
      <c r="H14" s="4"/>
      <c r="I14" s="2642"/>
      <c r="J14" s="2644"/>
      <c r="K14" s="175"/>
    </row>
    <row r="15" spans="1:11" ht="13.5" thickBot="1">
      <c r="A15" s="540" t="s">
        <v>296</v>
      </c>
      <c r="B15" s="620" t="s">
        <v>664</v>
      </c>
      <c r="C15" s="350">
        <f>SUM(C10:C13)-C14</f>
        <v>23837</v>
      </c>
      <c r="D15" s="352">
        <f>SUM(D10:D13)-D14</f>
        <v>39921</v>
      </c>
      <c r="E15" s="2136"/>
      <c r="G15" s="184"/>
      <c r="H15" s="4"/>
      <c r="I15" s="631">
        <f>C15*1000000/invanare</f>
        <v>2355.3784583412134</v>
      </c>
      <c r="J15" s="638">
        <f>D15*1000000/invanare</f>
        <v>3944.6685168200524</v>
      </c>
      <c r="K15" s="175"/>
    </row>
    <row r="16" spans="1:11">
      <c r="A16" s="616" t="s">
        <v>219</v>
      </c>
      <c r="B16" s="617" t="s">
        <v>665</v>
      </c>
      <c r="C16" s="179">
        <v>560</v>
      </c>
      <c r="D16" s="180">
        <v>259</v>
      </c>
      <c r="E16" s="2137" t="str">
        <f>IF(OR(C16&gt;0,D16&gt;0),"Kommentera belopp","")</f>
        <v>Kommentera belopp</v>
      </c>
      <c r="F16" s="175"/>
      <c r="G16" s="2645"/>
      <c r="H16" s="4"/>
      <c r="I16" s="2641">
        <f>(C16-C17)*1000000/invanare</f>
        <v>-29.643559906966651</v>
      </c>
      <c r="J16" s="2643">
        <f>(D16-D17-D18)*1000000/invanare</f>
        <v>-367.08608351460373</v>
      </c>
      <c r="K16" s="175"/>
    </row>
    <row r="17" spans="1:11">
      <c r="A17" s="594" t="s">
        <v>220</v>
      </c>
      <c r="B17" s="614" t="s">
        <v>666</v>
      </c>
      <c r="C17" s="179">
        <v>860</v>
      </c>
      <c r="D17" s="180">
        <v>867</v>
      </c>
      <c r="E17" s="2137" t="str">
        <f>IF(OR(C17&gt;0,D17&gt;0),"Kommentera belopp","")</f>
        <v>Kommentera belopp</v>
      </c>
      <c r="F17" s="175"/>
      <c r="G17" s="2645"/>
      <c r="H17" s="4"/>
      <c r="I17" s="2642"/>
      <c r="J17" s="2644"/>
      <c r="K17" s="175"/>
    </row>
    <row r="18" spans="1:11">
      <c r="A18" s="592" t="s">
        <v>297</v>
      </c>
      <c r="B18" s="619" t="s">
        <v>647</v>
      </c>
      <c r="C18" s="349"/>
      <c r="D18" s="181">
        <v>3107</v>
      </c>
      <c r="E18" s="1432"/>
      <c r="F18" s="175"/>
      <c r="G18" s="2645"/>
      <c r="H18" s="176"/>
      <c r="I18" s="639"/>
      <c r="J18" s="640"/>
      <c r="K18" s="175"/>
    </row>
    <row r="19" spans="1:11" ht="13.5" thickBot="1">
      <c r="A19" s="585" t="s">
        <v>221</v>
      </c>
      <c r="B19" s="615" t="s">
        <v>667</v>
      </c>
      <c r="C19" s="350">
        <f>SUM(C15:C16)-C17</f>
        <v>23537</v>
      </c>
      <c r="D19" s="352">
        <f>SUM(D15:D16)-D17-D18</f>
        <v>36206</v>
      </c>
      <c r="E19" s="2136"/>
      <c r="F19" s="175"/>
      <c r="G19" s="2645"/>
      <c r="H19" s="4"/>
      <c r="I19" s="634">
        <f>C19*1000000/invanare</f>
        <v>2325.734898434247</v>
      </c>
      <c r="J19" s="641">
        <f>D19*1000000/invanare</f>
        <v>3577.5824333054488</v>
      </c>
      <c r="K19" s="175"/>
    </row>
    <row r="20" spans="1:11" ht="15.75" customHeight="1">
      <c r="A20" s="15"/>
      <c r="B20" s="3"/>
      <c r="C20" s="3"/>
      <c r="D20" s="3"/>
      <c r="E20" s="2"/>
      <c r="F20" s="177"/>
      <c r="G20" s="69"/>
      <c r="H20" s="4"/>
      <c r="I20" s="4"/>
      <c r="J20" s="4"/>
      <c r="K20" s="175"/>
    </row>
    <row r="21" spans="1:11" ht="15.75" customHeight="1" thickBot="1">
      <c r="A21" s="79" t="s">
        <v>1287</v>
      </c>
      <c r="B21" s="3"/>
      <c r="C21" s="3"/>
      <c r="D21" s="3"/>
      <c r="E21" s="2"/>
      <c r="F21" s="177"/>
      <c r="G21" s="69"/>
      <c r="H21" s="4"/>
      <c r="I21" s="4"/>
      <c r="J21" s="4"/>
      <c r="K21" s="175"/>
    </row>
    <row r="22" spans="1:11" ht="15.75" customHeight="1">
      <c r="A22" s="616"/>
      <c r="B22" s="2075"/>
      <c r="C22" s="2077" t="s">
        <v>1322</v>
      </c>
      <c r="D22" s="2183"/>
      <c r="E22" s="2135"/>
      <c r="F22" s="2184"/>
      <c r="G22" s="2185"/>
      <c r="H22" s="2146"/>
      <c r="I22" s="4"/>
      <c r="J22" s="4"/>
      <c r="K22" s="175"/>
    </row>
    <row r="23" spans="1:11" ht="15.75" customHeight="1">
      <c r="A23" s="594" t="s">
        <v>353</v>
      </c>
      <c r="B23" s="2076" t="s">
        <v>1288</v>
      </c>
      <c r="C23" s="2083">
        <v>9495</v>
      </c>
      <c r="D23" s="2183"/>
      <c r="E23" s="2186" t="str">
        <f>IF(OR(C23&gt;0),"Vad avser de jämf.störande intäkter?       ","")</f>
        <v xml:space="preserve">Vad avser de jämf.störande intäkter?       </v>
      </c>
      <c r="F23" s="2184"/>
      <c r="G23" s="2646"/>
      <c r="H23" s="2146"/>
      <c r="I23" s="4"/>
      <c r="J23" s="4"/>
      <c r="K23" s="175"/>
    </row>
    <row r="24" spans="1:11" ht="15.75" customHeight="1">
      <c r="A24" s="594" t="s">
        <v>684</v>
      </c>
      <c r="B24" s="2076" t="s">
        <v>1289</v>
      </c>
      <c r="C24" s="2083">
        <v>5084</v>
      </c>
      <c r="D24" s="2183"/>
      <c r="E24" s="2186" t="str">
        <f>IF(OR(C24&gt;0),"Vad avser de jämf.störande kostnader? ","")</f>
        <v xml:space="preserve">Vad avser de jämf.störande kostnader? </v>
      </c>
      <c r="F24" s="2184"/>
      <c r="G24" s="2647"/>
      <c r="H24" s="2146"/>
      <c r="I24" s="4"/>
      <c r="J24" s="4"/>
      <c r="K24" s="175"/>
    </row>
    <row r="25" spans="1:11" ht="15.75" customHeight="1">
      <c r="A25" s="594" t="s">
        <v>1290</v>
      </c>
      <c r="B25" s="2076" t="s">
        <v>1291</v>
      </c>
      <c r="C25" s="2083">
        <v>555</v>
      </c>
      <c r="D25" s="2183"/>
      <c r="E25" s="2186" t="str">
        <f>IF(OR(C25&gt;0),"Vad avser de jämf.störande av-/nedskr?","")</f>
        <v>Vad avser de jämf.störande av-/nedskr?</v>
      </c>
      <c r="F25" s="2184"/>
      <c r="G25" s="2647"/>
      <c r="H25" s="2146"/>
      <c r="I25" s="4"/>
      <c r="J25" s="4"/>
      <c r="K25" s="175"/>
    </row>
    <row r="26" spans="1:11" ht="15.75" customHeight="1">
      <c r="A26" s="594" t="s">
        <v>1292</v>
      </c>
      <c r="B26" s="2076" t="s">
        <v>1293</v>
      </c>
      <c r="C26" s="2083">
        <v>907</v>
      </c>
      <c r="D26" s="2183"/>
      <c r="E26" s="2186" t="str">
        <f>IF(OR(C26&gt;0),"Vad avser de jämf.störande fin.intäkter?","")</f>
        <v>Vad avser de jämf.störande fin.intäkter?</v>
      </c>
      <c r="F26" s="2184"/>
      <c r="G26" s="2647"/>
      <c r="H26" s="2146"/>
      <c r="I26" s="4"/>
      <c r="J26" s="4"/>
      <c r="K26" s="175"/>
    </row>
    <row r="27" spans="1:11" ht="15.75" customHeight="1" thickBot="1">
      <c r="A27" s="596" t="s">
        <v>1294</v>
      </c>
      <c r="B27" s="2078" t="s">
        <v>1295</v>
      </c>
      <c r="C27" s="2084">
        <v>123</v>
      </c>
      <c r="D27" s="2183"/>
      <c r="E27" s="2186" t="str">
        <f>IF(OR(C27&gt;0),"Vad avser de jämf.störande kostnader?","")</f>
        <v>Vad avser de jämf.störande kostnader?</v>
      </c>
      <c r="F27" s="2184"/>
      <c r="G27" s="2174"/>
      <c r="H27" s="2146"/>
      <c r="I27" s="4"/>
      <c r="J27" s="4"/>
      <c r="K27" s="175"/>
    </row>
    <row r="28" spans="1:11" ht="15.75" customHeight="1" thickBot="1">
      <c r="A28" s="15"/>
      <c r="B28" s="3"/>
      <c r="C28" s="3"/>
      <c r="D28" s="2183"/>
      <c r="E28" s="2135"/>
      <c r="F28" s="2184"/>
      <c r="G28" s="2174"/>
      <c r="H28" s="2146"/>
      <c r="I28" s="4"/>
      <c r="J28" s="4"/>
      <c r="K28" s="175"/>
    </row>
    <row r="29" spans="1:11" ht="18" customHeight="1" thickBot="1">
      <c r="A29" s="79" t="s">
        <v>150</v>
      </c>
      <c r="B29" s="4"/>
      <c r="C29" s="4"/>
      <c r="D29" s="2146"/>
      <c r="E29" s="2146"/>
      <c r="F29" s="2146"/>
      <c r="G29" s="2187"/>
      <c r="H29" s="2146"/>
      <c r="I29" s="642" t="s">
        <v>476</v>
      </c>
      <c r="J29" s="178"/>
      <c r="K29" s="175"/>
    </row>
    <row r="30" spans="1:11">
      <c r="A30" s="129">
        <v>130</v>
      </c>
      <c r="B30" s="1552" t="s">
        <v>151</v>
      </c>
      <c r="C30" s="353">
        <f>C19</f>
        <v>23537</v>
      </c>
      <c r="D30" s="2146"/>
      <c r="E30" s="2146"/>
      <c r="F30" s="2146"/>
      <c r="G30" s="2632"/>
      <c r="H30" s="2146"/>
      <c r="I30" s="643">
        <f>C30*1000000/invanare</f>
        <v>2325.734898434247</v>
      </c>
      <c r="J30" s="176"/>
      <c r="K30" s="175"/>
    </row>
    <row r="31" spans="1:11">
      <c r="A31" s="130">
        <v>131</v>
      </c>
      <c r="B31" s="626" t="str">
        <f>"- reducering av samtliga realisationsvinster"</f>
        <v>- reducering av samtliga realisationsvinster</v>
      </c>
      <c r="C31" s="105">
        <v>6428</v>
      </c>
      <c r="D31" s="1432"/>
      <c r="E31" s="2146"/>
      <c r="F31" s="2146"/>
      <c r="G31" s="2633"/>
      <c r="H31" s="2146"/>
      <c r="I31" s="644"/>
      <c r="J31" s="176"/>
      <c r="K31" s="175"/>
    </row>
    <row r="32" spans="1:11">
      <c r="A32" s="130">
        <v>132</v>
      </c>
      <c r="B32" s="626" t="str">
        <f>"+ justering för realisationsvinster enl. undantagsmöjlighet"</f>
        <v>+ justering för realisationsvinster enl. undantagsmöjlighet</v>
      </c>
      <c r="C32" s="105">
        <v>158</v>
      </c>
      <c r="D32" s="1432"/>
      <c r="E32" s="2146"/>
      <c r="F32" s="2188"/>
      <c r="G32" s="2633"/>
      <c r="H32" s="2146"/>
      <c r="I32" s="646"/>
      <c r="J32" s="176"/>
      <c r="K32" s="175"/>
    </row>
    <row r="33" spans="1:11">
      <c r="A33" s="130">
        <v>135</v>
      </c>
      <c r="B33" s="626" t="str">
        <f>"+ justering av realisationsförluster enl. undantagsmöjlighet"</f>
        <v>+ justering av realisationsförluster enl. undantagsmöjlighet</v>
      </c>
      <c r="C33" s="182">
        <v>31</v>
      </c>
      <c r="D33" s="1432"/>
      <c r="E33" s="2146"/>
      <c r="F33" s="2146"/>
      <c r="G33" s="2633"/>
      <c r="H33" s="2146"/>
      <c r="I33" s="1346"/>
      <c r="J33" s="176"/>
      <c r="K33" s="175"/>
    </row>
    <row r="34" spans="1:11" ht="16.5" customHeight="1">
      <c r="A34" s="130">
        <v>136</v>
      </c>
      <c r="B34" s="626" t="str">
        <f>"+ orealiserade förluster i värdepapper"</f>
        <v>+ orealiserade förluster i värdepapper</v>
      </c>
      <c r="C34" s="182">
        <v>18</v>
      </c>
      <c r="D34" s="1432"/>
      <c r="E34" s="2146"/>
      <c r="F34" s="2146"/>
      <c r="G34" s="2189"/>
      <c r="H34" s="2146"/>
      <c r="I34" s="646"/>
      <c r="J34" s="176"/>
      <c r="K34" s="175"/>
    </row>
    <row r="35" spans="1:11" ht="12.75" customHeight="1">
      <c r="A35" s="569">
        <v>140</v>
      </c>
      <c r="B35" s="619" t="str">
        <f>"- justering för återföring av orealiserade förluster i värdepapper"</f>
        <v>- justering för återföring av orealiserade förluster i värdepapper</v>
      </c>
      <c r="C35" s="182">
        <v>56</v>
      </c>
      <c r="D35" s="1432"/>
      <c r="E35" s="2146"/>
      <c r="F35" s="2146"/>
      <c r="G35" s="2188"/>
      <c r="H35" s="2146"/>
      <c r="I35" s="646"/>
      <c r="J35" s="4"/>
      <c r="K35" s="175"/>
    </row>
    <row r="36" spans="1:11" ht="12.75" customHeight="1">
      <c r="A36" s="1488">
        <v>141</v>
      </c>
      <c r="B36" s="1339" t="str">
        <f xml:space="preserve"> " = Årets resultat efter balanskravsjusteringar"</f>
        <v xml:space="preserve"> = Årets resultat efter balanskravsjusteringar</v>
      </c>
      <c r="C36" s="354">
        <f>C30-C31+C32+C33+C34-C35</f>
        <v>17260</v>
      </c>
      <c r="D36" s="1432"/>
      <c r="E36" s="2146"/>
      <c r="F36" s="2146"/>
      <c r="G36" s="2190"/>
      <c r="H36" s="2146"/>
      <c r="I36" s="646"/>
      <c r="J36" s="4"/>
      <c r="K36" s="175"/>
    </row>
    <row r="37" spans="1:11" ht="13.5" customHeight="1">
      <c r="A37" s="581">
        <v>142</v>
      </c>
      <c r="B37" s="614" t="str">
        <f>"- reservering av medel till resultatutjämningsreserv"</f>
        <v>- reservering av medel till resultatutjämningsreserv</v>
      </c>
      <c r="C37" s="182">
        <v>3297</v>
      </c>
      <c r="D37" s="1432"/>
      <c r="E37" s="2146"/>
      <c r="F37" s="2146"/>
      <c r="G37" s="2190"/>
      <c r="H37" s="2146"/>
      <c r="I37" s="646"/>
      <c r="J37" s="4"/>
      <c r="K37" s="175"/>
    </row>
    <row r="38" spans="1:11" ht="12.75" customHeight="1">
      <c r="A38" s="569">
        <v>143</v>
      </c>
      <c r="B38" s="619" t="str">
        <f>"+ användning av medel från resultatutjämninsreserv"</f>
        <v>+ användning av medel från resultatutjämninsreserv</v>
      </c>
      <c r="C38" s="182">
        <v>10</v>
      </c>
      <c r="D38" s="1432"/>
      <c r="E38" s="2146"/>
      <c r="F38" s="2146"/>
      <c r="G38" s="2190"/>
      <c r="H38" s="2146"/>
      <c r="I38" s="646"/>
      <c r="J38" s="4"/>
      <c r="K38" s="175"/>
    </row>
    <row r="39" spans="1:11" ht="12.75" customHeight="1">
      <c r="A39" s="131">
        <v>133</v>
      </c>
      <c r="B39" s="1339" t="str">
        <f>"= Balanskravsresultat"</f>
        <v>= Balanskravsresultat</v>
      </c>
      <c r="C39" s="354">
        <f>C36-C37+C38</f>
        <v>13973</v>
      </c>
      <c r="D39" s="1432"/>
      <c r="E39" s="2146"/>
      <c r="F39" s="2146"/>
      <c r="G39" s="2191"/>
      <c r="H39" s="2146"/>
      <c r="I39" s="1771">
        <f>C39*1000000/invanare</f>
        <v>1380.6982086001501</v>
      </c>
      <c r="J39" s="4"/>
      <c r="K39" s="175"/>
    </row>
    <row r="40" spans="1:11" ht="33" customHeight="1">
      <c r="A40" s="1736"/>
      <c r="B40" s="1737" t="s">
        <v>1102</v>
      </c>
      <c r="C40" s="750"/>
      <c r="D40" s="2146"/>
      <c r="E40" s="2146"/>
      <c r="F40" s="2146"/>
      <c r="G40" s="2191"/>
      <c r="H40" s="2146"/>
      <c r="I40" s="646"/>
      <c r="J40" s="4"/>
      <c r="K40" s="175"/>
    </row>
    <row r="41" spans="1:11" ht="12.75" customHeight="1">
      <c r="A41" s="1578">
        <v>144</v>
      </c>
      <c r="B41" s="1553" t="s">
        <v>1103</v>
      </c>
      <c r="C41" s="1554">
        <v>490</v>
      </c>
      <c r="D41" s="2146"/>
      <c r="E41" s="2146"/>
      <c r="F41" s="2146"/>
      <c r="G41" s="2191"/>
      <c r="H41" s="2146"/>
      <c r="I41" s="646"/>
      <c r="J41" s="4"/>
      <c r="K41" s="175"/>
    </row>
    <row r="42" spans="1:11" ht="12.75" customHeight="1">
      <c r="A42" s="569">
        <v>145</v>
      </c>
      <c r="B42" s="1555" t="s">
        <v>1104</v>
      </c>
      <c r="C42" s="182">
        <v>1121</v>
      </c>
      <c r="D42" s="1432"/>
      <c r="E42" s="2146"/>
      <c r="F42" s="2146"/>
      <c r="G42" s="2191"/>
      <c r="H42" s="2146"/>
      <c r="I42" s="645"/>
      <c r="J42" s="4"/>
      <c r="K42" s="175"/>
    </row>
    <row r="43" spans="1:11" ht="13.5" customHeight="1" thickBot="1">
      <c r="A43" s="578">
        <v>146</v>
      </c>
      <c r="B43" s="1556" t="str">
        <f>"= Resultat efter synnerliga skäl m.m."</f>
        <v>= Resultat efter synnerliga skäl m.m.</v>
      </c>
      <c r="C43" s="351">
        <f>C39-C41+C42</f>
        <v>14604</v>
      </c>
      <c r="D43" s="1774"/>
      <c r="E43" s="2146"/>
      <c r="F43" s="2146"/>
      <c r="G43" s="2191"/>
      <c r="H43" s="2146"/>
      <c r="I43" s="647">
        <f>C43*1000000/invanare</f>
        <v>1443.0484962711366</v>
      </c>
      <c r="J43" s="4"/>
      <c r="K43" s="175"/>
    </row>
    <row r="44" spans="1:11" ht="21.75" customHeight="1" thickBot="1">
      <c r="A44" s="1601">
        <v>137</v>
      </c>
      <c r="B44" s="1558" t="s">
        <v>1105</v>
      </c>
      <c r="C44" s="1557">
        <v>15</v>
      </c>
      <c r="D44" s="2173" t="str">
        <f>IF(C7=0,"",IF(C44&lt;&gt;0,"Kommentera andra synnerliga skäl",""))</f>
        <v>Kommentera andra synnerliga skäl</v>
      </c>
      <c r="E44" s="2146"/>
      <c r="F44" s="2146"/>
      <c r="G44" s="2146"/>
      <c r="H44" s="2146"/>
      <c r="I44" s="4"/>
      <c r="J44" s="4"/>
      <c r="K44" s="175"/>
    </row>
    <row r="45" spans="1:11" ht="12.75" customHeight="1">
      <c r="A45" s="175"/>
      <c r="B45" s="175"/>
      <c r="C45" s="175"/>
      <c r="D45" s="4"/>
      <c r="E45" s="4"/>
      <c r="F45" s="4"/>
      <c r="G45" s="648" t="s">
        <v>540</v>
      </c>
      <c r="H45" s="649"/>
      <c r="I45" s="2638" t="s">
        <v>1273</v>
      </c>
      <c r="J45" s="2640"/>
      <c r="K45" s="175"/>
    </row>
    <row r="46" spans="1:11" ht="21.75" customHeight="1">
      <c r="A46" s="175"/>
      <c r="B46" s="175"/>
      <c r="C46" s="175"/>
      <c r="D46" s="4"/>
      <c r="E46" s="4"/>
      <c r="F46" s="175"/>
      <c r="G46" s="650"/>
      <c r="H46" s="651"/>
      <c r="I46" s="652" t="s">
        <v>658</v>
      </c>
      <c r="J46" s="653" t="s">
        <v>785</v>
      </c>
      <c r="K46" s="175"/>
    </row>
    <row r="47" spans="1:11" ht="19.5" customHeight="1">
      <c r="A47" s="175"/>
      <c r="B47" s="175"/>
      <c r="C47" s="175"/>
      <c r="D47" s="175"/>
      <c r="E47" s="175"/>
      <c r="F47" s="175"/>
      <c r="G47" s="2634" t="s">
        <v>554</v>
      </c>
      <c r="H47" s="2635"/>
      <c r="I47" s="631">
        <f>IF(ISERROR(C10*100/SUM(C11:C12)*-1),0,C10*100/SUM(C11:C12)*-1)</f>
        <v>96.65096970639064</v>
      </c>
      <c r="J47" s="654">
        <f>IF(ISERROR(D10*100/SUM(D11:D12)*-1),0,D10*100/SUM(D11:D12)*-1)</f>
        <v>91.576858718213657</v>
      </c>
      <c r="K47" s="175"/>
    </row>
    <row r="48" spans="1:11" ht="15" customHeight="1">
      <c r="A48" s="4"/>
      <c r="B48" s="4"/>
      <c r="C48" s="4"/>
      <c r="D48" s="175"/>
      <c r="E48" s="175"/>
      <c r="F48" s="175"/>
      <c r="G48" s="655" t="s">
        <v>555</v>
      </c>
      <c r="H48" s="656"/>
      <c r="I48" s="633">
        <f>IF(ISERROR((C13-C14)*100/SUM(C11:C12)),0,(C13-C14)*100/SUM(C11:C12))</f>
        <v>1.0102136920164955</v>
      </c>
      <c r="J48" s="654">
        <f>IF(ISERROR((D13-D14)*100/SUM(D11:D12)),0,(D13-D14)*100/SUM(D11:D12))</f>
        <v>-1.1225002971754616</v>
      </c>
      <c r="K48" s="175"/>
    </row>
    <row r="49" spans="1:11" ht="19.5" customHeight="1">
      <c r="A49" s="4"/>
      <c r="B49" s="4"/>
      <c r="C49" s="4"/>
      <c r="D49" s="175"/>
      <c r="E49" s="175"/>
      <c r="F49" s="175"/>
      <c r="G49" s="2636" t="s">
        <v>557</v>
      </c>
      <c r="H49" s="2637"/>
      <c r="I49" s="633">
        <f>IF(ISERROR(C15*100/SUM(C11:C12)),0,C15*100/SUM(C11:C12))</f>
        <v>4.3592439856258514</v>
      </c>
      <c r="J49" s="654">
        <f>IF(ISERROR(D15*100/SUM(D11:D12)),0,D15*100/SUM(D11:D12))</f>
        <v>7.3006409846108831</v>
      </c>
      <c r="K49" s="175"/>
    </row>
    <row r="50" spans="1:11" ht="19.5" customHeight="1">
      <c r="A50" s="175"/>
      <c r="B50" s="175"/>
      <c r="C50" s="175"/>
      <c r="D50" s="175"/>
      <c r="E50" s="175"/>
      <c r="F50" s="175"/>
      <c r="G50" s="655" t="s">
        <v>792</v>
      </c>
      <c r="H50" s="656"/>
      <c r="I50" s="633">
        <f>IF(ISERROR(C19*100/SUM(C11:C12)),0,C19*100/SUM(C11:C12))</f>
        <v>4.3043808234960634</v>
      </c>
      <c r="J50" s="654">
        <f>IF(ISERROR(D19*100/SUM(D11:D12)),0,D19*100/SUM(D11:D12))</f>
        <v>6.6212521602370087</v>
      </c>
      <c r="K50" s="175"/>
    </row>
    <row r="51" spans="1:11" ht="13.5" customHeight="1">
      <c r="A51" s="175"/>
      <c r="B51" s="175"/>
      <c r="C51" s="175"/>
      <c r="D51" s="175"/>
      <c r="E51" s="175"/>
      <c r="F51" s="175"/>
      <c r="G51" s="657" t="s">
        <v>558</v>
      </c>
      <c r="H51" s="658"/>
      <c r="I51" s="633">
        <f>IF(C8&gt;0,C7*100/(C8+C9),0)</f>
        <v>24.289672204888419</v>
      </c>
      <c r="J51" s="654">
        <f>IF(D8&gt;0,D7*100/(D8+D9),0)</f>
        <v>38.548347114537393</v>
      </c>
      <c r="K51" s="175"/>
    </row>
    <row r="52" spans="1:11" ht="14.25" customHeight="1">
      <c r="A52" s="175"/>
      <c r="B52" s="175"/>
      <c r="C52" s="175"/>
      <c r="D52" s="175"/>
      <c r="E52" s="175"/>
      <c r="F52" s="175"/>
      <c r="G52" s="657" t="s">
        <v>793</v>
      </c>
      <c r="H52" s="659"/>
      <c r="I52" s="633">
        <f>IF(ISERROR((Investeringar!C7+Investeringar!D7+Investeringar!E7-Investeringar!C78)*100/SUM(C11:C12)),0,(Investeringar!C7+Investeringar!D7+Investeringar!E7-Investeringar!C78)*100/SUM(C11:C12))</f>
        <v>14.666020500534916</v>
      </c>
      <c r="J52" s="660"/>
      <c r="K52" s="175"/>
    </row>
    <row r="53" spans="1:11" ht="12.75" customHeight="1">
      <c r="A53" s="175"/>
      <c r="B53" s="175"/>
      <c r="C53" s="175"/>
      <c r="D53" s="175"/>
      <c r="E53" s="175"/>
      <c r="F53" s="175"/>
      <c r="G53" s="657" t="s">
        <v>542</v>
      </c>
      <c r="H53" s="659"/>
      <c r="I53" s="633">
        <f>IF(ISERROR((Investeringar!C8+Investeringar!D8+Investeringar!E8)*100/SUM(C11:C12)*-1),0,(Investeringar!C8+Investeringar!D8+Investeringar!E8)*100/SUM(C11:C12)*-1)</f>
        <v>1.8849153735724149</v>
      </c>
      <c r="J53" s="661"/>
      <c r="K53" s="175"/>
    </row>
    <row r="54" spans="1:11" ht="12.75" customHeight="1">
      <c r="A54" s="175"/>
      <c r="B54" s="175"/>
      <c r="C54" s="175"/>
      <c r="D54" s="175"/>
      <c r="E54" s="175"/>
      <c r="F54" s="175"/>
      <c r="G54" s="657" t="s">
        <v>543</v>
      </c>
      <c r="H54" s="659"/>
      <c r="I54" s="633">
        <f>IF(ISERROR((Investeringar!C66)/SUM(Investeringar!C8:E8)*-1),0,(Investeringar!C66)/SUM(Investeringar!C8:E8)*-1)</f>
        <v>6.154652178131367</v>
      </c>
      <c r="J54" s="661"/>
      <c r="K54" s="175"/>
    </row>
    <row r="55" spans="1:11" ht="12.75" customHeight="1" thickBot="1">
      <c r="A55" s="175"/>
      <c r="B55" s="175"/>
      <c r="C55" s="175"/>
      <c r="D55" s="175"/>
      <c r="E55" s="175"/>
      <c r="F55" s="175"/>
      <c r="G55" s="662" t="s">
        <v>541</v>
      </c>
      <c r="H55" s="663"/>
      <c r="I55" s="664">
        <f>IF(ISERROR(BR!D32*100/RR!C8),0,BR!D32*100/RR!C8)</f>
        <v>5.6363113707151262</v>
      </c>
      <c r="J55" s="665"/>
      <c r="K55" s="175"/>
    </row>
    <row r="56" spans="1:11" ht="12.75" customHeight="1">
      <c r="A56" s="175"/>
      <c r="B56" s="175"/>
      <c r="C56" s="175"/>
      <c r="D56" s="175"/>
      <c r="E56" s="175"/>
      <c r="F56" s="175"/>
      <c r="G56" s="150"/>
      <c r="H56" s="1343"/>
      <c r="I56" s="1344"/>
      <c r="J56" s="1345"/>
      <c r="K56" s="209"/>
    </row>
    <row r="57" spans="1:11" ht="12.75" customHeight="1">
      <c r="A57" s="175"/>
      <c r="B57" s="175"/>
      <c r="C57" s="175"/>
      <c r="D57" s="175"/>
      <c r="E57" s="175"/>
      <c r="F57" s="175"/>
      <c r="G57" s="150"/>
      <c r="H57" s="1343"/>
      <c r="I57" s="1344"/>
      <c r="J57" s="1345"/>
      <c r="K57" s="209"/>
    </row>
    <row r="58" spans="1:11" ht="19.5" customHeight="1">
      <c r="A58" s="175"/>
      <c r="B58" s="175"/>
      <c r="C58" s="175"/>
      <c r="D58" s="175"/>
      <c r="E58" s="175"/>
      <c r="F58" s="175"/>
      <c r="G58" s="150"/>
      <c r="H58" s="1343"/>
      <c r="I58" s="1344"/>
      <c r="J58" s="1345"/>
      <c r="K58" s="209"/>
    </row>
    <row r="59" spans="1:11">
      <c r="A59" s="175"/>
      <c r="B59" s="175"/>
      <c r="C59" s="175"/>
      <c r="D59" s="175"/>
      <c r="E59" s="175"/>
      <c r="F59" s="175"/>
      <c r="G59" s="150"/>
      <c r="H59" s="1343"/>
      <c r="I59" s="1344"/>
      <c r="J59" s="1345"/>
      <c r="K59" s="175"/>
    </row>
    <row r="60" spans="1:11" hidden="1">
      <c r="A60" s="175"/>
      <c r="B60" s="175"/>
      <c r="C60" s="175"/>
      <c r="G60" s="860"/>
      <c r="H60" s="1340"/>
      <c r="I60" s="1341"/>
      <c r="J60" s="1342"/>
      <c r="K60" s="175"/>
    </row>
    <row r="61" spans="1:11" hidden="1">
      <c r="A61" s="175"/>
      <c r="B61" s="175"/>
      <c r="C61" s="175"/>
      <c r="G61" s="175"/>
      <c r="H61" s="175"/>
      <c r="I61" s="175"/>
      <c r="J61" s="175"/>
      <c r="K61" s="175"/>
    </row>
    <row r="62" spans="1:11" hidden="1">
      <c r="A62" s="175"/>
      <c r="B62" s="175"/>
      <c r="C62" s="175"/>
    </row>
    <row r="63" spans="1:11" hidden="1"/>
    <row r="64" spans="1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</sheetData>
  <sheetProtection password="CBFD" sheet="1" objects="1" scenarios="1"/>
  <customSheetViews>
    <customSheetView guid="{27C9E95B-0E2B-454F-B637-1CECC9579A10}" showGridLines="0" hiddenRows="1" hiddenColumns="1" showRuler="0">
      <selection activeCell="G15" sqref="G15"/>
      <pageMargins left="0.70866141732283472" right="0.70866141732283472" top="0.74803149606299213" bottom="0.52" header="0.31496062992125984" footer="0.31496062992125984"/>
      <pageSetup paperSize="9" scale="85" orientation="landscape" r:id="rId1"/>
      <headerFooter alignWithMargins="0">
        <oddHeader>&amp;L&amp;8Statistiska Centralbyrån
Offentlig ekonomi&amp;R&amp;P</oddHeader>
      </headerFooter>
    </customSheetView>
    <customSheetView guid="{99FBDEB7-DD08-4F57-81F4-3C180403E153}" showGridLines="0" hiddenRows="1" hiddenColumns="1">
      <selection activeCell="E17" sqref="E17"/>
      <pageMargins left="0.70866141732283472" right="0.70866141732283472" top="0.74803149606299213" bottom="0.52" header="0.31496062992125984" footer="0.31496062992125984"/>
      <pageSetup paperSize="9" scale="85" orientation="landscape" r:id="rId2"/>
      <headerFooter>
        <oddHeader>&amp;L&amp;8Statistiska Centralbyrån
Offentlig ekonomi&amp;R&amp;P</oddHeader>
      </headerFooter>
    </customSheetView>
    <customSheetView guid="{97D6DB71-3F4C-4C5F-8C5B-51E3EBF78932}" showPageBreaks="1" showGridLines="0" hiddenRows="1" hiddenColumns="1">
      <selection activeCell="E17" sqref="E17"/>
      <pageMargins left="0.70866141732283472" right="0.70866141732283472" top="0.74803149606299213" bottom="0.52" header="0.31496062992125984" footer="0.31496062992125984"/>
      <pageSetup paperSize="9" scale="85" orientation="landscape" r:id="rId3"/>
      <headerFooter>
        <oddHeader>&amp;L&amp;8Statistiska Centralbyrån
Offentlig ekonomi&amp;R&amp;P</oddHeader>
      </headerFooter>
    </customSheetView>
  </customSheetViews>
  <mergeCells count="11">
    <mergeCell ref="G30:G33"/>
    <mergeCell ref="G47:H47"/>
    <mergeCell ref="G49:H49"/>
    <mergeCell ref="I4:J4"/>
    <mergeCell ref="I45:J45"/>
    <mergeCell ref="I13:I14"/>
    <mergeCell ref="J13:J14"/>
    <mergeCell ref="I16:I17"/>
    <mergeCell ref="J16:J17"/>
    <mergeCell ref="G16:G19"/>
    <mergeCell ref="G23:G26"/>
  </mergeCells>
  <phoneticPr fontId="95" type="noConversion"/>
  <conditionalFormatting sqref="C7:D9 C13:D14 C16:D17 C41">
    <cfRule type="cellIs" dxfId="141" priority="6" stopIfTrue="1" operator="lessThan">
      <formula>-500</formula>
    </cfRule>
  </conditionalFormatting>
  <conditionalFormatting sqref="C31:C34">
    <cfRule type="cellIs" dxfId="140" priority="8" stopIfTrue="1" operator="lessThan">
      <formula>-5</formula>
    </cfRule>
  </conditionalFormatting>
  <conditionalFormatting sqref="C35">
    <cfRule type="cellIs" dxfId="139" priority="5" stopIfTrue="1" operator="lessThan">
      <formula>-5</formula>
    </cfRule>
  </conditionalFormatting>
  <conditionalFormatting sqref="C37">
    <cfRule type="cellIs" dxfId="138" priority="4" stopIfTrue="1" operator="lessThan">
      <formula>-5</formula>
    </cfRule>
  </conditionalFormatting>
  <conditionalFormatting sqref="C38">
    <cfRule type="cellIs" dxfId="137" priority="3" stopIfTrue="1" operator="lessThan">
      <formula>-5</formula>
    </cfRule>
  </conditionalFormatting>
  <conditionalFormatting sqref="C42">
    <cfRule type="cellIs" dxfId="136" priority="2" stopIfTrue="1" operator="lessThan">
      <formula>-5</formula>
    </cfRule>
  </conditionalFormatting>
  <dataValidations count="5">
    <dataValidation type="decimal" operator="lessThan" allowBlank="1" showInputMessage="1" showErrorMessage="1" error="Beloppet ska vara i 1000 tal kronor" sqref="C38 C33:C34 D18 C42:C44 C16:D17">
      <formula1>99999999</formula1>
    </dataValidation>
    <dataValidation type="decimal" operator="lessThan" allowBlank="1" showInputMessage="1" showErrorMessage="1" error="Beloppet ska vara i 1000 tal kronoer" sqref="C7:D9">
      <formula1>99999999</formula1>
    </dataValidation>
    <dataValidation type="decimal" operator="lessThan" allowBlank="1" showInputMessage="1" showErrorMessage="1" error="Beloppet ska vara i tusental kronor" sqref="C13:D14">
      <formula1>99999999</formula1>
    </dataValidation>
    <dataValidation type="decimal" allowBlank="1" showInputMessage="1" showErrorMessage="1" error="Beloppet ska vara i 1000 tal kronor_x000a_Inget minusbelopp anges, beräkningen sker automatiskt." sqref="C31:C32 C35 C37 C41">
      <formula1>0</formula1>
      <formula2>99999999</formula2>
    </dataValidation>
    <dataValidation type="decimal" operator="greaterThanOrEqual" allowBlank="1" showInputMessage="1" showErrorMessage="1" error="Belopp anges utan minustecken" sqref="C23:C27">
      <formula1>0</formula1>
    </dataValidation>
  </dataValidations>
  <pageMargins left="0.70866141732283472" right="0.70866141732283472" top="0.74803149606299213" bottom="0.52" header="0.31496062992125984" footer="0.31496062992125984"/>
  <pageSetup paperSize="9" scale="85" orientation="landscape" r:id="rId4"/>
  <headerFooter>
    <oddHeader>&amp;L&amp;8Statistiska Centralbyrån
Offentlig ekonomi&amp;R&amp;P</oddHead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U112"/>
  <sheetViews>
    <sheetView showGridLines="0" zoomScaleNormal="100" workbookViewId="0">
      <pane ySplit="1" topLeftCell="A26" activePane="bottomLeft" state="frozen"/>
      <selection activeCell="I28" sqref="I28"/>
      <selection pane="bottomLeft" activeCell="E43" sqref="E43"/>
    </sheetView>
  </sheetViews>
  <sheetFormatPr defaultColWidth="0" defaultRowHeight="12.75" zeroHeight="1"/>
  <cols>
    <col min="1" max="1" width="4" style="147" customWidth="1"/>
    <col min="2" max="2" width="10.85546875" style="147" customWidth="1"/>
    <col min="3" max="3" width="35.85546875" style="147" customWidth="1"/>
    <col min="4" max="4" width="10.5703125" style="147" customWidth="1"/>
    <col min="5" max="5" width="10.140625" style="147" customWidth="1"/>
    <col min="6" max="6" width="23" style="174" customWidth="1"/>
    <col min="7" max="7" width="4" style="174" customWidth="1"/>
    <col min="8" max="8" width="7.28515625" style="174" customWidth="1"/>
    <col min="9" max="9" width="30.28515625" style="174" customWidth="1"/>
    <col min="10" max="10" width="11.28515625" style="174" customWidth="1"/>
    <col min="11" max="11" width="12.28515625" style="174" customWidth="1"/>
    <col min="12" max="12" width="32" style="174" customWidth="1"/>
    <col min="13" max="14" width="9.85546875" style="174" customWidth="1"/>
    <col min="15" max="15" width="2.140625" style="174" customWidth="1"/>
    <col min="16" max="16" width="6" style="174" customWidth="1"/>
    <col min="17" max="17" width="10.7109375" style="147" customWidth="1"/>
    <col min="18" max="18" width="3.85546875" style="147" customWidth="1"/>
    <col min="19" max="20" width="6" style="174" customWidth="1"/>
    <col min="21" max="21" width="0" hidden="1" customWidth="1"/>
    <col min="22" max="16384" width="0" style="174" hidden="1"/>
  </cols>
  <sheetData>
    <row r="1" spans="1:20" ht="20.25">
      <c r="A1" s="96" t="str">
        <f>"Balansräkning "&amp;År&amp;", miljoner kronor"</f>
        <v>Balansräkning 2017, miljoner kronor</v>
      </c>
      <c r="B1" s="97"/>
      <c r="C1" s="97"/>
      <c r="D1" s="98"/>
      <c r="E1" s="2260" t="s">
        <v>471</v>
      </c>
      <c r="F1" s="520" t="str">
        <f>'Kn Information'!A2</f>
        <v>RIKSTOTAL</v>
      </c>
      <c r="G1" s="520"/>
      <c r="H1" s="520"/>
      <c r="I1" s="520"/>
      <c r="J1" s="173"/>
      <c r="K1" s="173"/>
      <c r="L1" s="173"/>
      <c r="M1" s="173"/>
      <c r="N1" s="173"/>
      <c r="O1" s="201"/>
      <c r="P1" s="201"/>
      <c r="Q1" s="1607"/>
      <c r="R1" s="1607"/>
      <c r="S1" s="201"/>
      <c r="T1" s="173"/>
    </row>
    <row r="2" spans="1:20" ht="12.75" customHeight="1">
      <c r="A2" s="1290"/>
      <c r="E2" s="150"/>
      <c r="I2" s="4"/>
      <c r="J2" s="1372"/>
      <c r="K2" s="84"/>
      <c r="M2" s="45"/>
      <c r="N2" s="4"/>
      <c r="P2" s="176"/>
    </row>
    <row r="3" spans="1:20" ht="12.75" customHeight="1" thickBot="1">
      <c r="C3" s="2602"/>
      <c r="D3" s="2601"/>
      <c r="E3" s="2440"/>
      <c r="I3" s="209"/>
      <c r="J3" s="4"/>
      <c r="K3" s="4"/>
      <c r="L3" s="4"/>
      <c r="M3" s="4"/>
      <c r="N3" s="4"/>
      <c r="P3" s="176"/>
    </row>
    <row r="4" spans="1:20" s="186" customFormat="1">
      <c r="A4" s="2598" t="s">
        <v>668</v>
      </c>
      <c r="B4" s="2600" t="s">
        <v>814</v>
      </c>
      <c r="C4" s="667" t="s">
        <v>788</v>
      </c>
      <c r="D4" s="693" t="s">
        <v>658</v>
      </c>
      <c r="E4" s="694" t="s">
        <v>785</v>
      </c>
      <c r="F4" s="2192"/>
      <c r="G4" s="2192"/>
      <c r="H4" s="2155"/>
      <c r="I4" s="2155"/>
      <c r="J4" s="2155"/>
      <c r="K4" s="2155"/>
      <c r="L4" s="2155"/>
      <c r="M4" s="2638" t="s">
        <v>476</v>
      </c>
      <c r="N4" s="2648"/>
      <c r="O4" s="1405"/>
      <c r="P4" s="1336"/>
      <c r="Q4" s="1608"/>
      <c r="R4" s="1404"/>
      <c r="S4" s="1337"/>
      <c r="T4" s="1337"/>
    </row>
    <row r="5" spans="1:20" s="186" customFormat="1" ht="32.25" customHeight="1">
      <c r="A5" s="2599" t="s">
        <v>659</v>
      </c>
      <c r="B5" s="2658"/>
      <c r="C5" s="669"/>
      <c r="D5" s="695"/>
      <c r="E5" s="696"/>
      <c r="F5" s="2155"/>
      <c r="G5" s="2155"/>
      <c r="H5" s="2155"/>
      <c r="I5" s="2155"/>
      <c r="J5" s="2155"/>
      <c r="K5" s="2155"/>
      <c r="L5" s="2155"/>
      <c r="M5" s="704" t="s">
        <v>658</v>
      </c>
      <c r="N5" s="705" t="s">
        <v>785</v>
      </c>
      <c r="O5" s="1405"/>
      <c r="P5" s="1336"/>
      <c r="Q5" s="1337"/>
      <c r="R5" s="1337"/>
      <c r="S5" s="2656"/>
      <c r="T5" s="2654"/>
    </row>
    <row r="6" spans="1:20" ht="15">
      <c r="A6" s="670"/>
      <c r="B6" s="2659"/>
      <c r="C6" s="671"/>
      <c r="D6" s="697"/>
      <c r="E6" s="698"/>
      <c r="F6" s="2146"/>
      <c r="G6" s="2146"/>
      <c r="H6" s="2146"/>
      <c r="I6" s="2146"/>
      <c r="J6" s="2146"/>
      <c r="K6" s="2146"/>
      <c r="L6" s="2146"/>
      <c r="M6" s="706"/>
      <c r="N6" s="707"/>
      <c r="O6" s="1406"/>
      <c r="P6" s="1336"/>
      <c r="Q6" s="1413"/>
      <c r="R6" s="1413"/>
      <c r="S6" s="2656"/>
      <c r="T6" s="2655"/>
    </row>
    <row r="7" spans="1:20" ht="15">
      <c r="A7" s="672"/>
      <c r="B7" s="673"/>
      <c r="C7" s="674" t="s">
        <v>669</v>
      </c>
      <c r="D7" s="699"/>
      <c r="E7" s="700"/>
      <c r="F7" s="2138"/>
      <c r="G7" s="2146"/>
      <c r="H7" s="2146"/>
      <c r="I7" s="2146"/>
      <c r="J7" s="2146"/>
      <c r="K7" s="2146"/>
      <c r="L7" s="2146"/>
      <c r="M7" s="708"/>
      <c r="N7" s="709"/>
      <c r="O7" s="77"/>
      <c r="P7" s="250"/>
      <c r="Q7" s="1610"/>
      <c r="R7" s="250"/>
    </row>
    <row r="8" spans="1:20" ht="7.5" customHeight="1">
      <c r="A8" s="672"/>
      <c r="B8" s="673"/>
      <c r="C8" s="675"/>
      <c r="D8" s="701"/>
      <c r="E8" s="702"/>
      <c r="F8" s="2138"/>
      <c r="G8" s="2146"/>
      <c r="H8" s="2146"/>
      <c r="I8" s="2146"/>
      <c r="J8" s="2146"/>
      <c r="K8" s="2146"/>
      <c r="L8" s="2146"/>
      <c r="M8" s="708"/>
      <c r="N8" s="709"/>
      <c r="O8" s="77"/>
      <c r="P8" s="250"/>
      <c r="Q8" s="1610"/>
      <c r="R8" s="250"/>
    </row>
    <row r="9" spans="1:20" ht="14.45" customHeight="1">
      <c r="A9" s="592" t="s">
        <v>298</v>
      </c>
      <c r="B9" s="676">
        <v>10</v>
      </c>
      <c r="C9" s="677" t="s">
        <v>670</v>
      </c>
      <c r="D9" s="190">
        <v>794</v>
      </c>
      <c r="E9" s="448">
        <v>2149</v>
      </c>
      <c r="F9" s="1432" t="str">
        <f>IF(OR(D9="",E9=""),"Skriv belopp eller 0","")</f>
        <v/>
      </c>
      <c r="G9" s="2146"/>
      <c r="H9" s="2146"/>
      <c r="I9" s="2146"/>
      <c r="J9" s="2146"/>
      <c r="K9" s="2146"/>
      <c r="L9" s="2146"/>
      <c r="M9" s="710"/>
      <c r="N9" s="711"/>
      <c r="O9" s="1372"/>
      <c r="P9" s="1414"/>
      <c r="Q9" s="1611"/>
      <c r="R9" s="1612"/>
    </row>
    <row r="10" spans="1:20" ht="14.45" customHeight="1">
      <c r="A10" s="592" t="s">
        <v>299</v>
      </c>
      <c r="B10" s="678">
        <v>11</v>
      </c>
      <c r="C10" s="563" t="s">
        <v>671</v>
      </c>
      <c r="D10" s="190">
        <v>457334</v>
      </c>
      <c r="E10" s="703"/>
      <c r="F10" s="2138"/>
      <c r="G10" s="2146"/>
      <c r="H10" s="2146"/>
      <c r="I10" s="2146"/>
      <c r="J10" s="2146"/>
      <c r="K10" s="2146"/>
      <c r="L10" s="2146"/>
      <c r="M10" s="712"/>
      <c r="N10" s="713"/>
      <c r="O10" s="1372"/>
      <c r="P10" s="1414"/>
      <c r="Q10" s="1414"/>
      <c r="R10" s="1414"/>
    </row>
    <row r="11" spans="1:20" ht="14.45" customHeight="1">
      <c r="A11" s="592" t="s">
        <v>300</v>
      </c>
      <c r="B11" s="678">
        <v>12</v>
      </c>
      <c r="C11" s="563" t="s">
        <v>672</v>
      </c>
      <c r="D11" s="190">
        <v>23968</v>
      </c>
      <c r="E11" s="703"/>
      <c r="F11" s="2138"/>
      <c r="G11" s="81" t="s">
        <v>477</v>
      </c>
      <c r="H11" s="4"/>
      <c r="I11" s="4"/>
      <c r="J11" s="4"/>
      <c r="K11" s="4"/>
      <c r="L11" s="4"/>
      <c r="M11" s="712"/>
      <c r="N11" s="713"/>
      <c r="O11" s="1372"/>
      <c r="P11" s="1414"/>
      <c r="Q11" s="1414"/>
      <c r="R11" s="1414"/>
    </row>
    <row r="12" spans="1:20" ht="14.45" customHeight="1">
      <c r="A12" s="592" t="s">
        <v>290</v>
      </c>
      <c r="B12" s="679">
        <v>11.12</v>
      </c>
      <c r="C12" s="680" t="s">
        <v>673</v>
      </c>
      <c r="D12" s="355">
        <f>SUM(D10:D11)</f>
        <v>481302</v>
      </c>
      <c r="E12" s="191">
        <v>1191274</v>
      </c>
      <c r="F12" s="1432" t="str">
        <f>IF(D12&gt;E12,"konc. &lt; kom.",IF(OR(D12=0,E12=0),"Belopp saknas",""))</f>
        <v/>
      </c>
      <c r="G12" s="1574" t="s">
        <v>1324</v>
      </c>
      <c r="H12" s="1574"/>
      <c r="I12" s="1572"/>
      <c r="J12" s="1573"/>
      <c r="K12" s="176"/>
      <c r="L12" s="4"/>
      <c r="M12" s="631">
        <f>(D9+D12)*1000000/invanare</f>
        <v>47636.80552302998</v>
      </c>
      <c r="N12" s="632">
        <f>(E9+E12)*1000000/invanare</f>
        <v>117924.35398283954</v>
      </c>
      <c r="O12" s="1345"/>
      <c r="P12" s="1414"/>
      <c r="Q12" s="1612"/>
      <c r="R12" s="1612"/>
      <c r="S12" s="150"/>
      <c r="T12" s="150"/>
    </row>
    <row r="13" spans="1:20" ht="14.45" customHeight="1">
      <c r="A13" s="592" t="s">
        <v>301</v>
      </c>
      <c r="B13" s="681" t="s">
        <v>927</v>
      </c>
      <c r="C13" s="619" t="s">
        <v>674</v>
      </c>
      <c r="D13" s="192">
        <v>75369</v>
      </c>
      <c r="E13" s="703"/>
      <c r="F13" s="2138"/>
      <c r="G13" s="720" t="s">
        <v>305</v>
      </c>
      <c r="H13" s="721" t="s">
        <v>579</v>
      </c>
      <c r="I13" s="722" t="s">
        <v>0</v>
      </c>
      <c r="J13" s="302">
        <v>62328</v>
      </c>
      <c r="K13" s="1551"/>
      <c r="L13" s="4"/>
      <c r="M13" s="714"/>
      <c r="N13" s="715"/>
      <c r="O13" s="1345"/>
      <c r="P13" s="1414"/>
      <c r="Q13" s="1403"/>
      <c r="R13" s="1414"/>
      <c r="S13" s="311"/>
      <c r="T13" s="311"/>
    </row>
    <row r="14" spans="1:20" ht="14.45" customHeight="1">
      <c r="A14" s="592" t="s">
        <v>302</v>
      </c>
      <c r="B14" s="681" t="s">
        <v>926</v>
      </c>
      <c r="C14" s="568" t="s">
        <v>12</v>
      </c>
      <c r="D14" s="192">
        <v>7953</v>
      </c>
      <c r="E14" s="703"/>
      <c r="F14" s="2138"/>
      <c r="G14" s="2193"/>
      <c r="H14" s="2146"/>
      <c r="I14" s="2146"/>
      <c r="J14" s="2143" t="str">
        <f>IF(AND(D13=0,J13=0),"",IF(SUM(J13)&gt;D13,"Däravrad 031 &gt; rad 036",IF(AND(D13&gt;10,J13=""),"Rad 031: skriv belopp eller 0","")))</f>
        <v/>
      </c>
      <c r="K14" s="2143"/>
      <c r="L14" s="2146"/>
      <c r="M14" s="714"/>
      <c r="N14" s="715"/>
      <c r="O14" s="1345"/>
      <c r="P14" s="1414"/>
      <c r="Q14" s="1403"/>
      <c r="R14" s="1414"/>
    </row>
    <row r="15" spans="1:20" ht="14.45" customHeight="1">
      <c r="A15" s="592" t="s">
        <v>303</v>
      </c>
      <c r="B15" s="682" t="s">
        <v>5</v>
      </c>
      <c r="C15" s="575" t="s">
        <v>675</v>
      </c>
      <c r="D15" s="190">
        <v>176289</v>
      </c>
      <c r="E15" s="703"/>
      <c r="F15" s="2138"/>
      <c r="G15" s="720" t="s">
        <v>306</v>
      </c>
      <c r="H15" s="721" t="s">
        <v>790</v>
      </c>
      <c r="I15" s="1356" t="s">
        <v>1</v>
      </c>
      <c r="J15" s="302">
        <v>162173</v>
      </c>
      <c r="K15" s="1551"/>
      <c r="L15" s="4"/>
      <c r="M15" s="716"/>
      <c r="N15" s="717"/>
      <c r="O15" s="1345"/>
      <c r="P15" s="1414"/>
      <c r="Q15" s="1414"/>
      <c r="R15" s="1414"/>
      <c r="S15" s="311"/>
      <c r="T15" s="311"/>
    </row>
    <row r="16" spans="1:20" ht="14.45" customHeight="1">
      <c r="A16" s="592" t="s">
        <v>304</v>
      </c>
      <c r="B16" s="678" t="s">
        <v>924</v>
      </c>
      <c r="C16" s="563" t="s">
        <v>925</v>
      </c>
      <c r="D16" s="190">
        <v>183</v>
      </c>
      <c r="E16" s="703"/>
      <c r="F16" s="2138"/>
      <c r="G16" s="2193"/>
      <c r="H16" s="2146"/>
      <c r="I16" s="2146"/>
      <c r="J16" s="2143" t="str">
        <f>IF(AND(D15=0,J15=0),"",IF(SUM(J15)&gt;D15,"Däravrad 034 &gt; rad 033",IF(AND(D15&gt;10,J15=""),"Rad 034: skriv belopp eller 0","")))</f>
        <v/>
      </c>
      <c r="K16" s="2143"/>
      <c r="L16" s="2146"/>
      <c r="M16" s="716"/>
      <c r="N16" s="717"/>
      <c r="O16" s="1345"/>
      <c r="P16" s="1414"/>
      <c r="Q16" s="1414"/>
      <c r="R16" s="1613"/>
    </row>
    <row r="17" spans="1:20" ht="14.45" customHeight="1">
      <c r="A17" s="592" t="s">
        <v>307</v>
      </c>
      <c r="B17" s="683" t="s">
        <v>8</v>
      </c>
      <c r="C17" s="677" t="s">
        <v>676</v>
      </c>
      <c r="D17" s="355">
        <f>SUM(D13:D16)</f>
        <v>259794</v>
      </c>
      <c r="E17" s="193">
        <v>46568</v>
      </c>
      <c r="F17" s="1432" t="str">
        <f>IF(OR(D17=0,E17=""),"Belopp saknas","")</f>
        <v/>
      </c>
      <c r="G17" s="2193"/>
      <c r="H17" s="2146"/>
      <c r="I17" s="2146"/>
      <c r="J17" s="2146"/>
      <c r="K17" s="2146"/>
      <c r="L17" s="2146"/>
      <c r="M17" s="631">
        <f>D17*1000000/invanare</f>
        <v>25670.730008234979</v>
      </c>
      <c r="N17" s="632">
        <f>E17*1000000/invanare</f>
        <v>4601.4709924920771</v>
      </c>
      <c r="O17" s="1345"/>
      <c r="P17" s="1414"/>
      <c r="Q17" s="1613"/>
      <c r="R17" s="1613"/>
    </row>
    <row r="18" spans="1:20" ht="14.45" customHeight="1" thickBot="1">
      <c r="A18" s="585" t="s">
        <v>308</v>
      </c>
      <c r="B18" s="684" t="s">
        <v>9</v>
      </c>
      <c r="C18" s="577" t="s">
        <v>679</v>
      </c>
      <c r="D18" s="356">
        <f>SUM(D9,D12,D17)</f>
        <v>741890</v>
      </c>
      <c r="E18" s="357">
        <f>SUM(E9,E12,E17)</f>
        <v>1239991</v>
      </c>
      <c r="F18" s="2138"/>
      <c r="G18" s="2193"/>
      <c r="H18" s="2146"/>
      <c r="I18" s="2146"/>
      <c r="J18" s="2146"/>
      <c r="K18" s="2146"/>
      <c r="L18" s="2146"/>
      <c r="M18" s="714"/>
      <c r="N18" s="715"/>
      <c r="O18" s="1345"/>
      <c r="P18" s="1414"/>
      <c r="Q18" s="1613"/>
      <c r="R18" s="1613"/>
    </row>
    <row r="19" spans="1:20" ht="14.45" customHeight="1" thickBot="1">
      <c r="A19" s="540" t="s">
        <v>319</v>
      </c>
      <c r="B19" s="541" t="s">
        <v>7</v>
      </c>
      <c r="C19" s="542" t="s">
        <v>1076</v>
      </c>
      <c r="D19" s="1418">
        <v>2559</v>
      </c>
      <c r="E19" s="307">
        <v>2559</v>
      </c>
      <c r="F19" s="1432" t="str">
        <f>IF(D19&lt;0,"inga minusbelopp",IF(AND('Verks int o kostn'!I44&gt;1,BR!D19&lt;'Verks int o kostn'!I44),"Kostnad finns för Upplösning bidrag statl.infr.strukur, detta borde också ingå här",IF(D19&lt;&gt;E19,"koncernen och kommunens belopp borde vara lika","")))</f>
        <v/>
      </c>
      <c r="G19" s="2146"/>
      <c r="H19" s="2146"/>
      <c r="I19" s="2146"/>
      <c r="J19" s="2146"/>
      <c r="K19" s="2146"/>
      <c r="L19" s="2146"/>
      <c r="M19" s="631">
        <f>D19*1000000/invanare</f>
        <v>252.85956600642552</v>
      </c>
      <c r="N19" s="638">
        <f>E19*1000000/invanare</f>
        <v>252.85956600642552</v>
      </c>
      <c r="O19" s="1345"/>
      <c r="P19" s="1414"/>
      <c r="Q19" s="1414"/>
      <c r="R19" s="1414"/>
    </row>
    <row r="20" spans="1:20" ht="14.45" customHeight="1">
      <c r="A20" s="685"/>
      <c r="B20" s="686"/>
      <c r="C20" s="687" t="s">
        <v>649</v>
      </c>
      <c r="D20" s="730"/>
      <c r="E20" s="731"/>
      <c r="F20" s="2138"/>
      <c r="G20" s="1492" t="s">
        <v>1045</v>
      </c>
      <c r="H20" s="1493" t="s">
        <v>1034</v>
      </c>
      <c r="I20" s="1356" t="s">
        <v>1037</v>
      </c>
      <c r="J20" s="1591">
        <v>9576</v>
      </c>
      <c r="K20" s="1780"/>
      <c r="L20" s="4"/>
      <c r="M20" s="718"/>
      <c r="N20" s="719"/>
      <c r="O20" s="1407"/>
      <c r="P20" s="311"/>
      <c r="Q20" s="311"/>
      <c r="R20" s="311"/>
      <c r="S20" s="311"/>
    </row>
    <row r="21" spans="1:20" ht="14.45" customHeight="1">
      <c r="A21" s="592" t="s">
        <v>292</v>
      </c>
      <c r="B21" s="688">
        <v>14</v>
      </c>
      <c r="C21" s="563" t="s">
        <v>789</v>
      </c>
      <c r="D21" s="66">
        <v>10636</v>
      </c>
      <c r="E21" s="194">
        <v>13946</v>
      </c>
      <c r="F21" s="1774" t="str">
        <f>IF(D21&gt;E21,"konc. &lt; kom.",IF(OR(D21="",E21=""),"Belopp saknas",IF(OR(D21&lt;-500,E21&lt;-500),"Kommentera varför minuspost","")))</f>
        <v/>
      </c>
      <c r="G21" s="2194"/>
      <c r="H21" s="2195"/>
      <c r="I21" s="2196"/>
      <c r="J21" s="2143" t="str">
        <f>IF(AND(D21=0,J20=0),"",IF(SUM(J20)&gt;D21,"Däravrad 042 &gt; rad040",IF(AND(D21&gt;10,J20=""),"Rad 042: skriv belopp eller 0","")))</f>
        <v/>
      </c>
      <c r="K21" s="2143"/>
      <c r="L21" s="2146"/>
      <c r="M21" s="718"/>
      <c r="N21" s="719"/>
      <c r="O21" s="1407"/>
      <c r="P21" s="1414"/>
      <c r="Q21" s="1612"/>
      <c r="R21" s="1612"/>
    </row>
    <row r="22" spans="1:20" ht="14.45" customHeight="1">
      <c r="A22" s="592" t="s">
        <v>309</v>
      </c>
      <c r="B22" s="678" t="s">
        <v>680</v>
      </c>
      <c r="C22" s="563" t="s">
        <v>681</v>
      </c>
      <c r="D22" s="54">
        <v>9404</v>
      </c>
      <c r="E22" s="703"/>
      <c r="F22" s="2139"/>
      <c r="G22" s="720" t="s">
        <v>310</v>
      </c>
      <c r="H22" s="1489" t="s">
        <v>815</v>
      </c>
      <c r="I22" s="722" t="s">
        <v>1</v>
      </c>
      <c r="J22" s="302">
        <v>1344</v>
      </c>
      <c r="K22" s="1551"/>
      <c r="L22" s="4"/>
      <c r="M22" s="718"/>
      <c r="N22" s="719"/>
      <c r="O22" s="1407"/>
      <c r="P22" s="1414"/>
      <c r="Q22" s="1414"/>
      <c r="R22" s="1414"/>
      <c r="S22" s="311"/>
      <c r="T22" s="311"/>
    </row>
    <row r="23" spans="1:20" ht="14.45" customHeight="1">
      <c r="A23" s="592" t="s">
        <v>293</v>
      </c>
      <c r="B23" s="678" t="s">
        <v>682</v>
      </c>
      <c r="C23" s="563" t="s">
        <v>683</v>
      </c>
      <c r="D23" s="54">
        <v>117588</v>
      </c>
      <c r="E23" s="703"/>
      <c r="F23" s="2140"/>
      <c r="G23" s="2193"/>
      <c r="H23" s="2146"/>
      <c r="I23" s="2146"/>
      <c r="J23" s="2143" t="str">
        <f>IF(AND(D22=0,J22=0),"",IF(SUM(J22)&gt;D22,"Däravrad 046 &gt; rad 045",IF(AND(D22&gt;10,J22=""),"Rad 046: skriv belopp eller 0","")))</f>
        <v/>
      </c>
      <c r="K23" s="2143"/>
      <c r="L23" s="2146"/>
      <c r="M23" s="718"/>
      <c r="N23" s="719"/>
      <c r="O23" s="1407"/>
      <c r="P23" s="1414"/>
      <c r="Q23" s="1414"/>
      <c r="R23" s="1414"/>
    </row>
    <row r="24" spans="1:20" ht="14.45" customHeight="1">
      <c r="A24" s="592" t="s">
        <v>312</v>
      </c>
      <c r="B24" s="678" t="s">
        <v>179</v>
      </c>
      <c r="C24" s="563" t="s">
        <v>556</v>
      </c>
      <c r="D24" s="190">
        <v>22246</v>
      </c>
      <c r="E24" s="703"/>
      <c r="F24" s="2140"/>
      <c r="G24" s="723" t="s">
        <v>311</v>
      </c>
      <c r="H24" s="724" t="s">
        <v>684</v>
      </c>
      <c r="I24" s="725" t="s">
        <v>2</v>
      </c>
      <c r="J24" s="304">
        <v>13071</v>
      </c>
      <c r="K24" s="1551"/>
      <c r="L24" s="4"/>
      <c r="M24" s="718"/>
      <c r="N24" s="719"/>
      <c r="O24" s="1407"/>
      <c r="P24" s="1414"/>
      <c r="Q24" s="1414"/>
      <c r="R24" s="1414"/>
      <c r="S24" s="311"/>
      <c r="T24" s="311"/>
    </row>
    <row r="25" spans="1:20" ht="14.45" customHeight="1">
      <c r="A25" s="592" t="s">
        <v>321</v>
      </c>
      <c r="B25" s="678" t="s">
        <v>212</v>
      </c>
      <c r="C25" s="563" t="s">
        <v>504</v>
      </c>
      <c r="D25" s="190">
        <v>2458</v>
      </c>
      <c r="E25" s="703"/>
      <c r="F25" s="2140"/>
      <c r="G25" s="728" t="s">
        <v>320</v>
      </c>
      <c r="H25" s="2180" t="s">
        <v>1299</v>
      </c>
      <c r="I25" s="729" t="s">
        <v>1</v>
      </c>
      <c r="J25" s="303">
        <v>88977</v>
      </c>
      <c r="K25" s="77"/>
      <c r="L25" s="4"/>
      <c r="M25" s="718"/>
      <c r="N25" s="719"/>
      <c r="O25" s="1407"/>
      <c r="P25" s="1414"/>
      <c r="Q25" s="1414"/>
      <c r="R25" s="1414"/>
      <c r="S25" s="311"/>
      <c r="T25" s="311"/>
    </row>
    <row r="26" spans="1:20" ht="14.45" customHeight="1">
      <c r="A26" s="2022" t="s">
        <v>1147</v>
      </c>
      <c r="B26" s="688" t="s">
        <v>1148</v>
      </c>
      <c r="C26" s="584" t="s">
        <v>1149</v>
      </c>
      <c r="D26" s="355">
        <f>SUM(D22:D25)</f>
        <v>151696</v>
      </c>
      <c r="E26" s="2083">
        <v>77186</v>
      </c>
      <c r="F26" s="1774" t="str">
        <f>IF(OR(D26=0,E26=""),"Belopp saknas","")</f>
        <v/>
      </c>
      <c r="G26" s="2197"/>
      <c r="H26" s="2197"/>
      <c r="I26" s="2198"/>
      <c r="J26" s="2143" t="str">
        <f>IF(AND(D23=0,SUM(J24+J25)=0),"",IF(SUM(J24:J25)&gt;D23,"Däravr.051+ 052&gt;rad 050",IF(AND(D23&gt;10,J24=""),"Rad 051: skriv belopp eller 0",IF(AND(D23&gt;10,J25=""),"Rad 052: skriv belopp eller 0 ",""))))</f>
        <v/>
      </c>
      <c r="K26" s="2143"/>
      <c r="L26" s="2146"/>
      <c r="M26" s="718"/>
      <c r="N26" s="719"/>
      <c r="O26" s="1407"/>
      <c r="P26" s="1414"/>
      <c r="Q26" s="1414"/>
      <c r="R26" s="1414"/>
      <c r="S26" s="311"/>
      <c r="T26" s="311"/>
    </row>
    <row r="27" spans="1:20" ht="14.45" customHeight="1">
      <c r="A27" s="592" t="s">
        <v>313</v>
      </c>
      <c r="B27" s="681" t="s">
        <v>685</v>
      </c>
      <c r="C27" s="568" t="s">
        <v>686</v>
      </c>
      <c r="D27" s="190">
        <v>22523</v>
      </c>
      <c r="E27" s="703"/>
      <c r="F27" s="2140"/>
      <c r="G27" s="2199"/>
      <c r="H27" s="2199"/>
      <c r="I27" s="2200"/>
      <c r="J27" s="2201"/>
      <c r="K27" s="2202"/>
      <c r="L27" s="2146"/>
      <c r="M27" s="718"/>
      <c r="N27" s="719"/>
      <c r="O27" s="1407"/>
      <c r="P27" s="1414"/>
      <c r="Q27" s="1403"/>
      <c r="R27" s="1414"/>
      <c r="S27" s="311"/>
      <c r="T27" s="311"/>
    </row>
    <row r="28" spans="1:20" ht="14.45" customHeight="1">
      <c r="A28" s="592" t="s">
        <v>314</v>
      </c>
      <c r="B28" s="681" t="s">
        <v>687</v>
      </c>
      <c r="C28" s="568" t="s">
        <v>689</v>
      </c>
      <c r="D28" s="190">
        <v>17044</v>
      </c>
      <c r="E28" s="703"/>
      <c r="F28" s="2140"/>
      <c r="G28" s="2193"/>
      <c r="H28" s="2146"/>
      <c r="I28" s="2146"/>
      <c r="J28" s="2143"/>
      <c r="K28" s="2143"/>
      <c r="L28" s="2146"/>
      <c r="M28" s="718"/>
      <c r="N28" s="719"/>
      <c r="O28" s="1407"/>
      <c r="P28" s="1414"/>
      <c r="Q28" s="1403"/>
      <c r="R28" s="1414"/>
    </row>
    <row r="29" spans="1:20" ht="14.45" customHeight="1">
      <c r="A29" s="592" t="s">
        <v>315</v>
      </c>
      <c r="B29" s="681" t="s">
        <v>690</v>
      </c>
      <c r="C29" s="568" t="s">
        <v>691</v>
      </c>
      <c r="D29" s="190">
        <v>772</v>
      </c>
      <c r="E29" s="703"/>
      <c r="F29" s="2140"/>
      <c r="G29" s="2146"/>
      <c r="H29" s="2146"/>
      <c r="I29" s="2146"/>
      <c r="J29" s="2146"/>
      <c r="K29" s="2146"/>
      <c r="L29" s="2146"/>
      <c r="M29" s="718"/>
      <c r="N29" s="719"/>
      <c r="O29" s="1407"/>
      <c r="P29" s="1414"/>
      <c r="Q29" s="1403"/>
      <c r="R29" s="1414"/>
    </row>
    <row r="30" spans="1:20" ht="14.45" customHeight="1">
      <c r="A30" s="592" t="s">
        <v>316</v>
      </c>
      <c r="B30" s="681" t="s">
        <v>692</v>
      </c>
      <c r="C30" s="568" t="s">
        <v>688</v>
      </c>
      <c r="D30" s="190">
        <v>-40</v>
      </c>
      <c r="E30" s="703"/>
      <c r="F30" s="2140"/>
      <c r="G30" s="2146"/>
      <c r="H30" s="2146"/>
      <c r="I30" s="2146"/>
      <c r="J30" s="2146"/>
      <c r="K30" s="2146"/>
      <c r="L30" s="2146"/>
      <c r="M30" s="718"/>
      <c r="N30" s="719"/>
      <c r="O30" s="1407"/>
      <c r="P30" s="1414"/>
      <c r="Q30" s="1403"/>
      <c r="R30" s="1414"/>
    </row>
    <row r="31" spans="1:20" ht="14.45" customHeight="1">
      <c r="A31" s="2022" t="s">
        <v>294</v>
      </c>
      <c r="B31" s="688" t="s">
        <v>1150</v>
      </c>
      <c r="C31" s="584" t="s">
        <v>1151</v>
      </c>
      <c r="D31" s="355">
        <f>SUM(D27:D30)</f>
        <v>40299</v>
      </c>
      <c r="E31" s="194">
        <v>42507</v>
      </c>
      <c r="F31" s="1774" t="str">
        <f>IF(OR(D27="",D28="",D29="",D30=""),"Skriv belopp eller 0 på raderna 053-058 för kommunen",IF(E31="","Skriv belopp eller 0 för koncernen",""))</f>
        <v/>
      </c>
      <c r="G31" s="2146"/>
      <c r="H31" s="2146"/>
      <c r="I31" s="2146"/>
      <c r="J31" s="2146"/>
      <c r="K31" s="2146"/>
      <c r="L31" s="2146"/>
      <c r="M31" s="718"/>
      <c r="N31" s="719"/>
      <c r="O31" s="1407"/>
      <c r="P31" s="1414"/>
      <c r="Q31" s="1612"/>
      <c r="R31" s="1612"/>
    </row>
    <row r="32" spans="1:20" ht="14.45" customHeight="1">
      <c r="A32" s="592" t="s">
        <v>317</v>
      </c>
      <c r="B32" s="688">
        <v>19</v>
      </c>
      <c r="C32" s="677" t="s">
        <v>693</v>
      </c>
      <c r="D32" s="190">
        <v>38038</v>
      </c>
      <c r="E32" s="194">
        <v>50713</v>
      </c>
      <c r="F32" s="1774" t="str">
        <f>IF(D32&gt;E32,"konc. &lt; kom.",IF(OR(D32&lt;0,E32&lt;0),"Varför minusbelopp?",IF(OR(D32=0,E32=0),"Belopp saknas","")))</f>
        <v/>
      </c>
      <c r="G32" s="2146"/>
      <c r="H32" s="2146"/>
      <c r="I32" s="2146"/>
      <c r="J32" s="2146"/>
      <c r="K32" s="2146"/>
      <c r="L32" s="2146"/>
      <c r="M32" s="718"/>
      <c r="N32" s="719"/>
      <c r="O32" s="1407"/>
      <c r="P32" s="1414"/>
      <c r="Q32" s="1612"/>
      <c r="R32" s="1612"/>
    </row>
    <row r="33" spans="1:20" ht="14.45" customHeight="1" thickBot="1">
      <c r="A33" s="596" t="s">
        <v>318</v>
      </c>
      <c r="B33" s="689" t="s">
        <v>694</v>
      </c>
      <c r="C33" s="577" t="s">
        <v>695</v>
      </c>
      <c r="D33" s="358">
        <f>SUM(D21,D26,D31,D32)</f>
        <v>240669</v>
      </c>
      <c r="E33" s="359">
        <f>SUM(E21,E26,E31,E32)</f>
        <v>184352</v>
      </c>
      <c r="F33" s="2140"/>
      <c r="G33" s="2203"/>
      <c r="H33" s="2203"/>
      <c r="I33" s="2203"/>
      <c r="J33" s="2203"/>
      <c r="K33" s="2146"/>
      <c r="L33" s="2146"/>
      <c r="M33" s="634">
        <f>D33*1000000/invanare</f>
        <v>23780.953064165857</v>
      </c>
      <c r="N33" s="641">
        <f>E33*1000000/invanare</f>
        <v>18216.165186563721</v>
      </c>
      <c r="O33" s="1345"/>
      <c r="P33" s="1414"/>
      <c r="Q33" s="1612"/>
      <c r="R33" s="1612"/>
    </row>
    <row r="34" spans="1:20" ht="14.45" customHeight="1" thickBot="1">
      <c r="A34" s="690" t="s">
        <v>295</v>
      </c>
      <c r="B34" s="691" t="s">
        <v>696</v>
      </c>
      <c r="C34" s="692" t="s">
        <v>697</v>
      </c>
      <c r="D34" s="361">
        <f>SUM(D18,D19,D33)</f>
        <v>985118</v>
      </c>
      <c r="E34" s="360">
        <f>SUM(E18,E19,E33)</f>
        <v>1426902</v>
      </c>
      <c r="F34" s="2140"/>
      <c r="G34" s="2203"/>
      <c r="H34" s="2203"/>
      <c r="I34" s="2203"/>
      <c r="J34" s="2203"/>
      <c r="K34" s="2146"/>
      <c r="L34" s="2146"/>
      <c r="M34" s="4"/>
      <c r="N34" s="4"/>
      <c r="P34" s="1414"/>
      <c r="Q34" s="1612"/>
      <c r="R34" s="1612"/>
    </row>
    <row r="35" spans="1:20" ht="14.45" customHeight="1">
      <c r="A35" s="6"/>
      <c r="B35" s="7"/>
      <c r="C35" s="8"/>
      <c r="D35" s="9"/>
      <c r="E35" s="9"/>
      <c r="F35" s="2140"/>
      <c r="G35" s="2203"/>
      <c r="H35" s="2203"/>
      <c r="I35" s="2203"/>
      <c r="J35" s="2203"/>
      <c r="K35" s="2146"/>
      <c r="L35" s="2146"/>
      <c r="M35" s="4"/>
      <c r="N35" s="4"/>
      <c r="Q35" s="1413"/>
      <c r="R35" s="1336"/>
    </row>
    <row r="36" spans="1:20" ht="14.45" customHeight="1" thickBot="1">
      <c r="A36" s="1"/>
      <c r="B36" s="7"/>
      <c r="C36" s="8"/>
      <c r="D36" s="9"/>
      <c r="E36" s="9"/>
      <c r="F36" s="2140"/>
      <c r="G36" s="2203"/>
      <c r="H36" s="2203"/>
      <c r="I36" s="2203"/>
      <c r="J36" s="2203"/>
      <c r="K36" s="2146"/>
      <c r="L36" s="2146"/>
      <c r="M36" s="4"/>
      <c r="N36" s="4"/>
      <c r="Q36" s="1413"/>
      <c r="R36" s="1336"/>
    </row>
    <row r="37" spans="1:20" ht="14.45" customHeight="1">
      <c r="A37" s="2598" t="s">
        <v>668</v>
      </c>
      <c r="B37" s="2600" t="s">
        <v>814</v>
      </c>
      <c r="C37" s="732" t="s">
        <v>371</v>
      </c>
      <c r="D37" s="693" t="s">
        <v>658</v>
      </c>
      <c r="E37" s="694" t="s">
        <v>785</v>
      </c>
      <c r="F37" s="2140"/>
      <c r="G37" s="2203"/>
      <c r="H37" s="2203"/>
      <c r="I37" s="2203"/>
      <c r="J37" s="2203"/>
      <c r="K37" s="2146"/>
      <c r="L37" s="2146"/>
      <c r="M37" s="2649" t="s">
        <v>476</v>
      </c>
      <c r="N37" s="2650"/>
      <c r="O37" s="1408"/>
      <c r="P37" s="1336"/>
      <c r="Q37" s="1404"/>
      <c r="R37" s="1612"/>
      <c r="S37" s="1404"/>
    </row>
    <row r="38" spans="1:20" ht="14.45" customHeight="1">
      <c r="A38" s="2603" t="s">
        <v>659</v>
      </c>
      <c r="B38" s="733"/>
      <c r="C38" s="734"/>
      <c r="D38" s="735"/>
      <c r="E38" s="736"/>
      <c r="F38" s="2140"/>
      <c r="G38" s="2203"/>
      <c r="H38" s="2203"/>
      <c r="I38" s="2203"/>
      <c r="J38" s="2203"/>
      <c r="K38" s="2146"/>
      <c r="L38" s="2146"/>
      <c r="M38" s="752" t="s">
        <v>658</v>
      </c>
      <c r="N38" s="753" t="s">
        <v>785</v>
      </c>
      <c r="O38" s="1409"/>
      <c r="P38" s="1336"/>
      <c r="Q38" s="1404"/>
      <c r="R38" s="1612"/>
      <c r="S38" s="1614"/>
    </row>
    <row r="39" spans="1:20" ht="14.45" customHeight="1">
      <c r="A39" s="592" t="s">
        <v>322</v>
      </c>
      <c r="B39" s="678">
        <v>201</v>
      </c>
      <c r="C39" s="563" t="s">
        <v>698</v>
      </c>
      <c r="D39" s="362">
        <v>422607</v>
      </c>
      <c r="E39" s="359">
        <v>544429</v>
      </c>
      <c r="F39" s="1774"/>
      <c r="G39" s="2203"/>
      <c r="H39" s="2203"/>
      <c r="I39" s="2203"/>
      <c r="J39" s="2203"/>
      <c r="K39" s="2146"/>
      <c r="L39" s="2146"/>
      <c r="M39" s="754"/>
      <c r="N39" s="755"/>
      <c r="O39" s="1372"/>
      <c r="P39" s="1414"/>
      <c r="Q39" s="1414"/>
      <c r="R39" s="1414"/>
      <c r="S39" s="1595"/>
    </row>
    <row r="40" spans="1:20" ht="14.45" customHeight="1">
      <c r="A40" s="592" t="s">
        <v>323</v>
      </c>
      <c r="B40" s="678">
        <v>202</v>
      </c>
      <c r="C40" s="563" t="s">
        <v>667</v>
      </c>
      <c r="D40" s="104">
        <f>RR!C19</f>
        <v>23537</v>
      </c>
      <c r="E40" s="1289">
        <f>RR!D19</f>
        <v>36206</v>
      </c>
      <c r="F40" s="1774"/>
      <c r="G40" s="2146"/>
      <c r="H40" s="2146"/>
      <c r="I40" s="2146"/>
      <c r="J40" s="2146"/>
      <c r="K40" s="2146"/>
      <c r="L40" s="2146"/>
      <c r="M40" s="754"/>
      <c r="N40" s="755"/>
      <c r="O40" s="1372"/>
      <c r="P40" s="1414"/>
      <c r="Q40" s="1414"/>
      <c r="R40" s="1414"/>
    </row>
    <row r="41" spans="1:20" ht="14.45" customHeight="1">
      <c r="A41" s="594" t="s">
        <v>904</v>
      </c>
      <c r="B41" s="1490"/>
      <c r="C41" s="568" t="s">
        <v>933</v>
      </c>
      <c r="D41" s="54">
        <v>425</v>
      </c>
      <c r="E41" s="182">
        <v>1198</v>
      </c>
      <c r="F41" s="1774" t="str">
        <f>IF(OR(D41&lt;&gt;0,E41&lt;&gt;0),"Kommentera vad justeringar i Eget kapital avser","")</f>
        <v>Kommentera vad justeringar i Eget kapital avser</v>
      </c>
      <c r="G41" s="2146"/>
      <c r="H41" s="2146"/>
      <c r="I41" s="2146"/>
      <c r="J41" s="2146"/>
      <c r="K41" s="2146"/>
      <c r="L41" s="2146"/>
      <c r="M41" s="754"/>
      <c r="N41" s="755"/>
      <c r="O41" s="1372"/>
      <c r="P41" s="1414"/>
      <c r="Q41" s="1414"/>
      <c r="R41" s="1414"/>
    </row>
    <row r="42" spans="1:20" ht="14.45" customHeight="1">
      <c r="A42" s="594" t="s">
        <v>324</v>
      </c>
      <c r="B42" s="744" t="s">
        <v>974</v>
      </c>
      <c r="C42" s="745" t="s">
        <v>975</v>
      </c>
      <c r="D42" s="362">
        <f>SUM(D39:D41)</f>
        <v>446569</v>
      </c>
      <c r="E42" s="359">
        <f>SUM(E39:E41)</f>
        <v>581833</v>
      </c>
      <c r="F42" s="1774" t="str">
        <f>IF(ABS(SUM(D34-D42-D49-D67))&gt;100,(ROUND((D34-D42-D49-D67),0))&amp;" tkr differens mellan kommunens UB EK här och summan tillgångar - summa skulder och avsättningar - måste åtgärdas!",IF(ABS(SUM(E34-E42-E49-E67))&gt;100,(ROUND((E34-E42-E49-E67),1))&amp;" tkr differens mellan koncernens UB EK här och summan tillgångar - summa skulder och avsättningar - måste åtgärdas!",""))</f>
        <v/>
      </c>
      <c r="G42" s="2146"/>
      <c r="H42" s="2146"/>
      <c r="I42" s="2146"/>
      <c r="J42" s="2146"/>
      <c r="K42" s="2146"/>
      <c r="L42" s="2146"/>
      <c r="M42" s="756">
        <f>D42*1000000/invanare</f>
        <v>44126.316346980639</v>
      </c>
      <c r="N42" s="632">
        <f>E42*1000000/invanare</f>
        <v>57492.004637833757</v>
      </c>
      <c r="O42" s="1372"/>
      <c r="P42" s="1414"/>
      <c r="Q42" s="1612"/>
      <c r="R42" s="1414"/>
    </row>
    <row r="43" spans="1:20" ht="14.45" customHeight="1">
      <c r="A43" s="595" t="s">
        <v>903</v>
      </c>
      <c r="B43" s="740"/>
      <c r="C43" s="568" t="s">
        <v>976</v>
      </c>
      <c r="D43" s="54">
        <v>13249</v>
      </c>
      <c r="E43" s="182">
        <v>12682</v>
      </c>
      <c r="F43" s="1774" t="str">
        <f>IF(OR(C42=0,D42=0),"",IF(OR(D43="",E43=""),"Skriv 0 om RUR inte finns",""))</f>
        <v/>
      </c>
      <c r="G43" s="2204"/>
      <c r="H43" s="2146"/>
      <c r="I43" s="2146"/>
      <c r="J43" s="2146"/>
      <c r="K43" s="2146"/>
      <c r="L43" s="2146"/>
      <c r="M43" s="754"/>
      <c r="N43" s="755"/>
      <c r="O43" s="1372"/>
      <c r="P43" s="1414"/>
      <c r="Q43" s="1414"/>
      <c r="R43" s="1414"/>
    </row>
    <row r="44" spans="1:20" ht="14.45" customHeight="1" thickBot="1">
      <c r="A44" s="596"/>
      <c r="B44" s="742"/>
      <c r="C44" s="583"/>
      <c r="D44" s="1617"/>
      <c r="E44" s="1618"/>
      <c r="F44" s="1774"/>
      <c r="G44" s="2148"/>
      <c r="H44" s="2146"/>
      <c r="I44" s="2146"/>
      <c r="J44" s="2146"/>
      <c r="K44" s="2146"/>
      <c r="L44" s="2146"/>
      <c r="M44" s="1460"/>
      <c r="N44" s="637"/>
      <c r="O44" s="1345"/>
      <c r="P44" s="1414"/>
      <c r="Q44" s="1612"/>
      <c r="R44" s="1612"/>
    </row>
    <row r="45" spans="1:20" ht="14.45" customHeight="1">
      <c r="A45" s="592" t="s">
        <v>325</v>
      </c>
      <c r="B45" s="738" t="s">
        <v>699</v>
      </c>
      <c r="C45" s="739" t="s">
        <v>921</v>
      </c>
      <c r="D45" s="190">
        <v>29535</v>
      </c>
      <c r="E45" s="737"/>
      <c r="F45" s="1774" t="str">
        <f>IF(D45=0,"Varför inga avsättningar för pensioner?","")</f>
        <v/>
      </c>
      <c r="G45" s="185" t="s">
        <v>1203</v>
      </c>
      <c r="H45" s="4"/>
      <c r="I45" s="4"/>
      <c r="J45" s="4"/>
      <c r="K45" s="4"/>
      <c r="L45" s="4"/>
      <c r="M45" s="757"/>
      <c r="N45" s="758"/>
      <c r="O45" s="1345"/>
      <c r="P45" s="1414"/>
      <c r="Q45" s="1414"/>
      <c r="R45" s="1414"/>
    </row>
    <row r="46" spans="1:20" ht="14.45" customHeight="1">
      <c r="A46" s="592" t="s">
        <v>326</v>
      </c>
      <c r="B46" s="678" t="s">
        <v>700</v>
      </c>
      <c r="C46" s="563" t="s">
        <v>922</v>
      </c>
      <c r="D46" s="190">
        <v>766</v>
      </c>
      <c r="E46" s="737"/>
      <c r="F46" s="2140"/>
      <c r="G46" s="81"/>
      <c r="H46" s="4"/>
      <c r="I46" s="4"/>
      <c r="J46" s="215"/>
      <c r="L46" s="4"/>
      <c r="M46" s="631">
        <f>SUM(D45:D47)*1000000/invanare</f>
        <v>3704.2592459745529</v>
      </c>
      <c r="N46" s="759"/>
      <c r="O46" s="1345"/>
      <c r="P46" s="1414"/>
      <c r="Q46" s="1414"/>
      <c r="R46" s="1414"/>
    </row>
    <row r="47" spans="1:20" ht="14.45" customHeight="1">
      <c r="A47" s="592" t="s">
        <v>327</v>
      </c>
      <c r="B47" s="740" t="s">
        <v>701</v>
      </c>
      <c r="C47" s="741" t="s">
        <v>834</v>
      </c>
      <c r="D47" s="190">
        <v>7187</v>
      </c>
      <c r="E47" s="737"/>
      <c r="F47" s="1774" t="str">
        <f>IF(D47=0,"Varför inga avsättningar för särskild löneskatt pens.?","")</f>
        <v/>
      </c>
      <c r="G47" s="2146"/>
      <c r="H47" s="2146"/>
      <c r="I47" s="2205"/>
      <c r="J47" s="1792" t="s">
        <v>658</v>
      </c>
      <c r="L47" s="1786"/>
      <c r="M47" s="760"/>
      <c r="N47" s="758"/>
      <c r="O47" s="1345"/>
      <c r="P47" s="1414"/>
      <c r="Q47" s="1414"/>
      <c r="R47" s="1414"/>
    </row>
    <row r="48" spans="1:20" ht="14.45" customHeight="1">
      <c r="A48" s="592" t="s">
        <v>328</v>
      </c>
      <c r="B48" s="678" t="s">
        <v>702</v>
      </c>
      <c r="C48" s="741" t="s">
        <v>703</v>
      </c>
      <c r="D48" s="190">
        <v>21754</v>
      </c>
      <c r="E48" s="737"/>
      <c r="F48" s="2140"/>
      <c r="G48" s="720" t="s">
        <v>296</v>
      </c>
      <c r="H48" s="721" t="s">
        <v>704</v>
      </c>
      <c r="I48" s="1782" t="s">
        <v>835</v>
      </c>
      <c r="J48" s="1785">
        <v>2421</v>
      </c>
      <c r="K48" s="1781"/>
      <c r="L48" s="1947"/>
      <c r="M48" s="631">
        <f>D48*1000000/invanare</f>
        <v>2149.5533407205085</v>
      </c>
      <c r="N48" s="758"/>
      <c r="O48" s="1345"/>
      <c r="P48" s="1414"/>
      <c r="Q48" s="1414"/>
      <c r="R48" s="1414"/>
      <c r="S48" s="311"/>
      <c r="T48" s="311"/>
    </row>
    <row r="49" spans="1:20" ht="14.45" customHeight="1" thickBot="1">
      <c r="A49" s="596" t="s">
        <v>329</v>
      </c>
      <c r="B49" s="689">
        <v>22</v>
      </c>
      <c r="C49" s="542" t="s">
        <v>705</v>
      </c>
      <c r="D49" s="358">
        <f>SUM(D45:D48)</f>
        <v>59242</v>
      </c>
      <c r="E49" s="195">
        <v>91969</v>
      </c>
      <c r="F49" s="1774" t="str">
        <f>IF(D49&gt;E49,"konc. &lt; komm.",IF(OR(D49=0,E49=0),"Belopp saknas",""))</f>
        <v/>
      </c>
      <c r="G49" s="1492" t="s">
        <v>1152</v>
      </c>
      <c r="H49" s="1493" t="s">
        <v>1212</v>
      </c>
      <c r="I49" s="1782" t="s">
        <v>1153</v>
      </c>
      <c r="J49" s="1785">
        <v>14439</v>
      </c>
      <c r="K49" s="1781"/>
      <c r="L49" s="1947"/>
      <c r="M49" s="756">
        <f>D49*1000000/invanare</f>
        <v>5853.8125866950613</v>
      </c>
      <c r="N49" s="632">
        <f>E49*1000000/invanare</f>
        <v>9087.6285369460529</v>
      </c>
      <c r="O49" s="1345"/>
      <c r="P49" s="1414"/>
      <c r="Q49" s="1612"/>
      <c r="R49" s="1612"/>
    </row>
    <row r="50" spans="1:20" ht="14.45" customHeight="1">
      <c r="A50" s="592" t="s">
        <v>330</v>
      </c>
      <c r="B50" s="678">
        <v>234</v>
      </c>
      <c r="C50" s="563" t="s">
        <v>706</v>
      </c>
      <c r="D50" s="190">
        <v>240156</v>
      </c>
      <c r="E50" s="1779">
        <v>453912</v>
      </c>
      <c r="F50" s="1774" t="str">
        <f>IF(D50&gt;E50,"konc. &lt; komm.",IF(OR(D50="",E50=""),"Skriv belopp eller 0",""))</f>
        <v/>
      </c>
      <c r="G50" s="187"/>
      <c r="H50" s="4"/>
      <c r="I50" s="176"/>
      <c r="J50" s="2143" t="str">
        <f>IF(AND(D48=0,SUM(J48+J49)=0),"",IF(SUM(J48:J49)&gt;D48,"Däravr.080+ 131&gt;rad 078",IF(AND(D48&gt;10,J48=""),"Rad 080: skriv belopp eller 0",IF(AND(D48&gt;10,J49=""),"Rad 131: skriv belopp eller 0 ",""))))</f>
        <v/>
      </c>
      <c r="K50" s="176"/>
      <c r="L50" s="1947"/>
      <c r="M50" s="757"/>
      <c r="N50" s="758"/>
      <c r="O50" s="1345"/>
      <c r="P50" s="1414"/>
      <c r="Q50" s="1414"/>
      <c r="R50" s="1414"/>
    </row>
    <row r="51" spans="1:20" ht="14.45" customHeight="1">
      <c r="A51" s="592" t="s">
        <v>331</v>
      </c>
      <c r="B51" s="678">
        <v>235</v>
      </c>
      <c r="C51" s="563" t="s">
        <v>707</v>
      </c>
      <c r="D51" s="190">
        <v>14496</v>
      </c>
      <c r="E51" s="1779">
        <v>14496</v>
      </c>
      <c r="F51" s="1774" t="str">
        <f>IF(OR(D51="",E51=""),"Skriv belopp eller 0","")</f>
        <v/>
      </c>
      <c r="G51" s="187"/>
      <c r="H51" s="4"/>
      <c r="I51" s="176"/>
      <c r="J51" s="225"/>
      <c r="K51" s="1788"/>
      <c r="L51" s="1947"/>
      <c r="M51" s="757"/>
      <c r="N51" s="758"/>
      <c r="O51" s="1345"/>
      <c r="P51" s="1414"/>
      <c r="Q51" s="1414"/>
      <c r="R51" s="1414"/>
    </row>
    <row r="52" spans="1:20" ht="14.45" customHeight="1">
      <c r="A52" s="592" t="s">
        <v>332</v>
      </c>
      <c r="B52" s="678">
        <v>236</v>
      </c>
      <c r="C52" s="563" t="s">
        <v>708</v>
      </c>
      <c r="D52" s="190">
        <v>1984</v>
      </c>
      <c r="E52" s="737"/>
      <c r="F52" s="2140"/>
      <c r="G52" s="187"/>
      <c r="H52" s="4"/>
      <c r="I52" s="1789"/>
      <c r="J52" s="1783" t="s">
        <v>658</v>
      </c>
      <c r="K52" s="1784" t="s">
        <v>785</v>
      </c>
      <c r="L52" s="209"/>
      <c r="M52" s="757"/>
      <c r="N52" s="758"/>
      <c r="O52" s="1345"/>
      <c r="P52" s="1414"/>
      <c r="Q52" s="1414"/>
      <c r="R52" s="1414"/>
    </row>
    <row r="53" spans="1:20" ht="14.45" customHeight="1">
      <c r="A53" s="592" t="s">
        <v>333</v>
      </c>
      <c r="B53" s="678" t="s">
        <v>862</v>
      </c>
      <c r="C53" s="563" t="s">
        <v>1220</v>
      </c>
      <c r="D53" s="196">
        <v>10509</v>
      </c>
      <c r="E53" s="1779">
        <v>15479</v>
      </c>
      <c r="F53" s="1774" t="str">
        <f>IF(OR(D53="",E53=""),"Skriv belopp eller 0","")</f>
        <v/>
      </c>
      <c r="G53" s="1492" t="s">
        <v>1154</v>
      </c>
      <c r="H53" s="1707" t="s">
        <v>1210</v>
      </c>
      <c r="I53" s="1782" t="s">
        <v>1155</v>
      </c>
      <c r="J53" s="1785">
        <v>4684</v>
      </c>
      <c r="K53" s="1785">
        <v>6299</v>
      </c>
      <c r="L53" s="2145"/>
      <c r="M53" s="716"/>
      <c r="N53" s="758"/>
      <c r="O53" s="1345"/>
      <c r="P53" s="1414"/>
      <c r="Q53" s="1414"/>
      <c r="R53" s="1414"/>
      <c r="S53" s="1336"/>
      <c r="T53" s="1336"/>
    </row>
    <row r="54" spans="1:20" ht="14.45" customHeight="1">
      <c r="A54" s="592" t="s">
        <v>902</v>
      </c>
      <c r="B54" s="678" t="s">
        <v>860</v>
      </c>
      <c r="C54" s="563" t="s">
        <v>861</v>
      </c>
      <c r="D54" s="196">
        <v>22958</v>
      </c>
      <c r="E54" s="1779">
        <v>25767</v>
      </c>
      <c r="F54" s="1774" t="str">
        <f>IF(D54&gt;E54,"konc. &lt; komm.",IF(OR(D54="",E54=""),"Skriv belopp eller 0",""))</f>
        <v/>
      </c>
      <c r="G54" s="1790"/>
      <c r="H54" s="1790"/>
      <c r="I54" s="1559"/>
      <c r="J54" s="2143" t="str">
        <f>IF(AND(D54=0,J53=0),"",IF(SUM(J53)&gt;D54,"Däravrad 132 &gt; rad 087",IF(AND(D54&gt;10,J53=""),"Rad 132: skriv belopp eller 0","")))</f>
        <v/>
      </c>
      <c r="K54" s="2143" t="str">
        <f>IF(AND(E54=0,K53=0),"",IF(SUM(K53)&gt;E54,"Däravrad 132 &gt; rad 087",IF(AND(E54&gt;10,K53=""),"Rad 132: skriv belopp eller 0",IF(J53&gt;K53,"konc.&lt;kommun",""))))</f>
        <v/>
      </c>
      <c r="L54" s="2146"/>
      <c r="M54" s="716"/>
      <c r="N54" s="758"/>
      <c r="O54" s="1345"/>
      <c r="P54" s="1414"/>
      <c r="Q54" s="1414"/>
      <c r="R54" s="1414"/>
      <c r="S54" s="1336"/>
      <c r="T54" s="1336"/>
    </row>
    <row r="55" spans="1:20" ht="14.45" customHeight="1">
      <c r="A55" s="592" t="s">
        <v>334</v>
      </c>
      <c r="B55" s="681" t="s">
        <v>709</v>
      </c>
      <c r="C55" s="619" t="s">
        <v>710</v>
      </c>
      <c r="D55" s="197">
        <v>3379</v>
      </c>
      <c r="E55" s="1779">
        <v>6908</v>
      </c>
      <c r="F55" s="1774" t="str">
        <f>IF(D55&gt;E55,"konc. &lt; komm.",IF(OR(D55="",E55=""),"Skriv belopp eller 0",""))</f>
        <v/>
      </c>
      <c r="G55" s="1496" t="s">
        <v>1156</v>
      </c>
      <c r="H55" s="1497" t="s">
        <v>1211</v>
      </c>
      <c r="I55" s="1978" t="s">
        <v>1159</v>
      </c>
      <c r="J55" s="1999">
        <v>53939</v>
      </c>
      <c r="K55" s="2000">
        <v>68470</v>
      </c>
      <c r="L55" s="1774" t="str">
        <f>IF(AND(D56=0,J55=0,E56=0,K55=0),"",IF(SUM(J55)&gt;D56,"Däravrad 133 &gt; rad 089",IF(AND(D56&gt;10,J55=""),"Rad 133,kommun: skriv belopp eller 0",IF(AND(E56=0,K55=0),"",IF(SUM(K55)&gt;E56,"Koncern:Däravrad 133&gt;rad 089",IF(AND(E56&gt;10,K55=""),"Rad 133,koncern:skriv belopp eller 0",""))))))</f>
        <v/>
      </c>
      <c r="M55" s="716"/>
      <c r="N55" s="758"/>
      <c r="O55" s="1345"/>
      <c r="P55" s="1414"/>
      <c r="Q55" s="1403"/>
      <c r="R55" s="1414"/>
      <c r="S55" s="1336"/>
      <c r="T55" s="1336"/>
    </row>
    <row r="56" spans="1:20" ht="14.45" customHeight="1" thickBot="1">
      <c r="A56" s="596" t="s">
        <v>335</v>
      </c>
      <c r="B56" s="742">
        <v>23</v>
      </c>
      <c r="C56" s="580" t="s">
        <v>711</v>
      </c>
      <c r="D56" s="358">
        <f>SUM(D50:D55)</f>
        <v>293482</v>
      </c>
      <c r="E56" s="358">
        <f>SUM(E50:E51,E53:E55)</f>
        <v>516562</v>
      </c>
      <c r="F56" s="1774"/>
      <c r="G56" s="1979" t="s">
        <v>354</v>
      </c>
      <c r="H56" s="1989" t="s">
        <v>1211</v>
      </c>
      <c r="I56" s="1980" t="s">
        <v>1214</v>
      </c>
      <c r="J56" s="1932">
        <v>127650</v>
      </c>
      <c r="K56" s="2006"/>
      <c r="L56" s="1774" t="str">
        <f>IF(AND(D56=0,J56=0),"",IF(SUM(J56)&gt;D56,"Däravrad 088 &gt; rad 089",IF(AND(D56&gt;10,J56=""),"Rad 088,kommun: skriv belopp eller 0","")))</f>
        <v/>
      </c>
      <c r="M56" s="631">
        <f>D56*1000000/invanare</f>
        <v>28999.504162054622</v>
      </c>
      <c r="N56" s="632">
        <f>E56*1000000/invanare</f>
        <v>51042.455308875025</v>
      </c>
      <c r="O56" s="1345"/>
      <c r="P56" s="1414"/>
      <c r="Q56" s="1612"/>
      <c r="R56" s="1612"/>
    </row>
    <row r="57" spans="1:20" ht="18" customHeight="1">
      <c r="A57" s="592" t="s">
        <v>336</v>
      </c>
      <c r="B57" s="743" t="s">
        <v>712</v>
      </c>
      <c r="C57" s="563" t="s">
        <v>713</v>
      </c>
      <c r="D57" s="190">
        <v>67395</v>
      </c>
      <c r="E57" s="737"/>
      <c r="F57" s="1774"/>
      <c r="G57" s="830" t="s">
        <v>338</v>
      </c>
      <c r="H57" s="831" t="s">
        <v>791</v>
      </c>
      <c r="I57" s="1974" t="s">
        <v>3</v>
      </c>
      <c r="J57" s="1791">
        <v>18950</v>
      </c>
      <c r="K57" s="1990" t="s">
        <v>1216</v>
      </c>
      <c r="L57" s="2143" t="str">
        <f>IF(AND(D57=0,J57=0),"",IF(SUM(J57)&gt;D57,"Däravrad 091 &gt; rad 090",IF(AND(D57&gt;10,J57=""),"Rad 091: skriv belopp eller 0","")))</f>
        <v/>
      </c>
      <c r="M57" s="757"/>
      <c r="N57" s="758"/>
      <c r="O57" s="1345"/>
      <c r="P57" s="1414"/>
      <c r="Q57" s="1403"/>
      <c r="R57" s="1414"/>
      <c r="S57" s="311"/>
      <c r="T57" s="311"/>
    </row>
    <row r="58" spans="1:20" ht="14.45" customHeight="1">
      <c r="A58" s="592" t="s">
        <v>337</v>
      </c>
      <c r="B58" s="681" t="s">
        <v>714</v>
      </c>
      <c r="C58" s="568" t="s">
        <v>715</v>
      </c>
      <c r="D58" s="190">
        <v>32020</v>
      </c>
      <c r="E58" s="737"/>
      <c r="F58" s="2140"/>
      <c r="G58" s="1498" t="s">
        <v>1157</v>
      </c>
      <c r="H58" s="1976" t="s">
        <v>1158</v>
      </c>
      <c r="I58" s="1981" t="s">
        <v>1219</v>
      </c>
      <c r="J58" s="1982">
        <v>21915</v>
      </c>
      <c r="K58" s="1991" t="s">
        <v>1215</v>
      </c>
      <c r="L58" s="2144" t="str">
        <f>IF(AND(D57=0,J58=0),"",IF(SUM(J58)&gt;D57,"Däravrad 091 &gt; rad 090",IF(J58="","skriv belopp eller 0","")))</f>
        <v/>
      </c>
      <c r="M58" s="757"/>
      <c r="N58" s="758"/>
      <c r="O58" s="1345"/>
      <c r="P58" s="1414"/>
      <c r="Q58" s="1403"/>
      <c r="R58" s="1414"/>
      <c r="S58" s="311"/>
      <c r="T58" s="311"/>
    </row>
    <row r="59" spans="1:20" ht="14.45" customHeight="1">
      <c r="A59" s="592" t="s">
        <v>355</v>
      </c>
      <c r="B59" s="681">
        <v>271</v>
      </c>
      <c r="C59" s="568" t="s">
        <v>13</v>
      </c>
      <c r="D59" s="190">
        <v>5792</v>
      </c>
      <c r="E59" s="737"/>
      <c r="F59" s="2140"/>
      <c r="G59" s="1975" t="s">
        <v>339</v>
      </c>
      <c r="H59" s="1976" t="s">
        <v>816</v>
      </c>
      <c r="I59" s="1977" t="s">
        <v>4</v>
      </c>
      <c r="J59" s="1983">
        <v>2973</v>
      </c>
      <c r="K59" s="2006"/>
      <c r="L59" s="1774" t="str">
        <f>IF(AND(D58=0,J59=0),"",IF(SUM(J59)&gt;D58,"Däravrad 092 &gt; rad 086",IF(J59="","skriv belopp eller 0","")))</f>
        <v/>
      </c>
      <c r="M59" s="757"/>
      <c r="N59" s="758"/>
      <c r="O59" s="1345"/>
      <c r="P59" s="1414"/>
      <c r="Q59" s="1403"/>
      <c r="R59" s="1414"/>
    </row>
    <row r="60" spans="1:20" ht="14.45" customHeight="1">
      <c r="A60" s="592" t="s">
        <v>340</v>
      </c>
      <c r="B60" s="681">
        <v>281</v>
      </c>
      <c r="C60" s="568" t="s">
        <v>716</v>
      </c>
      <c r="D60" s="198">
        <v>2497</v>
      </c>
      <c r="E60" s="750"/>
      <c r="F60" s="2140"/>
      <c r="G60" s="4"/>
      <c r="H60" s="11"/>
      <c r="I60" s="176"/>
      <c r="J60" s="1765"/>
      <c r="K60" s="1988"/>
      <c r="L60" s="209"/>
      <c r="M60" s="757"/>
      <c r="N60" s="717"/>
      <c r="O60" s="1345"/>
      <c r="P60" s="1414"/>
      <c r="Q60" s="1403"/>
      <c r="R60" s="1414"/>
    </row>
    <row r="61" spans="1:20" ht="14.45" customHeight="1">
      <c r="A61" s="592" t="s">
        <v>341</v>
      </c>
      <c r="B61" s="681" t="s">
        <v>717</v>
      </c>
      <c r="C61" s="568" t="s">
        <v>718</v>
      </c>
      <c r="D61" s="197">
        <v>18217</v>
      </c>
      <c r="E61" s="751"/>
      <c r="F61" s="1774" t="str">
        <f>IF(D61&lt;&gt;0,"","Belopp saknas för kommunen")</f>
        <v/>
      </c>
      <c r="G61" s="4"/>
      <c r="H61" s="4"/>
      <c r="I61" s="176"/>
      <c r="J61" s="1792" t="s">
        <v>658</v>
      </c>
      <c r="K61" s="176"/>
      <c r="L61" s="209"/>
      <c r="M61" s="757"/>
      <c r="N61" s="717"/>
      <c r="O61" s="1345"/>
      <c r="P61" s="1414"/>
      <c r="Q61" s="1403"/>
      <c r="R61" s="1414"/>
    </row>
    <row r="62" spans="1:20" ht="14.45" customHeight="1">
      <c r="A62" s="592" t="s">
        <v>928</v>
      </c>
      <c r="B62" s="681">
        <v>293</v>
      </c>
      <c r="C62" s="568" t="s">
        <v>864</v>
      </c>
      <c r="D62" s="196">
        <v>12507</v>
      </c>
      <c r="E62" s="749"/>
      <c r="F62" s="1774" t="str">
        <f>IF(D62&lt;&gt;0,"","Belopp saknas för kommunen")</f>
        <v/>
      </c>
      <c r="G62" s="1492" t="s">
        <v>342</v>
      </c>
      <c r="H62" s="1493" t="s">
        <v>719</v>
      </c>
      <c r="I62" s="1782" t="s">
        <v>863</v>
      </c>
      <c r="J62" s="1785">
        <v>3526</v>
      </c>
      <c r="K62" s="1551"/>
      <c r="L62" s="1762"/>
      <c r="M62" s="757"/>
      <c r="N62" s="717"/>
      <c r="O62" s="1345"/>
      <c r="P62" s="1414"/>
      <c r="Q62" s="1403"/>
      <c r="R62" s="1414"/>
      <c r="S62" s="311"/>
    </row>
    <row r="63" spans="1:20" ht="14.45" customHeight="1">
      <c r="A63" s="592" t="s">
        <v>343</v>
      </c>
      <c r="B63" s="681" t="s">
        <v>720</v>
      </c>
      <c r="C63" s="568" t="s">
        <v>836</v>
      </c>
      <c r="D63" s="196">
        <v>12652</v>
      </c>
      <c r="E63" s="749"/>
      <c r="F63" s="1774" t="str">
        <f>IF(D63&lt;&gt;0,"","Belopp saknas för kommunen")</f>
        <v/>
      </c>
      <c r="G63" s="2146"/>
      <c r="H63" s="2146"/>
      <c r="I63" s="2146"/>
      <c r="J63" s="2143" t="str">
        <f>IF(AND(D62=0,J62=0),"",IF(SUM(J62)&gt;D62,"Däravrad 095 &gt; rad 104",IF(J62="","skriv belopp eller 0","")))</f>
        <v/>
      </c>
      <c r="K63" s="2143"/>
      <c r="L63" s="2148"/>
      <c r="M63" s="757"/>
      <c r="N63" s="717"/>
      <c r="O63" s="1345"/>
      <c r="P63" s="1414"/>
      <c r="Q63" s="1403"/>
      <c r="R63" s="1414"/>
    </row>
    <row r="64" spans="1:20" ht="14.45" customHeight="1">
      <c r="A64" s="592" t="s">
        <v>462</v>
      </c>
      <c r="B64" s="681" t="s">
        <v>14</v>
      </c>
      <c r="C64" s="568" t="s">
        <v>15</v>
      </c>
      <c r="D64" s="196">
        <v>2976</v>
      </c>
      <c r="E64" s="749"/>
      <c r="F64" s="2140"/>
      <c r="G64" s="2146"/>
      <c r="H64" s="2206"/>
      <c r="I64" s="2146"/>
      <c r="J64" s="2203"/>
      <c r="K64" s="2207"/>
      <c r="L64" s="2148"/>
      <c r="M64" s="757"/>
      <c r="N64" s="717"/>
      <c r="O64" s="1345"/>
      <c r="P64" s="1414"/>
      <c r="Q64" s="1403"/>
      <c r="R64" s="1414"/>
    </row>
    <row r="65" spans="1:19" ht="14.45" customHeight="1" thickBot="1">
      <c r="A65" s="592" t="s">
        <v>344</v>
      </c>
      <c r="B65" s="678" t="s">
        <v>721</v>
      </c>
      <c r="C65" s="563" t="s">
        <v>723</v>
      </c>
      <c r="D65" s="196">
        <v>31769</v>
      </c>
      <c r="E65" s="749"/>
      <c r="F65" s="2140"/>
      <c r="G65" s="4"/>
      <c r="H65" s="188"/>
      <c r="I65" s="4"/>
      <c r="J65" s="176"/>
      <c r="K65" s="1792" t="s">
        <v>785</v>
      </c>
      <c r="L65" s="209"/>
      <c r="M65" s="757"/>
      <c r="N65" s="717"/>
      <c r="O65" s="1345"/>
      <c r="P65" s="1414"/>
      <c r="Q65" s="1414"/>
      <c r="R65" s="1414"/>
    </row>
    <row r="66" spans="1:19" ht="14.45" customHeight="1" thickBot="1">
      <c r="A66" s="594" t="s">
        <v>345</v>
      </c>
      <c r="B66" s="744" t="s">
        <v>724</v>
      </c>
      <c r="C66" s="745" t="s">
        <v>725</v>
      </c>
      <c r="D66" s="362">
        <f>SUM(D57:D65)</f>
        <v>185825</v>
      </c>
      <c r="E66" s="193">
        <v>236538</v>
      </c>
      <c r="F66" s="1774" t="str">
        <f>IF(E66="","Skriv belopp eller 0 för koncernen","")</f>
        <v/>
      </c>
      <c r="G66" s="1505" t="s">
        <v>336</v>
      </c>
      <c r="H66" s="1506">
        <v>24</v>
      </c>
      <c r="I66" s="1985" t="s">
        <v>1217</v>
      </c>
      <c r="J66" s="1987"/>
      <c r="K66" s="1997">
        <v>77630</v>
      </c>
      <c r="L66" s="2144" t="str">
        <f>IF(AND(E66=0,K66=0),"",IF(SUM(K66)&gt;E66,"Därav-rad 090&gt;rad 098 (Excel K66&gt;E66)",IF(AND(E66&gt;100,K66=""),"Rad 090: skriv belopp eller 0","")))</f>
        <v/>
      </c>
      <c r="M66" s="761">
        <f>D66*1000000/invanare</f>
        <v>18361.715065706925</v>
      </c>
      <c r="N66" s="762">
        <f>E66*1000000/invanare</f>
        <v>23372.761244246925</v>
      </c>
      <c r="O66" s="1345"/>
      <c r="P66" s="1414"/>
      <c r="Q66" s="1612"/>
      <c r="R66" s="1612"/>
    </row>
    <row r="67" spans="1:19" ht="14.25" customHeight="1" thickBot="1">
      <c r="A67" s="585" t="s">
        <v>346</v>
      </c>
      <c r="B67" s="689" t="s">
        <v>726</v>
      </c>
      <c r="C67" s="542" t="s">
        <v>727</v>
      </c>
      <c r="D67" s="350">
        <f>SUM(D56,D66)</f>
        <v>479307</v>
      </c>
      <c r="E67" s="363">
        <f>SUM(E56,E66)</f>
        <v>753100</v>
      </c>
      <c r="F67" s="2140"/>
      <c r="G67" s="1498" t="s">
        <v>1157</v>
      </c>
      <c r="H67" s="2023" t="s">
        <v>1158</v>
      </c>
      <c r="I67" s="1986" t="s">
        <v>1218</v>
      </c>
      <c r="J67" s="1984"/>
      <c r="K67" s="1998">
        <v>28472</v>
      </c>
      <c r="L67" s="2144" t="str">
        <f>IF(AND(K66=0,K67=0),"",IF(SUM(K67)&gt;K66,"Varav-rad 134&gt;rad 090",IF(AND(K66&gt;100,K67=""),"Rad 134, skriv belopp eller 0","")))</f>
        <v/>
      </c>
      <c r="M67" s="1345"/>
      <c r="N67" s="1345"/>
      <c r="O67" s="1345"/>
      <c r="P67" s="1414"/>
      <c r="Q67" s="1612"/>
      <c r="R67" s="1612"/>
    </row>
    <row r="68" spans="1:19" ht="14.45" customHeight="1" thickBot="1">
      <c r="A68" s="746">
        <v>100</v>
      </c>
      <c r="B68" s="747" t="s">
        <v>728</v>
      </c>
      <c r="C68" s="748" t="s">
        <v>729</v>
      </c>
      <c r="D68" s="364">
        <f>SUM(D42,D49,D56,D66)</f>
        <v>985118</v>
      </c>
      <c r="E68" s="360">
        <f>SUM(E42,E49,E56,E66)</f>
        <v>1426902</v>
      </c>
      <c r="F68" s="2140"/>
      <c r="G68" s="2146"/>
      <c r="H68" s="2146"/>
      <c r="I68" s="2146"/>
      <c r="J68" s="2144"/>
      <c r="K68" s="2144"/>
      <c r="L68" s="2148"/>
      <c r="M68" s="69"/>
      <c r="N68" s="69"/>
      <c r="O68" s="228"/>
      <c r="P68" s="1414"/>
      <c r="Q68" s="1612"/>
      <c r="R68" s="1612"/>
    </row>
    <row r="69" spans="1:19">
      <c r="A69" s="1419" t="s">
        <v>905</v>
      </c>
      <c r="B69" s="148"/>
      <c r="C69" s="150"/>
      <c r="D69" s="12"/>
      <c r="E69" s="12"/>
      <c r="F69" s="2140"/>
      <c r="G69" s="764" t="s">
        <v>561</v>
      </c>
      <c r="H69" s="765"/>
      <c r="I69" s="765"/>
      <c r="J69" s="766"/>
      <c r="L69" s="209"/>
      <c r="M69" s="635">
        <f>J56*1000000/invanare</f>
        <v>12613.33474041431</v>
      </c>
      <c r="N69" s="763"/>
      <c r="O69" s="1372"/>
      <c r="P69" s="1615"/>
      <c r="Q69" s="1616"/>
      <c r="R69" s="1616"/>
    </row>
    <row r="70" spans="1:19">
      <c r="A70" s="1419"/>
      <c r="B70" s="148"/>
      <c r="C70" s="150"/>
      <c r="D70" s="12"/>
      <c r="E70" s="12"/>
      <c r="F70" s="2140"/>
      <c r="G70" s="767" t="s">
        <v>553</v>
      </c>
      <c r="H70" s="768"/>
      <c r="I70" s="768"/>
      <c r="J70" s="769"/>
      <c r="M70" s="1946">
        <f>SUM(D56-J56)*1000000/invanare</f>
        <v>16386.169421640312</v>
      </c>
      <c r="N70" s="713"/>
      <c r="O70" s="1372"/>
      <c r="Q70" s="2657"/>
      <c r="R70" s="2657"/>
      <c r="S70" s="2657"/>
    </row>
    <row r="71" spans="1:19" ht="15" customHeight="1">
      <c r="A71" s="175"/>
      <c r="B71" s="10"/>
      <c r="C71" s="8"/>
      <c r="D71" s="12"/>
      <c r="E71" s="12"/>
      <c r="F71" s="2140"/>
      <c r="G71" s="770" t="s">
        <v>551</v>
      </c>
      <c r="H71" s="771"/>
      <c r="I71" s="771"/>
      <c r="J71" s="769"/>
      <c r="L71" s="175"/>
      <c r="M71" s="631">
        <f>IF(D34=0,"",D42*100/D34)</f>
        <v>45.331523736242765</v>
      </c>
      <c r="N71" s="632">
        <f>IF(E34=0,"",E42*100/E34)</f>
        <v>40.775960787776597</v>
      </c>
      <c r="O71" s="1345"/>
      <c r="Q71" s="2657"/>
      <c r="R71" s="2657"/>
      <c r="S71" s="2657"/>
    </row>
    <row r="72" spans="1:19" ht="18" customHeight="1" thickBot="1">
      <c r="A72" s="79" t="s">
        <v>807</v>
      </c>
      <c r="B72" s="12"/>
      <c r="C72" s="12"/>
      <c r="D72" s="12"/>
      <c r="E72" s="12"/>
      <c r="F72" s="2140"/>
      <c r="G72" s="2651" t="s">
        <v>552</v>
      </c>
      <c r="H72" s="2652"/>
      <c r="I72" s="2652"/>
      <c r="J72" s="2653"/>
      <c r="K72" s="300"/>
      <c r="L72" s="175"/>
      <c r="M72" s="634">
        <f>IF(D34=0,"",(D42-E79)*100/D34)</f>
        <v>25.554705121619946</v>
      </c>
      <c r="N72" s="762">
        <f>IF(E34=0,"",(E42-E79)*100/E34)</f>
        <v>27.122255067271613</v>
      </c>
      <c r="O72" s="1345"/>
      <c r="Q72" s="148"/>
      <c r="R72" s="148"/>
    </row>
    <row r="73" spans="1:19" ht="18">
      <c r="A73" s="779" t="s">
        <v>668</v>
      </c>
      <c r="B73" s="780" t="s">
        <v>657</v>
      </c>
      <c r="C73" s="781"/>
      <c r="D73" s="693" t="s">
        <v>658</v>
      </c>
      <c r="E73" s="694" t="s">
        <v>658</v>
      </c>
      <c r="F73" s="2140"/>
      <c r="G73" s="2146"/>
      <c r="H73" s="2146"/>
      <c r="I73" s="2146"/>
      <c r="J73" s="2146"/>
      <c r="K73" s="2146"/>
      <c r="L73" s="2146"/>
      <c r="M73" s="772" t="str">
        <f>"Föränd. %  "&amp;År-1&amp;" - "&amp;År&amp;" "</f>
        <v xml:space="preserve">Föränd. %  2016 - 2017 </v>
      </c>
      <c r="N73" s="772" t="s">
        <v>476</v>
      </c>
    </row>
    <row r="74" spans="1:19">
      <c r="A74" s="782" t="s">
        <v>659</v>
      </c>
      <c r="B74" s="543"/>
      <c r="C74" s="734"/>
      <c r="D74" s="1599">
        <f>År-1</f>
        <v>2016</v>
      </c>
      <c r="E74" s="1600">
        <f>År</f>
        <v>2017</v>
      </c>
      <c r="F74" s="2140"/>
      <c r="G74" s="2146"/>
      <c r="H74" s="2146"/>
      <c r="I74" s="2146"/>
      <c r="J74" s="2146"/>
      <c r="K74" s="2146"/>
      <c r="L74" s="2146"/>
      <c r="M74" s="773"/>
      <c r="N74" s="774" t="s">
        <v>658</v>
      </c>
      <c r="O74" s="1410"/>
      <c r="Q74" s="1336"/>
      <c r="R74" s="1336"/>
    </row>
    <row r="75" spans="1:19" ht="17.25" customHeight="1">
      <c r="A75" s="592" t="s">
        <v>349</v>
      </c>
      <c r="B75" s="783" t="s">
        <v>730</v>
      </c>
      <c r="C75" s="784"/>
      <c r="D75" s="785">
        <v>116677</v>
      </c>
      <c r="E75" s="105">
        <v>120503</v>
      </c>
      <c r="F75" s="2142" t="str">
        <f>IF(E75="","Skriv belopp eller 0",IF(M75="","",IF(AND(M75&gt;-25%,M75&lt;25%),"","Kommentera förändringen")))</f>
        <v/>
      </c>
      <c r="G75" s="2146"/>
      <c r="H75" s="2146"/>
      <c r="I75" s="2146"/>
      <c r="J75" s="2146"/>
      <c r="K75" s="2146"/>
      <c r="L75" s="2146"/>
      <c r="M75" s="775">
        <f t="shared" ref="M75:M80" si="0">IF(AND(D75=0,E75=0),"",IF(E75=0,1,IF(D75=0,-1,E75/D75-1)))</f>
        <v>3.2791381334795977E-2</v>
      </c>
      <c r="N75" s="776">
        <f t="shared" ref="N75:N80" si="1">E75*1000000/invanare</f>
        <v>11907.126331564008</v>
      </c>
      <c r="O75" s="1410"/>
      <c r="Q75" s="1336"/>
      <c r="R75" s="1336"/>
    </row>
    <row r="76" spans="1:19" ht="15.75" customHeight="1">
      <c r="A76" s="592" t="s">
        <v>350</v>
      </c>
      <c r="B76" s="786" t="s">
        <v>731</v>
      </c>
      <c r="C76" s="575"/>
      <c r="D76" s="787">
        <v>5190</v>
      </c>
      <c r="E76" s="105">
        <v>5257</v>
      </c>
      <c r="F76" s="2142" t="str">
        <f>IF(E76="","Skriv belopp eller 0",IF(M76="","",IF(AND(M76&gt;-25%,M76&lt;25%),"","Kommentera förändringen")))</f>
        <v/>
      </c>
      <c r="G76" s="2146"/>
      <c r="H76" s="2146"/>
      <c r="I76" s="2146"/>
      <c r="J76" s="2146"/>
      <c r="K76" s="2146"/>
      <c r="L76" s="2146"/>
      <c r="M76" s="777">
        <f t="shared" si="0"/>
        <v>1.290944123314075E-2</v>
      </c>
      <c r="N76" s="776">
        <f t="shared" si="1"/>
        <v>519.45398143641228</v>
      </c>
      <c r="O76" s="1345"/>
      <c r="Q76" s="1336"/>
      <c r="R76" s="1336"/>
    </row>
    <row r="77" spans="1:19" ht="18.75" customHeight="1">
      <c r="A77" s="592" t="s">
        <v>222</v>
      </c>
      <c r="B77" s="786" t="s">
        <v>732</v>
      </c>
      <c r="C77" s="575"/>
      <c r="D77" s="787">
        <v>101888</v>
      </c>
      <c r="E77" s="105">
        <v>104694</v>
      </c>
      <c r="F77" s="2142" t="str">
        <f>IF(E77="","Skriv belopp eller 0",IF(M77="","",IF(AND(M77&gt;-25%,M77&lt;25%),"","Kommentera förändringen")))</f>
        <v/>
      </c>
      <c r="G77" s="2146"/>
      <c r="H77" s="2146"/>
      <c r="I77" s="2146"/>
      <c r="J77" s="2146"/>
      <c r="K77" s="2146"/>
      <c r="L77" s="2146"/>
      <c r="M77" s="777">
        <f t="shared" si="0"/>
        <v>2.7540043969849215E-2</v>
      </c>
      <c r="N77" s="776">
        <f t="shared" si="1"/>
        <v>10345.009536333222</v>
      </c>
      <c r="O77" s="1345"/>
      <c r="Q77" s="1336"/>
      <c r="R77" s="1336"/>
    </row>
    <row r="78" spans="1:19" ht="18">
      <c r="A78" s="592" t="s">
        <v>351</v>
      </c>
      <c r="B78" s="1775" t="s">
        <v>1138</v>
      </c>
      <c r="C78" s="1776" t="s">
        <v>1135</v>
      </c>
      <c r="D78" s="787">
        <v>18569</v>
      </c>
      <c r="E78" s="105">
        <v>17874</v>
      </c>
      <c r="F78" s="2142" t="str">
        <f>IF(E78="","Skriv belopp eller 0",IF(M78="","",IF(OR(AND(M78&gt;-25%,M78&lt;25%),ABS(E78-D78)&lt;10000),"","Kommentera förändringen")))</f>
        <v/>
      </c>
      <c r="G78" s="2146"/>
      <c r="H78" s="2146"/>
      <c r="I78" s="2146"/>
      <c r="J78" s="2146"/>
      <c r="K78" s="2146"/>
      <c r="L78" s="2146"/>
      <c r="M78" s="777">
        <f t="shared" si="0"/>
        <v>-3.7427971350099676E-2</v>
      </c>
      <c r="N78" s="776">
        <f t="shared" si="1"/>
        <v>1766.163299257073</v>
      </c>
      <c r="O78" s="1345"/>
      <c r="Q78" s="1336"/>
      <c r="R78" s="1336"/>
    </row>
    <row r="79" spans="1:19" ht="18.75" customHeight="1">
      <c r="A79" s="592" t="s">
        <v>352</v>
      </c>
      <c r="B79" s="1769" t="s">
        <v>1136</v>
      </c>
      <c r="C79" s="1770" t="s">
        <v>1137</v>
      </c>
      <c r="D79" s="787">
        <v>201305</v>
      </c>
      <c r="E79" s="191">
        <v>194825</v>
      </c>
      <c r="F79" s="1774" t="str">
        <f>IF(E79=0,"Belopp saknas",IF(M79="","",IF(AND(M79&gt;-25%,M79&lt;25%),"","Kommentera förändringen")))</f>
        <v/>
      </c>
      <c r="G79" s="2146"/>
      <c r="H79" s="2146"/>
      <c r="I79" s="2146"/>
      <c r="J79" s="2146"/>
      <c r="K79" s="2148"/>
      <c r="L79" s="2146"/>
      <c r="M79" s="777">
        <f t="shared" si="0"/>
        <v>-3.2189960507687299E-2</v>
      </c>
      <c r="N79" s="776">
        <f t="shared" si="1"/>
        <v>19251.021862915928</v>
      </c>
      <c r="O79" s="1345"/>
      <c r="Q79" s="1336"/>
      <c r="R79" s="1336"/>
    </row>
    <row r="80" spans="1:19" ht="15" customHeight="1" thickBot="1">
      <c r="A80" s="596" t="s">
        <v>353</v>
      </c>
      <c r="B80" s="788" t="s">
        <v>733</v>
      </c>
      <c r="C80" s="789"/>
      <c r="D80" s="790">
        <f>SUM(D75:D79)</f>
        <v>443629</v>
      </c>
      <c r="E80" s="365">
        <f>SUM(E75:E79)</f>
        <v>443153</v>
      </c>
      <c r="F80" s="1774"/>
      <c r="G80" s="1496" t="s">
        <v>1048</v>
      </c>
      <c r="H80" s="1497"/>
      <c r="I80" s="783" t="s">
        <v>1042</v>
      </c>
      <c r="J80" s="304">
        <v>236833</v>
      </c>
      <c r="K80" s="2143" t="str">
        <f>IF(AND(E80=0,J80=0),"",IF(J80="","rad 161: skriv belopp eller 0",IF(SUM(E75:E78)&gt;J80, "Vad avser de" &amp;" "&amp;(ROUND(SUM(E75:E78)-J80,0))&amp; " tkr som ej är för lån och som ingår på raderna 121-140?",IF(SUM(J80)&gt;(SUM(E75:E78)),"Däravrad 161 &gt; Summa av raderna 121, 122, 130 och 140",""))))</f>
        <v>Vad avser de 11495 tkr som ej är för lån och som ingår på raderna 121-140?</v>
      </c>
      <c r="L80" s="4"/>
      <c r="M80" s="778">
        <f t="shared" si="0"/>
        <v>-1.0729686291923723E-3</v>
      </c>
      <c r="N80" s="647">
        <f t="shared" si="1"/>
        <v>43788.775011506645</v>
      </c>
      <c r="O80" s="1345"/>
      <c r="Q80" s="1336"/>
      <c r="R80" s="1336"/>
    </row>
    <row r="81" spans="1:18">
      <c r="A81" s="13"/>
      <c r="B81" s="1"/>
      <c r="C81" s="1"/>
      <c r="D81" s="1"/>
      <c r="E81" s="1"/>
      <c r="F81" s="2140"/>
      <c r="G81" s="1602" t="s">
        <v>1049</v>
      </c>
      <c r="H81" s="1491"/>
      <c r="I81" s="1565" t="s">
        <v>1046</v>
      </c>
      <c r="J81" s="303">
        <v>173490</v>
      </c>
      <c r="K81" s="2143" t="str">
        <f>IF(AND(J80=0,J81=0),"",IF(J81="","rad 162: skriv belopp eller 0",IF(SUM(J81)&gt;J80,"Varav-rad 162 &gt; rad 161 ",IF(J81&gt;SUM(E75+E77),"varför är rad 162   " &amp;" "&amp;(ROUND(J81-SUM(E75+E77),0))&amp; "tkr större än summan av raderna 121 och 130 (offentligt ägda bolag)?",""))))</f>
        <v/>
      </c>
      <c r="L81" s="336"/>
      <c r="M81" s="4"/>
      <c r="N81" s="4"/>
      <c r="O81" s="1345"/>
      <c r="Q81" s="146"/>
      <c r="R81" s="146"/>
    </row>
    <row r="82" spans="1:18" ht="16.5" thickBot="1">
      <c r="A82" s="79" t="s">
        <v>196</v>
      </c>
      <c r="B82" s="4"/>
      <c r="C82" s="4"/>
      <c r="D82" s="4"/>
      <c r="E82" s="4"/>
      <c r="F82" s="2140"/>
      <c r="G82" s="4"/>
      <c r="H82" s="4"/>
      <c r="I82" s="4"/>
      <c r="J82" s="145"/>
      <c r="K82" s="1781"/>
      <c r="L82" s="4"/>
      <c r="M82" s="4"/>
      <c r="N82" s="4"/>
    </row>
    <row r="83" spans="1:18">
      <c r="A83" s="616" t="s">
        <v>347</v>
      </c>
      <c r="B83" s="791" t="s">
        <v>1223</v>
      </c>
      <c r="C83" s="791"/>
      <c r="D83" s="792"/>
      <c r="E83" s="199">
        <v>17370</v>
      </c>
      <c r="F83" s="1774" t="str">
        <f>IF(E83="","Skriv belopp eller 0 på rad 107",IF(E83&lt;0,"Inga minusbelopp ska anges på rad 107",""))</f>
        <v/>
      </c>
      <c r="G83" s="4"/>
      <c r="H83" s="4"/>
      <c r="I83" s="4"/>
      <c r="J83" s="145"/>
      <c r="K83" s="145"/>
      <c r="L83" s="4"/>
      <c r="M83" s="4"/>
      <c r="N83" s="4"/>
      <c r="Q83" s="174"/>
      <c r="R83" s="174"/>
    </row>
    <row r="84" spans="1:18" ht="13.5" thickBot="1">
      <c r="A84" s="2049" t="s">
        <v>348</v>
      </c>
      <c r="B84" s="2050" t="str">
        <f>"Ackumulerat  ej återställt negativt resultat inkl. "&amp;År&amp;" års resultat"</f>
        <v>Ackumulerat  ej återställt negativt resultat inkl. 2017 års resultat</v>
      </c>
      <c r="C84" s="2051"/>
      <c r="D84" s="2052"/>
      <c r="E84" s="200">
        <v>212</v>
      </c>
      <c r="F84" s="1774" t="str">
        <f>IF(E84="","Skriv belopp eller 0 på rad 108",IF(E84&lt;0,"Inga minustecken ska anges på rad 108",""))</f>
        <v/>
      </c>
      <c r="G84" s="4"/>
      <c r="H84" s="4"/>
      <c r="I84" s="4"/>
      <c r="J84" s="4"/>
      <c r="K84" s="145"/>
      <c r="L84" s="4"/>
      <c r="M84" s="4"/>
      <c r="N84" s="4"/>
      <c r="Q84" s="1336"/>
      <c r="R84" s="1336"/>
    </row>
    <row r="85" spans="1:18">
      <c r="A85" s="2054"/>
      <c r="B85" s="2055"/>
      <c r="C85" s="2055"/>
      <c r="D85" s="2056"/>
      <c r="E85" s="2053"/>
      <c r="F85" s="1774"/>
      <c r="G85" s="4"/>
      <c r="H85" s="4"/>
      <c r="I85" s="4"/>
      <c r="J85" s="4"/>
      <c r="K85" s="4"/>
      <c r="L85" s="4"/>
      <c r="M85" s="4"/>
      <c r="N85" s="4"/>
      <c r="Q85" s="1336"/>
      <c r="R85" s="1336"/>
    </row>
    <row r="86" spans="1:18">
      <c r="A86" s="4"/>
      <c r="B86" s="4"/>
      <c r="C86" s="1"/>
      <c r="D86" s="4"/>
      <c r="E86" s="4"/>
      <c r="F86" s="2148"/>
      <c r="G86" s="4"/>
      <c r="H86" s="4"/>
      <c r="I86" s="4"/>
      <c r="J86" s="4"/>
      <c r="K86" s="4"/>
      <c r="L86" s="4"/>
      <c r="M86" s="4"/>
      <c r="N86" s="4"/>
      <c r="Q86" s="150"/>
      <c r="R86" s="150"/>
    </row>
    <row r="87" spans="1:18">
      <c r="A87" s="140"/>
      <c r="B87" s="1"/>
      <c r="C87" s="1"/>
      <c r="D87" s="1"/>
      <c r="E87" s="1"/>
      <c r="F87" s="2148"/>
      <c r="G87" s="4"/>
      <c r="H87" s="4"/>
      <c r="I87" s="4"/>
      <c r="J87" s="4"/>
      <c r="K87" s="4"/>
      <c r="L87" s="4"/>
      <c r="M87" s="4"/>
      <c r="N87" s="4"/>
      <c r="Q87" s="174"/>
      <c r="R87" s="174"/>
    </row>
    <row r="88" spans="1:18">
      <c r="A88" s="2645"/>
      <c r="B88" s="2645"/>
      <c r="C88" s="2645"/>
      <c r="D88" s="2645"/>
      <c r="E88" s="2645"/>
      <c r="F88" s="2148"/>
      <c r="G88" s="4"/>
      <c r="H88" s="4"/>
      <c r="I88" s="4"/>
      <c r="J88" s="4"/>
      <c r="K88" s="4"/>
      <c r="L88" s="4"/>
      <c r="M88" s="4"/>
      <c r="N88" s="4"/>
    </row>
    <row r="89" spans="1:18">
      <c r="A89" s="2645"/>
      <c r="B89" s="2645"/>
      <c r="C89" s="2645"/>
      <c r="D89" s="2645"/>
      <c r="E89" s="2645"/>
      <c r="F89" s="2148"/>
      <c r="G89" s="4"/>
      <c r="H89" s="4"/>
      <c r="I89" s="4"/>
      <c r="J89" s="4"/>
      <c r="K89" s="4"/>
      <c r="L89" s="4"/>
      <c r="M89" s="4"/>
      <c r="N89" s="4"/>
      <c r="P89" s="176"/>
      <c r="Q89" s="174"/>
      <c r="R89" s="174"/>
    </row>
    <row r="90" spans="1:18">
      <c r="A90" s="2645"/>
      <c r="B90" s="2645"/>
      <c r="C90" s="2645"/>
      <c r="D90" s="2645"/>
      <c r="E90" s="2645"/>
      <c r="F90" s="2148"/>
      <c r="G90" s="4"/>
      <c r="H90" s="4"/>
      <c r="I90" s="4"/>
      <c r="J90" s="4"/>
      <c r="K90" s="4"/>
      <c r="L90" s="4"/>
      <c r="M90" s="4"/>
      <c r="N90" s="4"/>
      <c r="P90" s="176"/>
      <c r="Q90" s="174"/>
      <c r="R90" s="174"/>
    </row>
    <row r="91" spans="1:18">
      <c r="A91" s="2645"/>
      <c r="B91" s="2645"/>
      <c r="C91" s="2645"/>
      <c r="D91" s="2645"/>
      <c r="E91" s="2645"/>
      <c r="F91" s="2188"/>
      <c r="K91" s="4"/>
      <c r="L91" s="4"/>
      <c r="P91" s="176"/>
      <c r="Q91" s="174"/>
      <c r="R91" s="174"/>
    </row>
    <row r="92" spans="1:18">
      <c r="F92" s="2188"/>
      <c r="Q92" s="174"/>
      <c r="R92" s="174"/>
    </row>
    <row r="93" spans="1:18">
      <c r="F93" s="2188"/>
    </row>
    <row r="94" spans="1:18" hidden="1"/>
    <row r="95" spans="1:18" hidden="1"/>
    <row r="96" spans="1:18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</sheetData>
  <sheetProtection password="CBFD" sheet="1" objects="1" scenarios="1"/>
  <customSheetViews>
    <customSheetView guid="{27C9E95B-0E2B-454F-B637-1CECC9579A10}" showGridLines="0" hiddenRows="1" showRuler="0">
      <selection activeCell="I75" sqref="I75"/>
      <pageMargins left="0.11811023622047245" right="0.11811023622047245" top="0.74803149606299213" bottom="0.74803149606299213" header="0.31496062992125984" footer="0.31496062992125984"/>
      <pageSetup paperSize="9" scale="80" orientation="landscape" r:id="rId1"/>
      <headerFooter alignWithMargins="0">
        <oddHeader>&amp;L&amp;8Statistiska Centralbyrån
Offentlig ekonomi&amp;R&amp;P</oddHeader>
      </headerFooter>
    </customSheetView>
    <customSheetView guid="{99FBDEB7-DD08-4F57-81F4-3C180403E153}" showGridLines="0" hiddenRows="1" hiddenColumns="1" topLeftCell="A37">
      <selection activeCell="F38" sqref="F38"/>
      <pageMargins left="0.11811023622047245" right="0.11811023622047245" top="0.74803149606299213" bottom="0.74803149606299213" header="0.31496062992125984" footer="0.31496062992125984"/>
      <pageSetup paperSize="9" scale="80" orientation="landscape" r:id="rId2"/>
      <headerFooter>
        <oddHeader>&amp;L&amp;8Statistiska Centralbyrån
Offentlig ekonomi&amp;R&amp;P</oddHeader>
      </headerFooter>
    </customSheetView>
    <customSheetView guid="{97D6DB71-3F4C-4C5F-8C5B-51E3EBF78932}" showPageBreaks="1" showGridLines="0" hiddenRows="1" hiddenColumns="1" topLeftCell="A37">
      <selection activeCell="F38" sqref="F38"/>
      <pageMargins left="0.11811023622047245" right="0.11811023622047245" top="0.74803149606299213" bottom="0.74803149606299213" header="0.31496062992125984" footer="0.31496062992125984"/>
      <pageSetup paperSize="9" scale="80" orientation="landscape" r:id="rId3"/>
      <headerFooter>
        <oddHeader>&amp;L&amp;8Statistiska Centralbyrån
Offentlig ekonomi&amp;R&amp;P</oddHeader>
      </headerFooter>
    </customSheetView>
  </customSheetViews>
  <mergeCells count="8">
    <mergeCell ref="M4:N4"/>
    <mergeCell ref="M37:N37"/>
    <mergeCell ref="G72:J72"/>
    <mergeCell ref="A88:E91"/>
    <mergeCell ref="T5:T6"/>
    <mergeCell ref="S5:S6"/>
    <mergeCell ref="Q70:S71"/>
    <mergeCell ref="B5:B6"/>
  </mergeCells>
  <phoneticPr fontId="95" type="noConversion"/>
  <conditionalFormatting sqref="D19:E19 D9:D11 D13:D15 E9 E12 E17 E83 E31:E32 D32 E85 D45:D48 E49 J13:K13 J15:K15 J22:K22 J24:K24 J27:K27 J48:K48 D50:D55 E66 E75:E79 J55:K55 J57:K58 J62:K62 D57:D65 D21:E21 D23:D25 D27:D29">
    <cfRule type="cellIs" dxfId="135" priority="14" stopIfTrue="1" operator="lessThan">
      <formula>-500</formula>
    </cfRule>
  </conditionalFormatting>
  <conditionalFormatting sqref="D22">
    <cfRule type="cellIs" dxfId="134" priority="12" stopIfTrue="1" operator="lessThan">
      <formula>-500</formula>
    </cfRule>
  </conditionalFormatting>
  <conditionalFormatting sqref="K82 J80:J81">
    <cfRule type="cellIs" dxfId="133" priority="7" stopIfTrue="1" operator="lessThan">
      <formula>0</formula>
    </cfRule>
    <cfRule type="cellIs" dxfId="132" priority="11" stopIfTrue="1" operator="lessThan">
      <formula>-500</formula>
    </cfRule>
  </conditionalFormatting>
  <conditionalFormatting sqref="J20:K20">
    <cfRule type="cellIs" dxfId="131" priority="10" stopIfTrue="1" operator="lessThan">
      <formula>-500</formula>
    </cfRule>
  </conditionalFormatting>
  <conditionalFormatting sqref="D19:E19">
    <cfRule type="cellIs" dxfId="130" priority="9" stopIfTrue="1" operator="lessThan">
      <formula>0</formula>
    </cfRule>
  </conditionalFormatting>
  <conditionalFormatting sqref="E83 E85">
    <cfRule type="cellIs" dxfId="129" priority="8" stopIfTrue="1" operator="lessThan">
      <formula>0</formula>
    </cfRule>
  </conditionalFormatting>
  <conditionalFormatting sqref="J49:K49">
    <cfRule type="cellIs" dxfId="128" priority="6" stopIfTrue="1" operator="lessThan">
      <formula>-500</formula>
    </cfRule>
  </conditionalFormatting>
  <conditionalFormatting sqref="J25">
    <cfRule type="cellIs" dxfId="127" priority="5" stopIfTrue="1" operator="lessThan">
      <formula>-500</formula>
    </cfRule>
  </conditionalFormatting>
  <conditionalFormatting sqref="J56:K56">
    <cfRule type="cellIs" dxfId="126" priority="4" stopIfTrue="1" operator="lessThan">
      <formula>-500</formula>
    </cfRule>
  </conditionalFormatting>
  <conditionalFormatting sqref="J53:K53">
    <cfRule type="cellIs" dxfId="125" priority="3" stopIfTrue="1" operator="lessThan">
      <formula>-500</formula>
    </cfRule>
  </conditionalFormatting>
  <conditionalFormatting sqref="J59:K59">
    <cfRule type="cellIs" dxfId="124" priority="1" stopIfTrue="1" operator="lessThan">
      <formula>-500</formula>
    </cfRule>
  </conditionalFormatting>
  <dataValidations count="2">
    <dataValidation type="decimal" operator="lessThan" allowBlank="1" showInputMessage="1" showErrorMessage="1" error="Beloppet ska vara i 1000 tal kronor" sqref="D9:E9 J62:K62 E83:E85 E75:E79 J20:K20 J27:K27 J48:K49 E44 J22:K22 J15:K15 J13:K13 E66 J24:K25 D50:D55 E49:E51 D44:D48 D57:D65 D32 E31:E32 D43:E43 D21:E21 D19:E19 E17 D13:D16 E12 D10:D11 D39:E41 D22:D30 J55:J59 K55:K56 K59 K66:K67 J80:J81 E26 E53:E55">
      <formula1>999999999</formula1>
    </dataValidation>
    <dataValidation type="decimal" operator="lessThan" allowBlank="1" showInputMessage="1" showErrorMessage="1" error="Beloppet ska vara i 1000-tal kronor" sqref="J53:K53">
      <formula1>999999999</formula1>
    </dataValidation>
  </dataValidations>
  <pageMargins left="0.11811023622047245" right="0.11811023622047245" top="0.74803149606299213" bottom="0.74803149606299213" header="0.31496062992125984" footer="0.31496062992125984"/>
  <pageSetup paperSize="9" scale="80" orientation="landscape" r:id="rId4"/>
  <headerFooter>
    <oddHeader>&amp;L&amp;8Statistiska Centralbyrån
Offentlig ekonomi&amp;R&amp;P</oddHeader>
  </headerFooter>
  <rowBreaks count="1" manualBreakCount="1">
    <brk id="49" max="16383" man="1"/>
  </rowBreaks>
  <ignoredErrors>
    <ignoredError sqref="A9:A15" numberStoredAsText="1"/>
  </ignoredError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V90"/>
  <sheetViews>
    <sheetView showGridLines="0" zoomScaleNormal="100" workbookViewId="0">
      <pane ySplit="1" topLeftCell="A2" activePane="bottomLeft" state="frozen"/>
      <selection activeCell="I28" sqref="I28"/>
      <selection pane="bottomLeft" activeCell="H16" sqref="H16"/>
    </sheetView>
  </sheetViews>
  <sheetFormatPr defaultColWidth="0" defaultRowHeight="12.75" zeroHeight="1"/>
  <cols>
    <col min="1" max="1" width="4" style="174" customWidth="1"/>
    <col min="2" max="2" width="10.140625" style="174" customWidth="1"/>
    <col min="3" max="3" width="31.28515625" style="174" customWidth="1"/>
    <col min="4" max="4" width="11.5703125" style="174" customWidth="1"/>
    <col min="5" max="5" width="21.5703125" style="174" customWidth="1"/>
    <col min="6" max="6" width="4" style="174" customWidth="1"/>
    <col min="7" max="7" width="8.28515625" style="174" customWidth="1"/>
    <col min="8" max="8" width="30.7109375" style="174" customWidth="1"/>
    <col min="9" max="9" width="9.140625" style="174" customWidth="1"/>
    <col min="10" max="10" width="20.5703125" style="174" customWidth="1"/>
    <col min="11" max="11" width="1.7109375" style="174" customWidth="1"/>
    <col min="12" max="12" width="3.7109375" style="174" customWidth="1"/>
    <col min="13" max="13" width="9.140625" style="174" customWidth="1"/>
    <col min="14" max="14" width="8.140625" style="174" customWidth="1"/>
    <col min="15" max="15" width="15" style="174" customWidth="1"/>
    <col min="16" max="16" width="1.5703125" style="174" customWidth="1"/>
    <col min="17" max="17" width="3.7109375" style="174" customWidth="1"/>
    <col min="18" max="18" width="13.85546875" style="427" customWidth="1"/>
    <col min="19" max="19" width="4.140625" style="427" customWidth="1"/>
    <col min="20" max="20" width="8.42578125" style="174" customWidth="1"/>
    <col min="21" max="21" width="8" style="174" customWidth="1"/>
    <col min="22" max="22" width="16" style="174" customWidth="1"/>
    <col min="23" max="25" width="9.140625" style="174" customWidth="1"/>
    <col min="26" max="16384" width="0" style="174" hidden="1"/>
  </cols>
  <sheetData>
    <row r="1" spans="1:20" s="209" customFormat="1" ht="20.25">
      <c r="A1" s="99" t="str">
        <f>"Verksamhetens intäkter och kostnader "&amp;År&amp;", miljoner kr"</f>
        <v>Verksamhetens intäkter och kostnader 2017, miljoner kr</v>
      </c>
      <c r="B1" s="173"/>
      <c r="C1" s="173"/>
      <c r="D1" s="173"/>
      <c r="E1" s="173"/>
      <c r="F1" s="173"/>
      <c r="G1" s="173"/>
      <c r="H1" s="521"/>
      <c r="I1" s="2260" t="s">
        <v>471</v>
      </c>
      <c r="J1" s="518" t="str">
        <f>'Kn Information'!A2</f>
        <v>RIKSTOTAL</v>
      </c>
      <c r="K1" s="518"/>
      <c r="L1" s="518"/>
      <c r="M1" s="518"/>
      <c r="N1" s="518"/>
      <c r="O1" s="518"/>
      <c r="P1" s="1399"/>
      <c r="Q1" s="174"/>
      <c r="R1" s="174"/>
      <c r="S1" s="174"/>
      <c r="T1" s="174"/>
    </row>
    <row r="2" spans="1:20" s="209" customFormat="1" ht="12.75" customHeight="1">
      <c r="A2" s="1292"/>
      <c r="D2" s="2181"/>
      <c r="E2" s="45"/>
      <c r="F2" s="4"/>
      <c r="G2" s="4"/>
      <c r="I2" s="1372"/>
      <c r="J2" s="84"/>
      <c r="K2" s="45"/>
      <c r="Q2" s="174"/>
      <c r="R2" s="174"/>
      <c r="S2" s="174"/>
      <c r="T2" s="174"/>
    </row>
    <row r="3" spans="1:20" s="209" customFormat="1" ht="12.75" customHeight="1">
      <c r="D3" s="2182"/>
      <c r="E3" s="84"/>
      <c r="F3" s="4"/>
      <c r="G3" s="4"/>
      <c r="I3" s="1372"/>
      <c r="J3" s="45"/>
      <c r="K3" s="45"/>
      <c r="Q3" s="174"/>
      <c r="R3" s="174"/>
      <c r="S3" s="174"/>
      <c r="T3" s="174"/>
    </row>
    <row r="4" spans="1:20" s="209" customFormat="1" ht="16.5" customHeight="1" thickBot="1">
      <c r="A4" s="79" t="s">
        <v>372</v>
      </c>
      <c r="B4" s="4"/>
      <c r="C4" s="4"/>
      <c r="D4" s="2147"/>
      <c r="E4" s="84"/>
      <c r="H4" s="4"/>
      <c r="I4" s="4"/>
      <c r="J4" s="4"/>
      <c r="K4" s="4"/>
      <c r="L4" s="2264" t="str">
        <f>"Förändring mellan "&amp;År-1&amp;" och "&amp;År&amp;""</f>
        <v>Förändring mellan 2016 och 2017</v>
      </c>
      <c r="Q4" s="174"/>
      <c r="R4" s="174"/>
      <c r="S4" s="174"/>
      <c r="T4" s="174"/>
    </row>
    <row r="5" spans="1:20" s="209" customFormat="1" ht="12.75" customHeight="1">
      <c r="A5" s="2261" t="s">
        <v>656</v>
      </c>
      <c r="B5" s="808" t="s">
        <v>814</v>
      </c>
      <c r="C5" s="608"/>
      <c r="D5" s="806" t="s">
        <v>1313</v>
      </c>
      <c r="E5" s="2146"/>
      <c r="F5" s="2148"/>
      <c r="G5" s="2148"/>
      <c r="H5" s="2146"/>
      <c r="I5" s="2146"/>
      <c r="J5" s="2146"/>
      <c r="K5" s="4"/>
      <c r="L5" s="2261" t="s">
        <v>656</v>
      </c>
      <c r="M5" s="808" t="s">
        <v>478</v>
      </c>
      <c r="N5" s="809" t="s">
        <v>805</v>
      </c>
      <c r="O5" s="2166" t="s">
        <v>42</v>
      </c>
      <c r="P5" s="1400"/>
      <c r="Q5" s="95"/>
      <c r="R5" s="434"/>
      <c r="S5" s="95"/>
      <c r="T5" s="1337"/>
    </row>
    <row r="6" spans="1:20" s="209" customFormat="1" ht="20.25" customHeight="1">
      <c r="A6" s="2262" t="s">
        <v>659</v>
      </c>
      <c r="B6" s="2664"/>
      <c r="C6" s="794"/>
      <c r="D6" s="807">
        <f>År</f>
        <v>2017</v>
      </c>
      <c r="E6" s="2146"/>
      <c r="F6" s="2148"/>
      <c r="G6" s="2148"/>
      <c r="H6" s="2174"/>
      <c r="I6" s="2174"/>
      <c r="J6" s="2146"/>
      <c r="K6" s="4"/>
      <c r="L6" s="2262" t="s">
        <v>659</v>
      </c>
      <c r="M6" s="810">
        <f>År-1</f>
        <v>2016</v>
      </c>
      <c r="N6" s="811" t="str">
        <f>År-1&amp;-År</f>
        <v>2016-2017</v>
      </c>
      <c r="O6" s="2166"/>
      <c r="P6" s="1400"/>
      <c r="Q6" s="1619"/>
      <c r="R6" s="1403"/>
      <c r="S6" s="271"/>
      <c r="T6" s="1594"/>
    </row>
    <row r="7" spans="1:20" s="209" customFormat="1" ht="15" customHeight="1">
      <c r="A7" s="795"/>
      <c r="B7" s="2665"/>
      <c r="C7" s="796"/>
      <c r="D7" s="2263"/>
      <c r="E7" s="2146"/>
      <c r="F7" s="2148"/>
      <c r="G7" s="2148"/>
      <c r="H7" s="2174"/>
      <c r="I7" s="2174"/>
      <c r="J7" s="2146"/>
      <c r="K7" s="4"/>
      <c r="L7" s="795"/>
      <c r="M7" s="812"/>
      <c r="N7" s="813" t="s">
        <v>806</v>
      </c>
      <c r="O7" s="2166"/>
      <c r="P7" s="1400"/>
      <c r="Q7" s="93"/>
      <c r="R7" s="1620"/>
      <c r="S7" s="1368"/>
      <c r="T7" s="1621"/>
    </row>
    <row r="8" spans="1:20" s="209" customFormat="1" ht="13.5" thickBot="1">
      <c r="A8" s="555">
        <v>130</v>
      </c>
      <c r="B8" s="1494" t="s">
        <v>817</v>
      </c>
      <c r="C8" s="1420" t="s">
        <v>824</v>
      </c>
      <c r="D8" s="229">
        <v>8995</v>
      </c>
      <c r="E8" s="1432"/>
      <c r="F8" s="2146"/>
      <c r="G8" s="2146"/>
      <c r="H8" s="2174"/>
      <c r="I8" s="2174"/>
      <c r="J8" s="2146"/>
      <c r="K8" s="4"/>
      <c r="L8" s="555">
        <v>130</v>
      </c>
      <c r="M8" s="1319">
        <v>8368</v>
      </c>
      <c r="N8" s="2158">
        <f>IF(ISERROR((D8-M8)/M8),0,((D8-M8)/M8))</f>
        <v>7.49282982791587E-2</v>
      </c>
      <c r="O8" s="2167" t="str">
        <f>IF(AND(ABS(N8)&gt;40%,ABS(D8-M8)&gt;20000),"Kommentera förändringen","")</f>
        <v/>
      </c>
      <c r="P8" s="1401"/>
      <c r="Q8" s="1403"/>
      <c r="R8" s="1403"/>
      <c r="S8" s="1403"/>
      <c r="T8" s="174"/>
    </row>
    <row r="9" spans="1:20" s="209" customFormat="1">
      <c r="A9" s="798">
        <v>200</v>
      </c>
      <c r="B9" s="799">
        <v>311</v>
      </c>
      <c r="C9" s="800" t="s">
        <v>734</v>
      </c>
      <c r="D9" s="181">
        <v>3136</v>
      </c>
      <c r="E9" s="1432"/>
      <c r="F9" s="2146"/>
      <c r="G9" s="2146"/>
      <c r="H9" s="2174"/>
      <c r="I9" s="2174"/>
      <c r="J9" s="2146"/>
      <c r="K9" s="4"/>
      <c r="L9" s="1295"/>
      <c r="M9" s="1320"/>
      <c r="N9" s="2159"/>
      <c r="O9" s="2167"/>
      <c r="P9" s="1401"/>
      <c r="Q9" s="1357"/>
      <c r="R9" s="1357"/>
      <c r="S9" s="1357"/>
      <c r="T9" s="174"/>
    </row>
    <row r="10" spans="1:20" s="209" customFormat="1">
      <c r="A10" s="801">
        <v>210</v>
      </c>
      <c r="B10" s="681">
        <v>312</v>
      </c>
      <c r="C10" s="800" t="s">
        <v>869</v>
      </c>
      <c r="D10" s="181">
        <v>506</v>
      </c>
      <c r="E10" s="1432"/>
      <c r="F10" s="2146"/>
      <c r="G10" s="2146"/>
      <c r="H10" s="2174"/>
      <c r="I10" s="2174"/>
      <c r="J10" s="2146"/>
      <c r="K10" s="4"/>
      <c r="L10" s="1296"/>
      <c r="M10" s="1093"/>
      <c r="N10" s="2160"/>
      <c r="O10" s="2167"/>
      <c r="P10" s="1401"/>
      <c r="Q10" s="1357"/>
      <c r="R10" s="1357"/>
      <c r="S10" s="1357"/>
      <c r="T10" s="174"/>
    </row>
    <row r="11" spans="1:20" s="209" customFormat="1" ht="19.5" customHeight="1">
      <c r="A11" s="801">
        <v>280</v>
      </c>
      <c r="B11" s="1487" t="s">
        <v>929</v>
      </c>
      <c r="C11" s="800" t="s">
        <v>735</v>
      </c>
      <c r="D11" s="181">
        <v>31922</v>
      </c>
      <c r="E11" s="1432"/>
      <c r="F11" s="2146"/>
      <c r="G11" s="2146"/>
      <c r="H11" s="2174"/>
      <c r="I11" s="2174"/>
      <c r="J11" s="2146"/>
      <c r="K11" s="4"/>
      <c r="L11" s="798"/>
      <c r="M11" s="1274"/>
      <c r="N11" s="2161"/>
      <c r="O11" s="2167"/>
      <c r="P11" s="1401"/>
      <c r="Q11" s="1357"/>
      <c r="R11" s="1622"/>
      <c r="S11" s="1622"/>
      <c r="T11" s="174"/>
    </row>
    <row r="12" spans="1:20" s="209" customFormat="1" ht="13.5" thickBot="1">
      <c r="A12" s="802">
        <v>290</v>
      </c>
      <c r="B12" s="556"/>
      <c r="C12" s="803" t="s">
        <v>736</v>
      </c>
      <c r="D12" s="366">
        <f>SUM(D9:D11)</f>
        <v>35564</v>
      </c>
      <c r="E12" s="1432"/>
      <c r="F12" s="2208"/>
      <c r="G12" s="2146"/>
      <c r="H12" s="2174"/>
      <c r="I12" s="2174"/>
      <c r="J12" s="2146"/>
      <c r="K12" s="4"/>
      <c r="L12" s="802">
        <v>290</v>
      </c>
      <c r="M12" s="1279">
        <v>34775</v>
      </c>
      <c r="N12" s="2162">
        <f>IF(ISERROR((D12-M12)/M12),0,((D12-M12)/M12))</f>
        <v>2.2688713156002877E-2</v>
      </c>
      <c r="O12" s="2167" t="str">
        <f>IF(AND(ABS(N12)&gt;20%,ABS(D12-M12)&gt;20000),"Kommentera förändringen","")</f>
        <v/>
      </c>
      <c r="P12" s="1401"/>
      <c r="Q12" s="1357"/>
      <c r="R12" s="1357"/>
      <c r="S12" s="1357"/>
      <c r="T12" s="174"/>
    </row>
    <row r="13" spans="1:20" s="209" customFormat="1">
      <c r="A13" s="561">
        <v>400</v>
      </c>
      <c r="B13" s="553">
        <v>341</v>
      </c>
      <c r="C13" s="804" t="s">
        <v>737</v>
      </c>
      <c r="D13" s="181">
        <v>13691</v>
      </c>
      <c r="E13" s="1432"/>
      <c r="F13" s="2146"/>
      <c r="G13" s="2146"/>
      <c r="H13" s="2174"/>
      <c r="I13" s="2174"/>
      <c r="J13" s="2146"/>
      <c r="K13" s="4"/>
      <c r="L13" s="561">
        <v>400</v>
      </c>
      <c r="M13" s="1274">
        <v>13157</v>
      </c>
      <c r="N13" s="2161">
        <f>IF(ISERROR((D13-M13)/M13),0,((D13-M13)/M13))</f>
        <v>4.0586759899673176E-2</v>
      </c>
      <c r="O13" s="2167" t="str">
        <f>IF(AND(ABS(N13)&gt;20%,ABS(D13-M13)&gt;20000),"Kommentera förändringen","")</f>
        <v/>
      </c>
      <c r="P13" s="1401"/>
      <c r="Q13" s="1403"/>
      <c r="R13" s="1403"/>
      <c r="S13" s="1403"/>
      <c r="T13" s="174"/>
    </row>
    <row r="14" spans="1:20" s="209" customFormat="1">
      <c r="A14" s="558">
        <v>420</v>
      </c>
      <c r="B14" s="681">
        <v>342</v>
      </c>
      <c r="C14" s="804" t="s">
        <v>738</v>
      </c>
      <c r="D14" s="181">
        <v>4946</v>
      </c>
      <c r="E14" s="1432"/>
      <c r="F14" s="2146"/>
      <c r="G14" s="2146"/>
      <c r="H14" s="2174"/>
      <c r="I14" s="2174"/>
      <c r="J14" s="2146"/>
      <c r="K14" s="4"/>
      <c r="L14" s="564"/>
      <c r="M14" s="1102"/>
      <c r="N14" s="2163"/>
      <c r="O14" s="2167"/>
      <c r="P14" s="1401"/>
      <c r="Q14" s="1403"/>
      <c r="R14" s="1403"/>
      <c r="S14" s="1403"/>
      <c r="T14" s="174"/>
    </row>
    <row r="15" spans="1:20" s="209" customFormat="1">
      <c r="A15" s="558">
        <v>480</v>
      </c>
      <c r="B15" s="681" t="s">
        <v>739</v>
      </c>
      <c r="C15" s="804" t="s">
        <v>818</v>
      </c>
      <c r="D15" s="181">
        <v>1471</v>
      </c>
      <c r="E15" s="1432"/>
      <c r="F15" s="2148"/>
      <c r="G15" s="2203"/>
      <c r="H15" s="2209"/>
      <c r="I15" s="2209"/>
      <c r="J15" s="2146"/>
      <c r="K15" s="4"/>
      <c r="L15" s="821"/>
      <c r="M15" s="1093"/>
      <c r="N15" s="2160"/>
      <c r="O15" s="2167"/>
      <c r="P15" s="1401"/>
      <c r="Q15" s="1403"/>
      <c r="R15" s="1403"/>
      <c r="S15" s="1403"/>
      <c r="T15" s="174"/>
    </row>
    <row r="16" spans="1:20" s="209" customFormat="1" ht="13.5" thickBot="1">
      <c r="A16" s="571">
        <v>490</v>
      </c>
      <c r="B16" s="797"/>
      <c r="C16" s="805" t="s">
        <v>740</v>
      </c>
      <c r="D16" s="366">
        <f>SUM(D13:D15)</f>
        <v>20108</v>
      </c>
      <c r="E16" s="1432"/>
      <c r="F16" s="1432"/>
      <c r="G16" s="1432"/>
      <c r="H16" s="2210"/>
      <c r="I16" s="2209"/>
      <c r="J16" s="2146"/>
      <c r="K16" s="4"/>
      <c r="L16" s="555">
        <v>490</v>
      </c>
      <c r="M16" s="1321">
        <v>19430</v>
      </c>
      <c r="N16" s="2164">
        <f>IF(ISERROR((D16-M16)/M16),0,((D16-M16)/M16))</f>
        <v>3.4894493051981473E-2</v>
      </c>
      <c r="O16" s="2167" t="str">
        <f>IF(AND(ABS(N16)&gt;20%,ABS(D16-M16)&gt;20000),"Kommentera förändringen","")</f>
        <v/>
      </c>
      <c r="P16" s="1401"/>
      <c r="Q16" s="1403"/>
      <c r="R16" s="1403"/>
      <c r="S16" s="1403"/>
      <c r="T16" s="174"/>
    </row>
    <row r="17" spans="1:22" s="209" customFormat="1">
      <c r="A17" s="798">
        <v>500</v>
      </c>
      <c r="B17" s="799">
        <v>351</v>
      </c>
      <c r="C17" s="804" t="s">
        <v>906</v>
      </c>
      <c r="D17" s="181">
        <v>49516</v>
      </c>
      <c r="E17" s="2211"/>
      <c r="F17" s="2199"/>
      <c r="G17" s="2199"/>
      <c r="H17" s="2200"/>
      <c r="I17" s="2212"/>
      <c r="J17" s="2148"/>
      <c r="K17" s="4"/>
      <c r="L17" s="1295"/>
      <c r="M17" s="1320"/>
      <c r="N17" s="2159"/>
      <c r="O17" s="2167"/>
      <c r="P17" s="1401"/>
      <c r="Q17" s="1357"/>
      <c r="R17" s="1357"/>
      <c r="S17" s="1357"/>
      <c r="T17" s="174"/>
    </row>
    <row r="18" spans="1:22" s="209" customFormat="1">
      <c r="A18" s="801">
        <v>510</v>
      </c>
      <c r="B18" s="549">
        <v>351</v>
      </c>
      <c r="C18" s="804" t="s">
        <v>907</v>
      </c>
      <c r="D18" s="181">
        <v>5154</v>
      </c>
      <c r="E18" s="1432"/>
      <c r="F18" s="2199"/>
      <c r="G18" s="2213"/>
      <c r="H18" s="2214"/>
      <c r="I18" s="2212"/>
      <c r="J18" s="2146"/>
      <c r="K18" s="4"/>
      <c r="L18" s="1296"/>
      <c r="M18" s="1093"/>
      <c r="N18" s="2160"/>
      <c r="O18" s="2167"/>
      <c r="P18" s="1401"/>
      <c r="Q18" s="1357"/>
      <c r="R18" s="1357"/>
      <c r="S18" s="1357"/>
      <c r="T18" s="174"/>
    </row>
    <row r="19" spans="1:22" s="209" customFormat="1">
      <c r="A19" s="801">
        <v>520</v>
      </c>
      <c r="B19" s="549">
        <v>351</v>
      </c>
      <c r="C19" s="800" t="s">
        <v>819</v>
      </c>
      <c r="D19" s="181">
        <v>1303</v>
      </c>
      <c r="E19" s="1432"/>
      <c r="F19" s="80"/>
      <c r="G19" s="1414"/>
      <c r="H19" s="95"/>
      <c r="I19" s="1773"/>
      <c r="J19" s="4"/>
      <c r="K19" s="4"/>
      <c r="L19" s="1296"/>
      <c r="M19" s="1093"/>
      <c r="N19" s="2160"/>
      <c r="O19" s="2167"/>
      <c r="P19" s="1401"/>
      <c r="Q19" s="1357"/>
      <c r="R19" s="1357"/>
      <c r="S19" s="1357"/>
      <c r="T19" s="174"/>
    </row>
    <row r="20" spans="1:22" s="209" customFormat="1">
      <c r="A20" s="801">
        <v>525</v>
      </c>
      <c r="B20" s="549">
        <v>354</v>
      </c>
      <c r="C20" s="804" t="s">
        <v>825</v>
      </c>
      <c r="D20" s="2150">
        <v>6399</v>
      </c>
      <c r="E20" s="1432" t="str">
        <f>IF(D20&gt;0,"","Belopp saknas")</f>
        <v/>
      </c>
      <c r="F20" s="1403"/>
      <c r="G20" s="1412"/>
      <c r="H20" s="1413"/>
      <c r="I20" s="151"/>
      <c r="J20" s="4"/>
      <c r="K20" s="4"/>
      <c r="L20" s="798"/>
      <c r="M20" s="1274"/>
      <c r="N20" s="2161"/>
      <c r="O20" s="2167"/>
      <c r="P20" s="1401"/>
      <c r="Q20" s="1357"/>
      <c r="R20" s="1357"/>
      <c r="S20" s="1357"/>
      <c r="T20" s="174"/>
      <c r="V20" s="174"/>
    </row>
    <row r="21" spans="1:22" s="209" customFormat="1">
      <c r="A21" s="801">
        <v>527</v>
      </c>
      <c r="B21" s="549">
        <v>356</v>
      </c>
      <c r="C21" s="804" t="s">
        <v>1139</v>
      </c>
      <c r="D21" s="230">
        <v>6663</v>
      </c>
      <c r="E21" s="1432" t="str">
        <f>IF(D21&lt;&gt;0,"","Belopp saknas")</f>
        <v/>
      </c>
      <c r="F21" s="4"/>
      <c r="G21" s="69"/>
      <c r="H21" s="69"/>
      <c r="I21" s="69"/>
      <c r="J21" s="4"/>
      <c r="K21" s="4"/>
      <c r="L21" s="801">
        <v>527</v>
      </c>
      <c r="M21" s="1267">
        <v>6390</v>
      </c>
      <c r="N21" s="2165">
        <f>IF(ISERROR((D21-M21)/M21),0,((D21-M21)/M21))</f>
        <v>4.2723004694835684E-2</v>
      </c>
      <c r="O21" s="2167" t="str">
        <f>IF(AND(ABS(N21)&gt;20%,ABS(D21-M21)&gt;20000),"Kommentera förändringen","")</f>
        <v/>
      </c>
      <c r="P21" s="1401"/>
      <c r="Q21" s="1357"/>
      <c r="R21" s="1357"/>
      <c r="S21" s="1357"/>
      <c r="T21" s="174"/>
      <c r="V21" s="174"/>
    </row>
    <row r="22" spans="1:22" s="209" customFormat="1">
      <c r="A22" s="801">
        <v>550</v>
      </c>
      <c r="B22" s="549">
        <v>358</v>
      </c>
      <c r="C22" s="800" t="s">
        <v>197</v>
      </c>
      <c r="D22" s="230">
        <v>637</v>
      </c>
      <c r="E22" s="1774"/>
      <c r="F22" s="4"/>
      <c r="G22" s="4"/>
      <c r="H22" s="69"/>
      <c r="I22" s="69"/>
      <c r="J22" s="4"/>
      <c r="K22" s="4"/>
      <c r="L22" s="1297"/>
      <c r="M22" s="1102"/>
      <c r="N22" s="2163"/>
      <c r="O22" s="2167"/>
      <c r="P22" s="1401"/>
      <c r="Q22" s="1357"/>
      <c r="R22" s="1357"/>
      <c r="S22" s="1357"/>
      <c r="T22" s="174"/>
      <c r="V22" s="174"/>
    </row>
    <row r="23" spans="1:22" s="209" customFormat="1" ht="13.5" customHeight="1">
      <c r="A23" s="801">
        <v>560</v>
      </c>
      <c r="B23" s="549">
        <v>357</v>
      </c>
      <c r="C23" s="1353" t="s">
        <v>1160</v>
      </c>
      <c r="D23" s="230">
        <v>303</v>
      </c>
      <c r="E23" s="1774"/>
      <c r="F23" s="1414"/>
      <c r="G23" s="1412"/>
      <c r="H23" s="1413"/>
      <c r="I23" s="151"/>
      <c r="J23" s="1338"/>
      <c r="K23" s="4"/>
      <c r="L23" s="798"/>
      <c r="M23" s="1274"/>
      <c r="N23" s="2161"/>
      <c r="O23" s="2167"/>
      <c r="P23" s="1401"/>
      <c r="Q23" s="1357"/>
      <c r="R23" s="1623"/>
      <c r="S23" s="1624"/>
      <c r="T23" s="1625"/>
      <c r="V23" s="1403"/>
    </row>
    <row r="24" spans="1:22" s="209" customFormat="1">
      <c r="A24" s="1297">
        <v>570</v>
      </c>
      <c r="B24" s="549">
        <v>359</v>
      </c>
      <c r="C24" s="2069" t="s">
        <v>1286</v>
      </c>
      <c r="D24" s="107">
        <v>1411</v>
      </c>
      <c r="E24" s="1774" t="str">
        <f>IF(D24=0,"",IF(OR(D24&gt;10000,D24/D25&gt;2%),"Kommentera övriga belopp. OBS! Bidrag från statliga myndigheter, t.ex. Migrationsverket eller Skolverket redovisas på rad 500!",""))</f>
        <v/>
      </c>
      <c r="F24" s="80" t="s">
        <v>1310</v>
      </c>
      <c r="G24" s="1412"/>
      <c r="H24" s="1413"/>
      <c r="I24" s="151"/>
      <c r="J24" s="1338"/>
      <c r="K24" s="4"/>
      <c r="L24" s="1296"/>
      <c r="M24" s="1093"/>
      <c r="N24" s="2160"/>
      <c r="O24" s="2167"/>
      <c r="P24" s="1401"/>
      <c r="Q24" s="1357"/>
      <c r="R24" s="1623"/>
      <c r="S24" s="1624"/>
      <c r="T24" s="1625"/>
      <c r="V24" s="1403"/>
    </row>
    <row r="25" spans="1:22" s="209" customFormat="1" ht="15.75" customHeight="1" thickBot="1">
      <c r="A25" s="802">
        <v>590</v>
      </c>
      <c r="B25" s="556"/>
      <c r="C25" s="803" t="s">
        <v>741</v>
      </c>
      <c r="D25" s="366">
        <f>SUM(D17:D24)</f>
        <v>71386</v>
      </c>
      <c r="E25" s="1774"/>
      <c r="F25" s="4"/>
      <c r="G25" s="45"/>
      <c r="H25" s="69"/>
      <c r="I25" s="69"/>
      <c r="J25" s="4"/>
      <c r="K25" s="4"/>
      <c r="L25" s="802">
        <v>590</v>
      </c>
      <c r="M25" s="1279">
        <v>74531</v>
      </c>
      <c r="N25" s="2162">
        <f>IF(ISERROR((D25-M25)/M25),0,((D25-M25)/M25))</f>
        <v>-4.2197206531510378E-2</v>
      </c>
      <c r="O25" s="2167" t="str">
        <f>IF(AND(ABS(N25)&gt;30%,ABS(D25-M25)&gt;40000),"Kommentera förändringen","")</f>
        <v/>
      </c>
      <c r="P25" s="1401"/>
      <c r="Q25" s="1357"/>
      <c r="R25" s="1357"/>
      <c r="S25" s="1357"/>
      <c r="T25" s="174"/>
      <c r="V25" s="1403"/>
    </row>
    <row r="26" spans="1:22" s="209" customFormat="1">
      <c r="A26" s="561">
        <v>310</v>
      </c>
      <c r="B26" s="553" t="s">
        <v>889</v>
      </c>
      <c r="C26" s="800" t="s">
        <v>890</v>
      </c>
      <c r="D26" s="230">
        <v>12298</v>
      </c>
      <c r="E26" s="1774"/>
      <c r="F26" s="1496" t="s">
        <v>900</v>
      </c>
      <c r="G26" s="1497" t="s">
        <v>895</v>
      </c>
      <c r="H26" s="783" t="s">
        <v>821</v>
      </c>
      <c r="I26" s="304">
        <v>11990</v>
      </c>
      <c r="J26" s="1432" t="str">
        <f>IF(SUM(I26)&gt;D26,"Däravrad 317 &gt; rad 310","")</f>
        <v/>
      </c>
      <c r="K26" s="4"/>
      <c r="L26" s="1298"/>
      <c r="M26" s="1320"/>
      <c r="N26" s="2159"/>
      <c r="O26" s="2167"/>
      <c r="P26" s="1401"/>
      <c r="Q26" s="1403"/>
      <c r="R26" s="1403"/>
      <c r="S26" s="1403"/>
      <c r="T26" s="1412"/>
      <c r="V26" s="1403"/>
    </row>
    <row r="27" spans="1:22" s="209" customFormat="1">
      <c r="A27" s="558">
        <v>320</v>
      </c>
      <c r="B27" s="681" t="s">
        <v>893</v>
      </c>
      <c r="C27" s="804" t="s">
        <v>891</v>
      </c>
      <c r="D27" s="230">
        <v>440</v>
      </c>
      <c r="E27" s="1774"/>
      <c r="F27" s="1498" t="s">
        <v>901</v>
      </c>
      <c r="G27" s="1499">
        <v>361</v>
      </c>
      <c r="H27" s="838" t="s">
        <v>820</v>
      </c>
      <c r="I27" s="1381">
        <v>398</v>
      </c>
      <c r="J27" s="1432" t="str">
        <f>IF(SUM(I27)&gt;D27,"Däravrad 327 &gt; rad 320","")</f>
        <v/>
      </c>
      <c r="K27" s="4"/>
      <c r="L27" s="821"/>
      <c r="M27" s="1093"/>
      <c r="N27" s="2160"/>
      <c r="O27" s="2167"/>
      <c r="P27" s="1401"/>
      <c r="Q27" s="1403"/>
      <c r="R27" s="1403"/>
      <c r="S27" s="1403"/>
      <c r="T27" s="1412"/>
      <c r="V27" s="174"/>
    </row>
    <row r="28" spans="1:22" s="209" customFormat="1" ht="16.5" customHeight="1">
      <c r="A28" s="558">
        <v>380</v>
      </c>
      <c r="B28" s="1495" t="s">
        <v>868</v>
      </c>
      <c r="C28" s="804" t="s">
        <v>892</v>
      </c>
      <c r="D28" s="230">
        <v>5667</v>
      </c>
      <c r="E28" s="1774"/>
      <c r="F28" s="2199"/>
      <c r="G28" s="2199"/>
      <c r="H28" s="2214"/>
      <c r="I28" s="2212"/>
      <c r="J28" s="2146"/>
      <c r="K28" s="4"/>
      <c r="L28" s="561"/>
      <c r="M28" s="1274"/>
      <c r="N28" s="2161"/>
      <c r="O28" s="2167"/>
      <c r="P28" s="1401"/>
      <c r="Q28" s="1403"/>
      <c r="R28" s="1403"/>
      <c r="S28" s="1403"/>
      <c r="T28" s="174"/>
    </row>
    <row r="29" spans="1:22" s="209" customFormat="1" ht="13.5" thickBot="1">
      <c r="A29" s="564">
        <v>390</v>
      </c>
      <c r="B29" s="550"/>
      <c r="C29" s="805" t="s">
        <v>827</v>
      </c>
      <c r="D29" s="367">
        <f>SUM(D26:D28)</f>
        <v>18405</v>
      </c>
      <c r="E29" s="1774"/>
      <c r="F29" s="2146"/>
      <c r="G29" s="2146"/>
      <c r="H29" s="2174"/>
      <c r="I29" s="2174"/>
      <c r="J29" s="2146"/>
      <c r="K29" s="4"/>
      <c r="L29" s="571">
        <v>390</v>
      </c>
      <c r="M29" s="1279">
        <v>17787</v>
      </c>
      <c r="N29" s="2162">
        <f>IF(ISERROR((D29-M29)/M29),0,((D29-M29)/M29))</f>
        <v>3.4744476302917861E-2</v>
      </c>
      <c r="O29" s="2167" t="str">
        <f>IF(AND(ABS(N29)&gt;30%,ABS(D29-M29)&gt;20000),"Kommentera förändringen","")</f>
        <v/>
      </c>
      <c r="P29" s="1401"/>
      <c r="Q29" s="1403"/>
      <c r="R29" s="1403"/>
      <c r="S29" s="1403"/>
      <c r="T29" s="174"/>
    </row>
    <row r="30" spans="1:22" s="209" customFormat="1" ht="13.5" customHeight="1" thickBot="1">
      <c r="A30" s="545">
        <v>891</v>
      </c>
      <c r="B30" s="546">
        <v>37</v>
      </c>
      <c r="C30" s="1422" t="s">
        <v>464</v>
      </c>
      <c r="D30" s="231">
        <v>10016</v>
      </c>
      <c r="E30" s="1774" t="str">
        <f>IF(ABS(D30-Drift!W117)&gt;50,ROUND(D30-Drift!W117,0)&amp; " mnkr differens mot beloppet på rad 982, kol. W i Driften - rätta eller kommentera","")</f>
        <v/>
      </c>
      <c r="F30" s="2146"/>
      <c r="G30" s="2146"/>
      <c r="H30" s="2174"/>
      <c r="I30" s="2174"/>
      <c r="J30" s="2146"/>
      <c r="K30" s="4"/>
      <c r="L30" s="1298"/>
      <c r="M30" s="1320"/>
      <c r="N30" s="2159"/>
      <c r="O30" s="2167"/>
      <c r="P30" s="1401"/>
      <c r="Q30" s="1623"/>
      <c r="R30" s="1626"/>
      <c r="S30" s="1626"/>
      <c r="T30" s="174"/>
    </row>
    <row r="31" spans="1:22" s="209" customFormat="1" ht="19.5" customHeight="1">
      <c r="A31" s="547">
        <v>892</v>
      </c>
      <c r="B31" s="548" t="s">
        <v>378</v>
      </c>
      <c r="C31" s="804" t="s">
        <v>1036</v>
      </c>
      <c r="D31" s="231">
        <v>4838</v>
      </c>
      <c r="E31" s="1774" t="str">
        <f>IF(ABS(D31-Drift!W118)&gt;50,ROUND(D31-Drift!W118,0)&amp; " mnkr differens mot beloppet på rad 985, kol. W i Driften - rätta eller kommentera","")</f>
        <v/>
      </c>
      <c r="F31" s="2148"/>
      <c r="G31" s="2148"/>
      <c r="H31" s="2174"/>
      <c r="I31" s="2174"/>
      <c r="J31" s="2146"/>
      <c r="K31" s="4"/>
      <c r="L31" s="821"/>
      <c r="M31" s="1093"/>
      <c r="N31" s="2160"/>
      <c r="O31" s="2167"/>
      <c r="P31" s="1401"/>
      <c r="Q31" s="1623"/>
      <c r="R31" s="1627"/>
      <c r="S31" s="1627"/>
      <c r="T31" s="174"/>
    </row>
    <row r="32" spans="1:22" s="209" customFormat="1" ht="13.5" thickBot="1">
      <c r="A32" s="544">
        <v>894</v>
      </c>
      <c r="B32" s="556"/>
      <c r="C32" s="551" t="s">
        <v>467</v>
      </c>
      <c r="D32" s="312">
        <v>244</v>
      </c>
      <c r="E32" s="1774" t="str">
        <f>IF(D32&lt;500,"","Vad avser övr.periodiseringar?")</f>
        <v/>
      </c>
      <c r="F32" s="2146"/>
      <c r="G32" s="2146"/>
      <c r="H32" s="2174"/>
      <c r="I32" s="2174"/>
      <c r="J32" s="2146"/>
      <c r="K32" s="4"/>
      <c r="L32" s="821"/>
      <c r="M32" s="1093"/>
      <c r="N32" s="2160"/>
      <c r="O32" s="2167"/>
      <c r="P32" s="1401"/>
      <c r="Q32" s="1623"/>
      <c r="R32" s="1403"/>
      <c r="S32" s="1403"/>
      <c r="T32" s="174"/>
    </row>
    <row r="33" spans="1:22" s="209" customFormat="1" ht="13.5" thickBot="1">
      <c r="A33" s="552">
        <v>886</v>
      </c>
      <c r="B33" s="553"/>
      <c r="C33" s="554" t="s">
        <v>677</v>
      </c>
      <c r="D33" s="368">
        <f>SUM(D8+D12+D16+D25+D29+D30+D31+D32)</f>
        <v>169556</v>
      </c>
      <c r="E33" s="1774"/>
      <c r="F33" s="2187"/>
      <c r="G33" s="2215"/>
      <c r="H33" s="2215"/>
      <c r="I33" s="2215"/>
      <c r="J33" s="2215"/>
      <c r="K33" s="4"/>
      <c r="L33" s="555"/>
      <c r="M33" s="1321"/>
      <c r="N33" s="2164"/>
      <c r="O33" s="2167"/>
      <c r="P33" s="1401"/>
      <c r="Q33" s="1403"/>
      <c r="R33" s="1403"/>
      <c r="S33" s="1403"/>
      <c r="T33" s="174"/>
    </row>
    <row r="34" spans="1:22" s="209" customFormat="1" ht="13.5" thickBot="1">
      <c r="A34" s="555">
        <v>896</v>
      </c>
      <c r="B34" s="556"/>
      <c r="C34" s="557" t="s">
        <v>95</v>
      </c>
      <c r="D34" s="313">
        <f>RR!C7</f>
        <v>169556</v>
      </c>
      <c r="E34" s="2148"/>
      <c r="F34" s="2633"/>
      <c r="G34" s="2666"/>
      <c r="H34" s="2666"/>
      <c r="I34" s="2666"/>
      <c r="J34" s="2666"/>
      <c r="K34" s="4"/>
      <c r="M34" s="18"/>
      <c r="N34" s="174"/>
      <c r="Q34" s="1403"/>
      <c r="R34" s="1357"/>
      <c r="S34" s="1357"/>
      <c r="T34" s="174"/>
    </row>
    <row r="35" spans="1:22" s="209" customFormat="1" ht="46.5" customHeight="1">
      <c r="A35" s="4"/>
      <c r="B35" s="4"/>
      <c r="C35" s="4"/>
      <c r="D35" s="2149" t="str">
        <f>IF(ABS(D33-D34)&lt;50,"",IF(OR(D33=0,D34=0),"",IF((SUM(D33)/(D34))&lt;&gt;1,(ROUND(D33-D34,0))&amp;" mnkr diff. mellan verks. intäkter i RR och verks.intäkter här - måste rättas!","")))</f>
        <v/>
      </c>
      <c r="E35" s="1774"/>
      <c r="F35" s="2666"/>
      <c r="G35" s="2666"/>
      <c r="H35" s="2666"/>
      <c r="I35" s="2666"/>
      <c r="J35" s="2666"/>
      <c r="K35" s="4"/>
      <c r="Q35" s="174"/>
      <c r="R35" s="174"/>
      <c r="S35" s="174"/>
      <c r="T35" s="174"/>
    </row>
    <row r="36" spans="1:22" s="209" customFormat="1" ht="16.5" thickBot="1">
      <c r="A36" s="79" t="s">
        <v>373</v>
      </c>
      <c r="B36" s="4"/>
      <c r="C36" s="4"/>
      <c r="D36" s="4"/>
      <c r="E36" s="1774"/>
      <c r="F36" s="2208"/>
      <c r="G36" s="2203"/>
      <c r="H36" s="2209"/>
      <c r="I36" s="2174"/>
      <c r="J36" s="2146"/>
      <c r="K36" s="4"/>
      <c r="L36" s="2170"/>
      <c r="Q36" s="174"/>
      <c r="R36" s="174"/>
      <c r="S36" s="174"/>
      <c r="T36" s="174"/>
    </row>
    <row r="37" spans="1:22" s="208" customFormat="1">
      <c r="A37" s="2261" t="s">
        <v>656</v>
      </c>
      <c r="B37" s="808" t="s">
        <v>814</v>
      </c>
      <c r="C37" s="816"/>
      <c r="D37" s="806" t="s">
        <v>1313</v>
      </c>
      <c r="E37" s="1774"/>
      <c r="F37" s="80" t="s">
        <v>1311</v>
      </c>
      <c r="G37" s="215"/>
      <c r="H37" s="216"/>
      <c r="I37" s="226"/>
      <c r="J37" s="185"/>
      <c r="K37" s="185"/>
      <c r="L37" s="2265" t="s">
        <v>656</v>
      </c>
      <c r="M37" s="824" t="s">
        <v>478</v>
      </c>
      <c r="N37" s="825" t="s">
        <v>805</v>
      </c>
      <c r="O37" s="2166" t="s">
        <v>42</v>
      </c>
      <c r="P37" s="1400"/>
      <c r="Q37" s="95"/>
      <c r="R37" s="1404"/>
      <c r="S37" s="95"/>
      <c r="T37" s="1337"/>
    </row>
    <row r="38" spans="1:22" s="208" customFormat="1" ht="18.75" customHeight="1">
      <c r="A38" s="2268" t="s">
        <v>659</v>
      </c>
      <c r="B38" s="2664"/>
      <c r="C38" s="818"/>
      <c r="D38" s="807">
        <f>År</f>
        <v>2017</v>
      </c>
      <c r="E38" s="1774"/>
      <c r="F38" s="227"/>
      <c r="G38" s="74"/>
      <c r="H38" s="134"/>
      <c r="I38" s="225"/>
      <c r="J38" s="2155"/>
      <c r="K38" s="185"/>
      <c r="L38" s="2266" t="s">
        <v>659</v>
      </c>
      <c r="M38" s="826">
        <f>År-1</f>
        <v>2016</v>
      </c>
      <c r="N38" s="827" t="str">
        <f>År-1&amp;-År</f>
        <v>2016-2017</v>
      </c>
      <c r="O38" s="2166"/>
      <c r="P38" s="1400"/>
      <c r="Q38" s="271"/>
      <c r="R38" s="1413"/>
      <c r="S38" s="1368"/>
      <c r="T38" s="1621"/>
    </row>
    <row r="39" spans="1:22" s="209" customFormat="1" ht="18" customHeight="1" thickBot="1">
      <c r="A39" s="819"/>
      <c r="B39" s="2665"/>
      <c r="C39" s="602"/>
      <c r="D39" s="820"/>
      <c r="E39" s="1774"/>
      <c r="F39" s="723">
        <v>602</v>
      </c>
      <c r="G39" s="724">
        <v>4513</v>
      </c>
      <c r="H39" s="725" t="s">
        <v>156</v>
      </c>
      <c r="I39" s="304">
        <v>124</v>
      </c>
      <c r="J39" s="1774" t="str">
        <f>IF(I39&lt;0,"inga minusbelopp","")</f>
        <v/>
      </c>
      <c r="K39" s="4"/>
      <c r="L39" s="828"/>
      <c r="M39" s="829"/>
      <c r="N39" s="2267" t="s">
        <v>806</v>
      </c>
      <c r="O39" s="2166"/>
      <c r="P39" s="1400"/>
      <c r="Q39" s="148"/>
      <c r="R39" s="1628"/>
      <c r="S39" s="1629"/>
      <c r="T39" s="1403"/>
    </row>
    <row r="40" spans="1:22" s="209" customFormat="1" ht="13.5" thickBot="1">
      <c r="A40" s="821">
        <v>600</v>
      </c>
      <c r="B40" s="822">
        <v>451</v>
      </c>
      <c r="C40" s="823" t="s">
        <v>742</v>
      </c>
      <c r="D40" s="199">
        <v>11950</v>
      </c>
      <c r="E40" s="1774"/>
      <c r="F40" s="2058">
        <v>603</v>
      </c>
      <c r="G40" s="2059">
        <v>4514</v>
      </c>
      <c r="H40" s="2060" t="s">
        <v>157</v>
      </c>
      <c r="I40" s="2057">
        <v>9</v>
      </c>
      <c r="J40" s="2143" t="str">
        <f>IF(I40&lt;0,"inga minusbelopp",IF(SUM(I39:I40)&gt;D40,"Däravraderna 602+ 603 &gt; rad 600",IF(I40&gt;Drift!H48,"Ska i Driften redovisas på rad 412, kol. Bidrag","")))</f>
        <v/>
      </c>
      <c r="K40" s="145"/>
      <c r="L40" s="1298"/>
      <c r="M40" s="1294"/>
      <c r="N40" s="2159"/>
      <c r="O40" s="2168"/>
      <c r="P40" s="1398"/>
      <c r="Q40" s="1403"/>
      <c r="R40" s="1412"/>
      <c r="S40" s="1412"/>
      <c r="T40" s="1403"/>
    </row>
    <row r="41" spans="1:22" s="209" customFormat="1" ht="18" customHeight="1">
      <c r="A41" s="569">
        <v>610</v>
      </c>
      <c r="B41" s="570">
        <v>452</v>
      </c>
      <c r="C41" s="563" t="s">
        <v>743</v>
      </c>
      <c r="D41" s="105">
        <v>1047</v>
      </c>
      <c r="E41" s="1774"/>
      <c r="F41" s="830">
        <v>630</v>
      </c>
      <c r="G41" s="831">
        <v>4538</v>
      </c>
      <c r="H41" s="1411" t="s">
        <v>888</v>
      </c>
      <c r="I41" s="2157">
        <v>4649</v>
      </c>
      <c r="J41" s="2156" t="str">
        <f>IF(I41&gt;Drift!H75,"Kontrollera mot bidrag i avd. Drift",IF('Verks int o kostn'!I41="","Belopp saknas",""))</f>
        <v/>
      </c>
      <c r="K41" s="308"/>
      <c r="L41" s="821"/>
      <c r="M41" s="793"/>
      <c r="N41" s="2160"/>
      <c r="O41" s="2168"/>
      <c r="P41" s="1398"/>
      <c r="Q41" s="1403"/>
      <c r="R41" s="1412"/>
      <c r="S41" s="1412"/>
      <c r="T41" s="1403"/>
    </row>
    <row r="42" spans="1:22" s="209" customFormat="1" ht="20.25" customHeight="1" thickBot="1">
      <c r="A42" s="569">
        <v>620</v>
      </c>
      <c r="B42" s="567">
        <v>453</v>
      </c>
      <c r="C42" s="568" t="s">
        <v>828</v>
      </c>
      <c r="D42" s="182">
        <v>14492</v>
      </c>
      <c r="E42" s="1774"/>
      <c r="F42" s="586">
        <v>631</v>
      </c>
      <c r="G42" s="1904" t="s">
        <v>1201</v>
      </c>
      <c r="H42" s="1905" t="s">
        <v>1325</v>
      </c>
      <c r="I42" s="238">
        <v>2318</v>
      </c>
      <c r="J42" s="2143" t="str">
        <f>IF(AND(D42=0,I41=0,I42=0),"",IF(AND(I41&gt;10,I41=I42),"Ej ersättn.pers.assistent på rad 631",IF(SUM(I41:I42)&gt;D42,"Däravraderna 630+631 &gt; rad 620","")))</f>
        <v/>
      </c>
      <c r="K42" s="145"/>
      <c r="L42" s="561"/>
      <c r="M42" s="814"/>
      <c r="N42" s="2161"/>
      <c r="O42" s="2168"/>
      <c r="P42" s="1398"/>
      <c r="Q42" s="1403"/>
      <c r="R42" s="1412"/>
      <c r="S42" s="1412"/>
      <c r="T42" s="1403"/>
    </row>
    <row r="43" spans="1:22" s="209" customFormat="1">
      <c r="A43" s="681">
        <v>650</v>
      </c>
      <c r="B43" s="567">
        <v>454</v>
      </c>
      <c r="C43" s="568" t="s">
        <v>1077</v>
      </c>
      <c r="D43" s="182">
        <v>819</v>
      </c>
      <c r="E43" s="1774" t="str">
        <f>IF(D43&lt;0,"inga minusbelopp","")</f>
        <v/>
      </c>
      <c r="F43" s="1505" t="s">
        <v>899</v>
      </c>
      <c r="G43" s="1506" t="s">
        <v>822</v>
      </c>
      <c r="H43" s="1411" t="s">
        <v>1078</v>
      </c>
      <c r="I43" s="1347">
        <v>661</v>
      </c>
      <c r="J43" s="2143" t="str">
        <f>IF(SUM(I43:I44)&gt;D43,"Däravraderna 651+652 &gt; rad 650","")</f>
        <v/>
      </c>
      <c r="K43" s="145"/>
      <c r="L43" s="821"/>
      <c r="M43" s="793"/>
      <c r="N43" s="2160"/>
      <c r="O43" s="2168"/>
      <c r="P43" s="1398"/>
      <c r="Q43" s="1403"/>
      <c r="R43" s="1412"/>
      <c r="S43" s="1412"/>
      <c r="T43" s="1403"/>
    </row>
    <row r="44" spans="1:22" s="209" customFormat="1" ht="13.5" thickBot="1">
      <c r="A44" s="555">
        <v>690</v>
      </c>
      <c r="B44" s="572"/>
      <c r="C44" s="542" t="s">
        <v>829</v>
      </c>
      <c r="D44" s="369">
        <f>SUM(D40,D41,D42,D43)</f>
        <v>28308</v>
      </c>
      <c r="E44" s="1774"/>
      <c r="F44" s="1507">
        <v>652</v>
      </c>
      <c r="G44" s="1508">
        <v>4542</v>
      </c>
      <c r="H44" s="1421" t="s">
        <v>1079</v>
      </c>
      <c r="I44" s="1348">
        <v>157</v>
      </c>
      <c r="J44" s="2143" t="str">
        <f>IF(SUM(I43:I44)&lt;(D43),"Däravraderna 651+652 mindre rad 650","")</f>
        <v>Däravraderna 651+652 mindre rad 650</v>
      </c>
      <c r="L44" s="571">
        <v>690</v>
      </c>
      <c r="M44" s="1279">
        <v>27406</v>
      </c>
      <c r="N44" s="2162">
        <f>IF(ISERROR((D44-M44)/M44),0,((D44-M44)/M44))</f>
        <v>3.2912500912209007E-2</v>
      </c>
      <c r="O44" s="2169" t="str">
        <f>IF(AND(ABS(N44)&gt;20%,ABS(D44-M44)&gt;20000),"Kontrollera förändringen","")</f>
        <v/>
      </c>
      <c r="P44" s="1402"/>
      <c r="Q44" s="1403"/>
      <c r="R44" s="1404"/>
      <c r="S44" s="1412"/>
      <c r="T44" s="1403"/>
      <c r="V44" s="1397"/>
    </row>
    <row r="45" spans="1:22" s="209" customFormat="1" ht="21.75" customHeight="1">
      <c r="A45" s="573">
        <v>100</v>
      </c>
      <c r="B45" s="1501" t="s">
        <v>885</v>
      </c>
      <c r="C45" s="575" t="s">
        <v>744</v>
      </c>
      <c r="D45" s="105">
        <v>267016</v>
      </c>
      <c r="E45" s="1774"/>
      <c r="F45" s="1349">
        <v>102</v>
      </c>
      <c r="G45" s="1350">
        <v>512</v>
      </c>
      <c r="H45" s="1351" t="s">
        <v>158</v>
      </c>
      <c r="I45" s="1352">
        <v>5105</v>
      </c>
      <c r="J45" s="2143" t="str">
        <f>IF(SUM(I45)&gt;D45,"Däravrad 102 &gt; rad 100",IF(I45&gt;0,"","Belopp saknas"))</f>
        <v/>
      </c>
      <c r="K45" s="145"/>
      <c r="L45" s="798">
        <v>100</v>
      </c>
      <c r="M45" s="1274">
        <v>253501</v>
      </c>
      <c r="N45" s="2161">
        <f>IF(ISERROR((D45-M45)/M45),0,((D45-M45)/M45))</f>
        <v>5.3313399158188723E-2</v>
      </c>
      <c r="O45" s="2168" t="str">
        <f>IF(AND(OR((N45)&lt;-2%,(N45)&gt;6%),ABS(D45-M45)&gt;50000),"Kontrollera förändringen","")</f>
        <v/>
      </c>
      <c r="P45" s="1398"/>
      <c r="Q45" s="1357"/>
      <c r="R45" s="1609"/>
      <c r="S45" s="1629"/>
      <c r="T45" s="1403"/>
    </row>
    <row r="46" spans="1:22" s="209" customFormat="1" ht="18.75">
      <c r="A46" s="558">
        <v>110</v>
      </c>
      <c r="B46" s="559" t="s">
        <v>563</v>
      </c>
      <c r="C46" s="560" t="str">
        <f>"Sociala avg. enl. lag o. avtal (inkl. lönesk för "&amp;År&amp;"), exkl särskild löneskatt på pensi.avsättning"</f>
        <v>Sociala avg. enl. lag o. avtal (inkl. lönesk för 2017), exkl särskild löneskatt på pensi.avsättning</v>
      </c>
      <c r="D46" s="319">
        <v>88608</v>
      </c>
      <c r="E46" s="1774" t="str">
        <f>IF(SUM(D46/(D45+D48+D51))&gt;0.5,(ROUND((D46/(D45+D48+D51))*100,1))&amp;" % = höga sociala avgifter-rätta eller kommentera",IF(SUM(D46/(D45+D48+D51))&lt;0.2,(ROUND((D46/(D45+D48+D51))*100,1))&amp;"% = låga sociala avgifter-rätta eller kommentera",""))</f>
        <v/>
      </c>
      <c r="F46" s="588">
        <v>111</v>
      </c>
      <c r="G46" s="1330" t="s">
        <v>813</v>
      </c>
      <c r="H46" s="589" t="s">
        <v>826</v>
      </c>
      <c r="I46" s="237">
        <v>5655</v>
      </c>
      <c r="J46" s="2143" t="str">
        <f>IF(I46&gt;D46,"Däravrad 111 &gt; rad 110",IF(I46&lt;1,"Belopp saknas",IF(SUM(I46/(D48+D49+D51))&lt;0.2,(ROUND((I46/(D48+D49+D51))*100,1))&amp;" % = låg löneskatt-rätta eller kommentera",IF(SUM(I46/(D48+D49+D51))&gt;0.26,(ROUND((I46/(D48+D49+D51))*100,1))&amp;"% = hög löneskatt-rätta eller kommentera",""))))</f>
        <v/>
      </c>
      <c r="K46" s="145"/>
      <c r="L46" s="564"/>
      <c r="M46" s="1102"/>
      <c r="N46" s="2163"/>
      <c r="O46" s="2168"/>
      <c r="P46" s="1398"/>
      <c r="Q46" s="1403"/>
      <c r="R46" s="1627"/>
      <c r="S46" s="1627"/>
      <c r="T46" s="1403"/>
    </row>
    <row r="47" spans="1:22" s="209" customFormat="1" ht="16.5" customHeight="1">
      <c r="A47" s="561">
        <v>115</v>
      </c>
      <c r="B47" s="562" t="s">
        <v>562</v>
      </c>
      <c r="C47" s="563" t="s">
        <v>139</v>
      </c>
      <c r="D47" s="105">
        <v>2247</v>
      </c>
      <c r="E47" s="1774" t="str">
        <f>IF(ABS(D47-Drift!P119)&gt;50,"beloppet avviker med" &amp;" "&amp;(ROUND(D47-Drift!P119,0))&amp;" tkr från beloppet på rad 980 i driften - rätta eller kommentera","")</f>
        <v/>
      </c>
      <c r="F47" s="2146"/>
      <c r="G47" s="2146"/>
      <c r="H47" s="2174"/>
      <c r="I47" s="2148"/>
      <c r="J47" s="2148"/>
      <c r="L47" s="561">
        <v>115</v>
      </c>
      <c r="M47" s="1274">
        <v>1879</v>
      </c>
      <c r="N47" s="2161">
        <f>IF(ISERROR((D47-M47)/M47),0,((D47-M47)/M47))</f>
        <v>0.19584885577434805</v>
      </c>
      <c r="O47" s="2168" t="str">
        <f>IF(AND(ABS(N47)&gt;20%,ABS(D47-M47)&gt;20000),"Kontrollera förändringen","")</f>
        <v/>
      </c>
      <c r="P47" s="1398"/>
      <c r="Q47" s="1403"/>
      <c r="R47" s="1403"/>
      <c r="S47" s="1403"/>
      <c r="T47" s="1403"/>
    </row>
    <row r="48" spans="1:22" s="209" customFormat="1">
      <c r="A48" s="564">
        <v>120</v>
      </c>
      <c r="B48" s="565">
        <v>573</v>
      </c>
      <c r="C48" s="563" t="s">
        <v>1062</v>
      </c>
      <c r="D48" s="233">
        <v>9666</v>
      </c>
      <c r="E48" s="1774"/>
      <c r="F48" s="723">
        <v>121</v>
      </c>
      <c r="G48" s="724" t="s">
        <v>580</v>
      </c>
      <c r="H48" s="783" t="s">
        <v>874</v>
      </c>
      <c r="I48" s="304">
        <v>807</v>
      </c>
      <c r="J48" s="1774" t="str">
        <f>IF(I49&lt;I48,"rad 121  borde vara mindre än rad 122","")</f>
        <v/>
      </c>
      <c r="L48" s="558">
        <v>120</v>
      </c>
      <c r="M48" s="1267">
        <v>9642</v>
      </c>
      <c r="N48" s="2165">
        <f>IF(ISERROR((D48-M48)/M48),0,((D48-M48)/M48))</f>
        <v>2.4891101431238332E-3</v>
      </c>
      <c r="O48" s="2167" t="str">
        <f>IF(AND(ABS(N48)&gt;20%,ABS(D48-M48)&gt;20000),"Kontrollera förändringen","")</f>
        <v/>
      </c>
      <c r="P48" s="1401"/>
      <c r="Q48" s="1403"/>
      <c r="R48" s="1412"/>
      <c r="S48" s="1412"/>
      <c r="T48" s="1403"/>
    </row>
    <row r="49" spans="1:20" s="209" customFormat="1">
      <c r="A49" s="564">
        <v>180</v>
      </c>
      <c r="B49" s="567">
        <v>571</v>
      </c>
      <c r="C49" s="563" t="s">
        <v>830</v>
      </c>
      <c r="D49" s="182">
        <v>1335</v>
      </c>
      <c r="E49" s="1774"/>
      <c r="F49" s="726">
        <v>122</v>
      </c>
      <c r="G49" s="682" t="s">
        <v>581</v>
      </c>
      <c r="H49" s="786" t="s">
        <v>875</v>
      </c>
      <c r="I49" s="305">
        <v>8454</v>
      </c>
      <c r="J49" s="2298"/>
      <c r="K49" s="1786"/>
      <c r="L49" s="564"/>
      <c r="M49" s="1102"/>
      <c r="N49" s="2163"/>
      <c r="O49" s="2168"/>
      <c r="P49" s="1398"/>
      <c r="Q49" s="1403"/>
      <c r="R49" s="1412"/>
      <c r="S49" s="1412"/>
      <c r="T49" s="1403"/>
    </row>
    <row r="50" spans="1:20" s="209" customFormat="1">
      <c r="A50" s="569">
        <v>186</v>
      </c>
      <c r="B50" s="570">
        <v>574</v>
      </c>
      <c r="C50" s="563" t="s">
        <v>6</v>
      </c>
      <c r="D50" s="105">
        <v>98</v>
      </c>
      <c r="E50" s="1774"/>
      <c r="F50" s="728">
        <v>123</v>
      </c>
      <c r="G50" s="834">
        <v>5733</v>
      </c>
      <c r="H50" s="587" t="s">
        <v>876</v>
      </c>
      <c r="I50" s="306">
        <v>344</v>
      </c>
      <c r="J50" s="2143" t="str">
        <f>IF(SUM(I48:I50)&gt;D48,"Däravraderna 121+122+123 &gt; rad 120","")</f>
        <v/>
      </c>
      <c r="K50" s="2596"/>
      <c r="L50" s="821"/>
      <c r="M50" s="1093"/>
      <c r="N50" s="2160"/>
      <c r="O50" s="2168"/>
      <c r="P50" s="1398"/>
      <c r="Q50" s="1403"/>
      <c r="R50" s="1412"/>
      <c r="S50" s="1412"/>
      <c r="T50" s="1403"/>
    </row>
    <row r="51" spans="1:20" s="209" customFormat="1">
      <c r="A51" s="569">
        <v>185</v>
      </c>
      <c r="B51" s="567">
        <v>575</v>
      </c>
      <c r="C51" s="568" t="str">
        <f>"Pensionskostnad, avgiftsbestämd ålderspension"</f>
        <v>Pensionskostnad, avgiftsbestämd ålderspension</v>
      </c>
      <c r="D51" s="182">
        <v>12677</v>
      </c>
      <c r="E51" s="2151" t="str">
        <f>IF(SUM(D51/D45)&gt;0.06,(ROUND((D51/D45)*100,1))&amp;" % = hög pens.kostn.",IF(SUM(D51/D45)&lt;0.03,(ROUND((D51/D45)*100,1))&amp;"% = låg pensionskostnad - rätta eller kommentera",""))</f>
        <v/>
      </c>
      <c r="F51" s="2146"/>
      <c r="G51" s="2146"/>
      <c r="H51" s="2174"/>
      <c r="I51" s="2148"/>
      <c r="J51" s="2148"/>
      <c r="K51" s="1786"/>
      <c r="L51" s="821"/>
      <c r="M51" s="1093"/>
      <c r="N51" s="2160"/>
      <c r="O51" s="2168"/>
      <c r="P51" s="1398"/>
      <c r="Q51" s="1403"/>
      <c r="R51" s="1412"/>
      <c r="S51" s="1412"/>
      <c r="T51" s="174"/>
    </row>
    <row r="52" spans="1:20" s="209" customFormat="1" ht="13.5" thickBot="1">
      <c r="A52" s="571">
        <v>189</v>
      </c>
      <c r="B52" s="572"/>
      <c r="C52" s="542" t="s">
        <v>745</v>
      </c>
      <c r="D52" s="369">
        <f>SUM(D45,D46,D47,D48,D49,D50,D51)</f>
        <v>381647</v>
      </c>
      <c r="E52" s="1774"/>
      <c r="F52" s="2146"/>
      <c r="G52" s="2146"/>
      <c r="H52" s="2174"/>
      <c r="I52" s="2174"/>
      <c r="J52" s="2148"/>
      <c r="K52" s="1947"/>
      <c r="L52" s="571"/>
      <c r="M52" s="1279"/>
      <c r="N52" s="2162"/>
      <c r="O52" s="2169"/>
      <c r="P52" s="1402"/>
      <c r="Q52" s="1403"/>
      <c r="R52" s="1404"/>
      <c r="S52" s="1404"/>
      <c r="T52" s="174"/>
    </row>
    <row r="53" spans="1:20" s="209" customFormat="1">
      <c r="A53" s="573">
        <v>300</v>
      </c>
      <c r="B53" s="570" t="s">
        <v>866</v>
      </c>
      <c r="C53" s="563" t="s">
        <v>865</v>
      </c>
      <c r="D53" s="105">
        <v>8833</v>
      </c>
      <c r="E53" s="1774"/>
      <c r="F53" s="720">
        <v>318</v>
      </c>
      <c r="G53" s="832">
        <v>628</v>
      </c>
      <c r="H53" s="833" t="s">
        <v>159</v>
      </c>
      <c r="I53" s="237">
        <v>463</v>
      </c>
      <c r="J53" s="2143" t="str">
        <f>IF(SUM(I53)&gt;D53,"Däravrad 318 &gt; rad 300",IF(I53="","Belopp saknas",""))</f>
        <v/>
      </c>
      <c r="K53" s="2597"/>
      <c r="L53" s="1298"/>
      <c r="M53" s="1320"/>
      <c r="N53" s="2159"/>
      <c r="O53" s="2168"/>
      <c r="P53" s="1398"/>
      <c r="Q53" s="1357"/>
      <c r="R53" s="1429"/>
      <c r="S53" s="1412"/>
      <c r="T53" s="1403"/>
    </row>
    <row r="54" spans="1:20" s="209" customFormat="1">
      <c r="A54" s="569">
        <v>325</v>
      </c>
      <c r="B54" s="570">
        <v>644</v>
      </c>
      <c r="C54" s="563" t="s">
        <v>746</v>
      </c>
      <c r="D54" s="105">
        <v>7458</v>
      </c>
      <c r="E54" s="1774"/>
      <c r="F54" s="2146"/>
      <c r="G54" s="2146"/>
      <c r="H54" s="2174"/>
      <c r="I54" s="2148"/>
      <c r="J54" s="2148"/>
      <c r="K54" s="4"/>
      <c r="L54" s="821"/>
      <c r="M54" s="1093"/>
      <c r="N54" s="2160"/>
      <c r="O54" s="2168"/>
      <c r="P54" s="1398"/>
      <c r="Q54" s="1403"/>
      <c r="R54" s="1412"/>
      <c r="S54" s="1412"/>
      <c r="T54" s="174"/>
    </row>
    <row r="55" spans="1:20" s="209" customFormat="1">
      <c r="A55" s="569">
        <v>330</v>
      </c>
      <c r="B55" s="570">
        <v>651</v>
      </c>
      <c r="C55" s="563" t="s">
        <v>747</v>
      </c>
      <c r="D55" s="105">
        <v>379</v>
      </c>
      <c r="E55" s="1774"/>
      <c r="F55" s="2146"/>
      <c r="G55" s="2146"/>
      <c r="H55" s="2174"/>
      <c r="I55" s="2174"/>
      <c r="J55" s="2148"/>
      <c r="L55" s="821"/>
      <c r="M55" s="1093"/>
      <c r="N55" s="2160"/>
      <c r="O55" s="2168"/>
      <c r="P55" s="1398"/>
      <c r="Q55" s="1403"/>
      <c r="R55" s="1412"/>
      <c r="S55" s="1412"/>
      <c r="T55" s="174"/>
    </row>
    <row r="56" spans="1:20" s="209" customFormat="1">
      <c r="A56" s="569">
        <v>340</v>
      </c>
      <c r="B56" s="574" t="s">
        <v>721</v>
      </c>
      <c r="C56" s="575" t="s">
        <v>748</v>
      </c>
      <c r="D56" s="105">
        <v>17037</v>
      </c>
      <c r="E56" s="1774"/>
      <c r="F56" s="1496" t="s">
        <v>898</v>
      </c>
      <c r="G56" s="1758">
        <v>641</v>
      </c>
      <c r="H56" s="1759" t="s">
        <v>839</v>
      </c>
      <c r="I56" s="1760">
        <v>3250</v>
      </c>
      <c r="J56" s="2143" t="str">
        <f>IF(I56&gt;0.5*D56,"Högt belopp för förbrukningsinvent.",IF(SUM(I56:I57)&gt;D56,"Däravrad 341 och 342 &gt; rad 340",IF(I56&gt;0,"","Belopp saknas")))</f>
        <v/>
      </c>
      <c r="K56" s="4"/>
      <c r="L56" s="561"/>
      <c r="M56" s="1274"/>
      <c r="N56" s="2161"/>
      <c r="O56" s="2168"/>
      <c r="P56" s="1398"/>
      <c r="Q56" s="1403"/>
      <c r="R56" s="1429"/>
      <c r="S56" s="1412"/>
      <c r="T56" s="1429"/>
    </row>
    <row r="57" spans="1:20" s="209" customFormat="1" ht="12.75" customHeight="1" thickBot="1">
      <c r="A57" s="571">
        <v>360</v>
      </c>
      <c r="B57" s="576"/>
      <c r="C57" s="577" t="s">
        <v>749</v>
      </c>
      <c r="D57" s="369">
        <f>SUM(D53,D54,D55,D56)</f>
        <v>33707</v>
      </c>
      <c r="E57" s="1774"/>
      <c r="F57" s="1498" t="s">
        <v>1108</v>
      </c>
      <c r="G57" s="1804">
        <v>422</v>
      </c>
      <c r="H57" s="1761" t="s">
        <v>1109</v>
      </c>
      <c r="I57" s="1381">
        <v>1613</v>
      </c>
      <c r="J57" s="2143" t="str">
        <f>IF(I57="","Skriv belopp eller 0","")</f>
        <v/>
      </c>
      <c r="K57" s="4"/>
      <c r="L57" s="571">
        <v>360</v>
      </c>
      <c r="M57" s="1279">
        <v>33743</v>
      </c>
      <c r="N57" s="2162">
        <f>IF(ISERROR((D57-M57)/M57),0,((D57-M57)/M57))</f>
        <v>-1.0668879471297751E-3</v>
      </c>
      <c r="O57" s="2169" t="str">
        <f>IF(AND(ABS(N57)&gt;20%,ABS(D57-M57)&gt;20000),"Kontrollera förändringen","")</f>
        <v/>
      </c>
      <c r="P57" s="1402"/>
      <c r="Q57" s="1403"/>
      <c r="R57" s="16"/>
      <c r="S57" s="1412"/>
      <c r="T57" s="1429"/>
    </row>
    <row r="58" spans="1:20" s="209" customFormat="1">
      <c r="A58" s="569">
        <v>345</v>
      </c>
      <c r="B58" s="570" t="s">
        <v>883</v>
      </c>
      <c r="C58" s="563" t="s">
        <v>831</v>
      </c>
      <c r="D58" s="105">
        <v>7454</v>
      </c>
      <c r="E58" s="1774"/>
      <c r="F58" s="2146"/>
      <c r="G58" s="2146"/>
      <c r="H58" s="2174"/>
      <c r="I58" s="2174"/>
      <c r="J58" s="2148"/>
      <c r="K58" s="4"/>
      <c r="L58" s="1298"/>
      <c r="M58" s="1320"/>
      <c r="N58" s="2159"/>
      <c r="O58" s="2168"/>
      <c r="P58" s="1398"/>
      <c r="Q58" s="1403"/>
      <c r="R58" s="1412"/>
      <c r="S58" s="1412"/>
      <c r="T58" s="174"/>
    </row>
    <row r="59" spans="1:20" s="209" customFormat="1">
      <c r="A59" s="569">
        <v>401</v>
      </c>
      <c r="B59" s="570">
        <v>46</v>
      </c>
      <c r="C59" s="563" t="s">
        <v>832</v>
      </c>
      <c r="D59" s="105">
        <v>130702</v>
      </c>
      <c r="E59" s="1774"/>
      <c r="F59" s="2146"/>
      <c r="G59" s="2146"/>
      <c r="H59" s="2174"/>
      <c r="I59" s="2174"/>
      <c r="J59" s="2148"/>
      <c r="K59" s="4"/>
      <c r="L59" s="558">
        <v>401</v>
      </c>
      <c r="M59" s="1267">
        <v>129213</v>
      </c>
      <c r="N59" s="2165">
        <f>IF(ISERROR((D59-M59)/M59),0,((D59-M59)/M59))</f>
        <v>1.1523608305665839E-2</v>
      </c>
      <c r="O59" s="2168" t="str">
        <f>IF(AND(ABS(N59)&gt;20%,ABS(D59-M59)&gt;20000),"Kontrollera förändringen","")</f>
        <v/>
      </c>
      <c r="P59" s="1398"/>
      <c r="Q59" s="1403"/>
      <c r="R59" s="1412"/>
      <c r="S59" s="1412"/>
      <c r="T59" s="174"/>
    </row>
    <row r="60" spans="1:20" s="209" customFormat="1" ht="17.25" customHeight="1">
      <c r="A60" s="569">
        <v>410</v>
      </c>
      <c r="B60" s="570">
        <v>74</v>
      </c>
      <c r="C60" s="563" t="s">
        <v>870</v>
      </c>
      <c r="D60" s="105">
        <v>19658</v>
      </c>
      <c r="E60" s="1774"/>
      <c r="F60" s="2146"/>
      <c r="G60" s="2146"/>
      <c r="H60" s="2174"/>
      <c r="I60" s="2174"/>
      <c r="J60" s="2148"/>
      <c r="K60" s="4"/>
      <c r="L60" s="821"/>
      <c r="M60" s="1093"/>
      <c r="N60" s="2160"/>
      <c r="O60" s="2168"/>
      <c r="P60" s="1398"/>
      <c r="Q60" s="1403"/>
      <c r="R60" s="1621"/>
      <c r="S60" s="1412"/>
      <c r="T60" s="174"/>
    </row>
    <row r="61" spans="1:20" s="209" customFormat="1">
      <c r="A61" s="569">
        <v>411</v>
      </c>
      <c r="B61" s="570">
        <v>75</v>
      </c>
      <c r="C61" s="563" t="s">
        <v>750</v>
      </c>
      <c r="D61" s="105">
        <v>2316</v>
      </c>
      <c r="E61" s="1774"/>
      <c r="F61" s="2146"/>
      <c r="G61" s="2146"/>
      <c r="H61" s="2174"/>
      <c r="I61" s="2174"/>
      <c r="J61" s="2148"/>
      <c r="K61" s="4"/>
      <c r="L61" s="821"/>
      <c r="M61" s="1093"/>
      <c r="N61" s="2160"/>
      <c r="O61" s="2168"/>
      <c r="P61" s="1398"/>
      <c r="Q61" s="1403"/>
      <c r="R61" s="1412"/>
      <c r="S61" s="1412"/>
      <c r="T61" s="174"/>
    </row>
    <row r="62" spans="1:20" s="209" customFormat="1">
      <c r="A62" s="569">
        <v>415</v>
      </c>
      <c r="B62" s="570" t="s">
        <v>884</v>
      </c>
      <c r="C62" s="563" t="s">
        <v>751</v>
      </c>
      <c r="D62" s="105">
        <v>4525</v>
      </c>
      <c r="E62" s="1774"/>
      <c r="F62" s="2146"/>
      <c r="G62" s="2146"/>
      <c r="H62" s="2174"/>
      <c r="I62" s="2174"/>
      <c r="J62" s="2148"/>
      <c r="K62" s="4"/>
      <c r="L62" s="821"/>
      <c r="M62" s="1093"/>
      <c r="N62" s="2160"/>
      <c r="O62" s="2168"/>
      <c r="P62" s="1398"/>
      <c r="Q62" s="1403"/>
      <c r="R62" s="1429"/>
      <c r="S62" s="1412"/>
      <c r="T62" s="174"/>
    </row>
    <row r="63" spans="1:20" s="209" customFormat="1">
      <c r="A63" s="569">
        <v>416</v>
      </c>
      <c r="B63" s="574">
        <v>68</v>
      </c>
      <c r="C63" s="575" t="s">
        <v>752</v>
      </c>
      <c r="D63" s="105">
        <v>2394</v>
      </c>
      <c r="E63" s="1774"/>
      <c r="F63" s="2146"/>
      <c r="G63" s="2146"/>
      <c r="H63" s="2174"/>
      <c r="I63" s="2174"/>
      <c r="J63" s="2148"/>
      <c r="K63" s="4"/>
      <c r="L63" s="821"/>
      <c r="M63" s="1093"/>
      <c r="N63" s="2160"/>
      <c r="O63" s="2168"/>
      <c r="P63" s="1398"/>
      <c r="Q63" s="1403"/>
      <c r="R63" s="1429"/>
      <c r="S63" s="1429"/>
      <c r="T63" s="174"/>
    </row>
    <row r="64" spans="1:20" s="209" customFormat="1">
      <c r="A64" s="569">
        <v>430</v>
      </c>
      <c r="B64" s="574">
        <v>66</v>
      </c>
      <c r="C64" s="575" t="s">
        <v>833</v>
      </c>
      <c r="D64" s="105">
        <v>1661</v>
      </c>
      <c r="E64" s="1774"/>
      <c r="F64" s="2146"/>
      <c r="G64" s="2146"/>
      <c r="H64" s="2174"/>
      <c r="I64" s="2174"/>
      <c r="J64" s="2148"/>
      <c r="K64" s="4"/>
      <c r="L64" s="821"/>
      <c r="M64" s="1093"/>
      <c r="N64" s="2160"/>
      <c r="O64" s="2168"/>
      <c r="P64" s="1398"/>
      <c r="Q64" s="1403"/>
      <c r="R64" s="1429"/>
      <c r="S64" s="1429"/>
      <c r="T64" s="174"/>
    </row>
    <row r="65" spans="1:22" s="209" customFormat="1">
      <c r="A65" s="569">
        <v>440</v>
      </c>
      <c r="B65" s="574">
        <v>701</v>
      </c>
      <c r="C65" s="575" t="s">
        <v>753</v>
      </c>
      <c r="D65" s="105">
        <v>6685</v>
      </c>
      <c r="E65" s="1774"/>
      <c r="F65" s="2146"/>
      <c r="G65" s="2146"/>
      <c r="H65" s="2174"/>
      <c r="I65" s="2174"/>
      <c r="J65" s="2148"/>
      <c r="K65" s="4"/>
      <c r="L65" s="561"/>
      <c r="M65" s="1274"/>
      <c r="N65" s="2161"/>
      <c r="O65" s="2168"/>
      <c r="P65" s="1398"/>
      <c r="Q65" s="1403"/>
      <c r="R65" s="1412"/>
      <c r="S65" s="1429"/>
      <c r="T65" s="174"/>
    </row>
    <row r="66" spans="1:22" s="209" customFormat="1">
      <c r="A66" s="569">
        <v>450</v>
      </c>
      <c r="B66" s="574">
        <v>601</v>
      </c>
      <c r="C66" s="575" t="s">
        <v>754</v>
      </c>
      <c r="D66" s="105">
        <v>31958</v>
      </c>
      <c r="E66" s="1774"/>
      <c r="F66" s="2146"/>
      <c r="G66" s="2146"/>
      <c r="H66" s="2174"/>
      <c r="I66" s="2174"/>
      <c r="J66" s="2148"/>
      <c r="K66" s="4"/>
      <c r="L66" s="558">
        <v>450</v>
      </c>
      <c r="M66" s="1267">
        <v>30289</v>
      </c>
      <c r="N66" s="2165">
        <f>IF(ISERROR((D66-M66)/M66),0,((D66-M66)/M66))</f>
        <v>5.5102512463270498E-2</v>
      </c>
      <c r="O66" s="2168" t="str">
        <f>IF(AND(OR((N66)&lt;-2%,(N66)&gt;20%),ABS(D66-M66)&gt;20000),"Kontrollera förändringen","")</f>
        <v/>
      </c>
      <c r="P66" s="1398"/>
      <c r="Q66" s="1403"/>
      <c r="R66" s="1429"/>
      <c r="S66" s="1429"/>
      <c r="T66" s="174"/>
    </row>
    <row r="67" spans="1:22" s="209" customFormat="1" ht="20.25" customHeight="1">
      <c r="A67" s="569">
        <v>460</v>
      </c>
      <c r="B67" s="574">
        <v>602</v>
      </c>
      <c r="C67" s="575" t="s">
        <v>755</v>
      </c>
      <c r="D67" s="105">
        <v>69</v>
      </c>
      <c r="E67" s="1774"/>
      <c r="F67" s="1805">
        <v>469</v>
      </c>
      <c r="G67" s="1806" t="s">
        <v>1080</v>
      </c>
      <c r="H67" s="1633" t="s">
        <v>1274</v>
      </c>
      <c r="I67" s="1631">
        <v>3305</v>
      </c>
      <c r="J67" s="2148"/>
      <c r="K67" s="4"/>
      <c r="L67" s="564"/>
      <c r="M67" s="1102"/>
      <c r="N67" s="2163"/>
      <c r="O67" s="2168"/>
      <c r="P67" s="1398"/>
      <c r="Q67" s="1403"/>
      <c r="R67" s="1429"/>
      <c r="S67" s="1429"/>
      <c r="T67" s="1403"/>
    </row>
    <row r="68" spans="1:22" s="209" customFormat="1" ht="18.75" customHeight="1">
      <c r="A68" s="569">
        <v>470</v>
      </c>
      <c r="B68" s="1500" t="s">
        <v>872</v>
      </c>
      <c r="C68" s="600" t="s">
        <v>873</v>
      </c>
      <c r="D68" s="234">
        <v>7883</v>
      </c>
      <c r="E68" s="1774"/>
      <c r="F68" s="726">
        <v>472</v>
      </c>
      <c r="G68" s="727">
        <v>731</v>
      </c>
      <c r="H68" s="1247" t="s">
        <v>1275</v>
      </c>
      <c r="I68" s="1632">
        <v>1055</v>
      </c>
      <c r="J68" s="2148"/>
      <c r="K68" s="4"/>
      <c r="L68" s="821"/>
      <c r="M68" s="1093"/>
      <c r="N68" s="2160"/>
      <c r="O68" s="2168"/>
      <c r="P68" s="1398"/>
      <c r="Q68" s="1403"/>
      <c r="R68" s="1412"/>
      <c r="S68" s="1412"/>
      <c r="T68" s="1403"/>
    </row>
    <row r="69" spans="1:22" s="209" customFormat="1">
      <c r="A69" s="569">
        <v>471</v>
      </c>
      <c r="B69" s="570" t="s">
        <v>722</v>
      </c>
      <c r="C69" s="563" t="s">
        <v>756</v>
      </c>
      <c r="D69" s="106">
        <v>12243</v>
      </c>
      <c r="E69" s="1774"/>
      <c r="F69" s="726">
        <v>474</v>
      </c>
      <c r="G69" s="682">
        <v>732</v>
      </c>
      <c r="H69" s="786" t="s">
        <v>1276</v>
      </c>
      <c r="I69" s="305">
        <v>79</v>
      </c>
      <c r="J69" s="2148"/>
      <c r="K69" s="4"/>
      <c r="L69" s="561"/>
      <c r="M69" s="1274"/>
      <c r="N69" s="2161"/>
      <c r="O69" s="2168"/>
      <c r="P69" s="1398"/>
      <c r="Q69" s="1403"/>
      <c r="R69" s="1412"/>
      <c r="S69" s="1412"/>
      <c r="T69" s="1403"/>
    </row>
    <row r="70" spans="1:22" s="209" customFormat="1" ht="18.75" thickBot="1">
      <c r="A70" s="578">
        <v>479</v>
      </c>
      <c r="B70" s="579"/>
      <c r="C70" s="580" t="s">
        <v>757</v>
      </c>
      <c r="D70" s="370">
        <f>SUM(D58:D69)</f>
        <v>227548</v>
      </c>
      <c r="E70" s="1774"/>
      <c r="F70" s="2133">
        <v>476</v>
      </c>
      <c r="G70" s="2171" t="s">
        <v>1307</v>
      </c>
      <c r="H70" s="2047" t="s">
        <v>1284</v>
      </c>
      <c r="I70" s="305">
        <v>685</v>
      </c>
      <c r="J70" s="2148"/>
      <c r="K70" s="4"/>
      <c r="L70" s="571">
        <v>479</v>
      </c>
      <c r="M70" s="1279">
        <v>222815</v>
      </c>
      <c r="N70" s="2162">
        <f>IF(ISERROR((D70-M70)/M70),0,((D70-M70)/M70))</f>
        <v>2.1241837398738864E-2</v>
      </c>
      <c r="O70" s="2169" t="str">
        <f>IF(AND(ABS(N70)&gt;20%,ABS(D70-M70)&gt;50000),"Kontrollera förändringen","")</f>
        <v/>
      </c>
      <c r="P70" s="1402"/>
      <c r="Q70" s="1403"/>
      <c r="R70" s="1404"/>
      <c r="S70" s="1412"/>
      <c r="T70" s="1403"/>
    </row>
    <row r="71" spans="1:22" s="209" customFormat="1" ht="18" customHeight="1">
      <c r="A71" s="581">
        <v>897</v>
      </c>
      <c r="B71" s="1500" t="s">
        <v>871</v>
      </c>
      <c r="C71" s="575" t="s">
        <v>802</v>
      </c>
      <c r="D71" s="235">
        <v>422</v>
      </c>
      <c r="E71" s="2152" t="str">
        <f>IF(ABS(SUM(D71+D73)-Drift!P121)&gt;50,ROUND(SUM(D71+D73)-Drift!P121,0)&amp; "tkr diff. mot rad 985, kol. P i Driften-rätta eller kommentera","")</f>
        <v>226tkr diff. mot rad 985, kol. P i Driften-rätta eller kommentera</v>
      </c>
      <c r="F71" s="726">
        <v>477</v>
      </c>
      <c r="G71" s="682">
        <v>737</v>
      </c>
      <c r="H71" s="786" t="s">
        <v>1277</v>
      </c>
      <c r="I71" s="305">
        <v>5</v>
      </c>
      <c r="J71" s="2148"/>
      <c r="K71" s="4"/>
      <c r="L71" s="1298"/>
      <c r="M71" s="1320"/>
      <c r="N71" s="2159"/>
      <c r="O71" s="2168"/>
      <c r="P71" s="1398"/>
      <c r="Q71" s="1403"/>
      <c r="R71" s="1630"/>
      <c r="S71" s="1412"/>
      <c r="T71" s="1403"/>
    </row>
    <row r="72" spans="1:22" s="209" customFormat="1" ht="12.75" customHeight="1">
      <c r="A72" s="558">
        <v>899</v>
      </c>
      <c r="B72" s="1502">
        <v>787</v>
      </c>
      <c r="C72" s="575" t="s">
        <v>823</v>
      </c>
      <c r="D72" s="232">
        <v>3013</v>
      </c>
      <c r="E72" s="1774" t="str">
        <f>IF(ABS(D72)&gt;100,"kommentera beloppet","")</f>
        <v>kommentera beloppet</v>
      </c>
      <c r="F72" s="1603" t="s">
        <v>256</v>
      </c>
      <c r="G72" s="682"/>
      <c r="H72" s="786" t="s">
        <v>1043</v>
      </c>
      <c r="I72" s="305">
        <v>4</v>
      </c>
      <c r="J72" s="2143" t="str">
        <f>IF(I72&gt;I71,"rad 479 &gt; rad 477",IF(AND(I71&gt;0,I72=""),"skriv belopp eller 0",""))</f>
        <v/>
      </c>
      <c r="K72" s="4"/>
      <c r="L72" s="821"/>
      <c r="M72" s="1093"/>
      <c r="N72" s="2160"/>
      <c r="O72" s="2168"/>
      <c r="P72" s="1398"/>
      <c r="Q72" s="1403"/>
      <c r="R72" s="1412"/>
      <c r="S72" s="1403"/>
      <c r="T72" s="1403"/>
    </row>
    <row r="73" spans="1:22" s="209" customFormat="1" ht="12.75" customHeight="1" thickBot="1">
      <c r="A73" s="578">
        <v>900</v>
      </c>
      <c r="B73" s="582">
        <v>789</v>
      </c>
      <c r="C73" s="583" t="s">
        <v>377</v>
      </c>
      <c r="D73" s="236">
        <v>229</v>
      </c>
      <c r="E73" s="2153" t="str">
        <f>IF(D73&lt;500,"","Komment.vad övr.periodiseringar avser")</f>
        <v/>
      </c>
      <c r="F73" s="835">
        <v>478</v>
      </c>
      <c r="G73" s="682" t="s">
        <v>837</v>
      </c>
      <c r="H73" s="786" t="s">
        <v>1278</v>
      </c>
      <c r="I73" s="305">
        <v>2039</v>
      </c>
      <c r="J73" s="2148"/>
      <c r="K73" s="145"/>
      <c r="L73" s="821"/>
      <c r="M73" s="1093"/>
      <c r="N73" s="2160"/>
      <c r="O73" s="2168"/>
      <c r="P73" s="1398"/>
      <c r="Q73" s="1403"/>
      <c r="R73" s="1403"/>
      <c r="S73" s="1403"/>
      <c r="T73" s="1403"/>
    </row>
    <row r="74" spans="1:22" s="209" customFormat="1" ht="18" customHeight="1" thickBot="1">
      <c r="A74" s="573">
        <v>887</v>
      </c>
      <c r="B74" s="574"/>
      <c r="C74" s="584" t="s">
        <v>678</v>
      </c>
      <c r="D74" s="371">
        <f>SUM(D44+D52+D57+D70+D71+D72+D73)</f>
        <v>674874</v>
      </c>
      <c r="E74" s="2148"/>
      <c r="F74" s="586">
        <v>473</v>
      </c>
      <c r="G74" s="1504" t="s">
        <v>908</v>
      </c>
      <c r="H74" s="1423" t="s">
        <v>1279</v>
      </c>
      <c r="I74" s="306">
        <v>407</v>
      </c>
      <c r="J74" s="2143" t="str">
        <f>IF(AND(D68=0,SUM(I67:I74)=0),"",IF(SUM(I67:I71,I73,I74)&lt;D68,"",IF((SUM(D68)/(SUM(I67:I71,I73,I74)))&lt;&gt;1,"däravraderna 469-478 är" &amp;" "&amp;(ROUND(SUM(I67:I71,I73,I74)-D68,0))&amp;"  tkr större än rad huvudrad 470-rätta eller kommentera","")))</f>
        <v/>
      </c>
      <c r="K74" s="4"/>
      <c r="L74" s="555"/>
      <c r="M74" s="1321"/>
      <c r="N74" s="2164"/>
      <c r="O74" s="2169"/>
      <c r="P74" s="1402"/>
      <c r="Q74" s="1357"/>
      <c r="R74" s="1429"/>
      <c r="S74" s="1429"/>
      <c r="T74" s="1403"/>
    </row>
    <row r="75" spans="1:22" s="209" customFormat="1" ht="15.75" customHeight="1" thickBot="1">
      <c r="A75" s="585" t="s">
        <v>468</v>
      </c>
      <c r="B75" s="572"/>
      <c r="C75" s="542" t="s">
        <v>96</v>
      </c>
      <c r="D75" s="313">
        <f>RR!C8</f>
        <v>674874</v>
      </c>
      <c r="E75" s="1774"/>
      <c r="F75" s="2661"/>
      <c r="G75" s="2662"/>
      <c r="H75" s="2662"/>
      <c r="I75" s="1774" t="str">
        <f>IF(AND(D68&gt;10000,SUM(I67:I71)+SUM(I73:I74)&lt;0.9*D68),"vad avser de" &amp;" "&amp;(ROUND(D68-SUM(I67:I71,I73:I74),0))&amp; "tkr av beloppet på rad 470 som inte fördelats på däravraderna 469-473?","")</f>
        <v/>
      </c>
      <c r="J75" s="2048"/>
      <c r="L75" s="1299"/>
      <c r="M75" s="1300"/>
      <c r="N75" s="1301"/>
      <c r="O75" s="1398"/>
      <c r="P75" s="1398"/>
      <c r="Q75" s="174"/>
      <c r="R75" s="1404"/>
      <c r="S75" s="1404"/>
      <c r="T75" s="174"/>
    </row>
    <row r="76" spans="1:22" s="209" customFormat="1" ht="56.25" customHeight="1">
      <c r="A76" s="149" t="s">
        <v>1110</v>
      </c>
      <c r="B76" s="1503"/>
      <c r="C76" s="1503"/>
      <c r="D76" s="2154" t="str">
        <f>IF(ABS(D74-D75)&lt;50,"",IF(OR(D74=0,D75=0),"",IF((SUM(D74)/(D75))&lt;&gt;1,(ROUND(D74-D75,0))&amp;" tkr diff mellan verks. kostnader i RR och verks. kostnader här - måste rättas!","")))</f>
        <v/>
      </c>
      <c r="E76" s="2148"/>
      <c r="F76" s="2663"/>
      <c r="G76" s="2663"/>
      <c r="H76" s="2663"/>
      <c r="I76" s="2663"/>
      <c r="J76" s="2663"/>
      <c r="K76" s="4"/>
      <c r="Q76" s="174"/>
      <c r="R76" s="1409"/>
      <c r="S76" s="1409"/>
      <c r="T76" s="174"/>
    </row>
    <row r="77" spans="1:22" s="209" customFormat="1" ht="12.75" customHeight="1">
      <c r="A77" s="149" t="s">
        <v>909</v>
      </c>
      <c r="B77" s="84"/>
      <c r="C77" s="84"/>
      <c r="D77" s="4"/>
      <c r="F77" s="2663"/>
      <c r="G77" s="2663"/>
      <c r="H77" s="2663"/>
      <c r="I77" s="2663"/>
      <c r="J77" s="2663"/>
      <c r="K77" s="4"/>
      <c r="Q77" s="174"/>
      <c r="R77" s="2660"/>
      <c r="S77" s="2660"/>
      <c r="T77" s="2660"/>
    </row>
    <row r="78" spans="1:22" s="209" customFormat="1">
      <c r="A78" s="174"/>
      <c r="B78" s="174"/>
      <c r="C78" s="174"/>
      <c r="D78" s="174"/>
      <c r="F78" s="2663"/>
      <c r="G78" s="2663"/>
      <c r="H78" s="2663"/>
      <c r="I78" s="2663"/>
      <c r="J78" s="2663"/>
      <c r="K78" s="4"/>
      <c r="L78" s="174"/>
      <c r="M78" s="174"/>
      <c r="N78" s="174"/>
      <c r="O78" s="174"/>
      <c r="P78" s="174"/>
      <c r="Q78" s="174"/>
      <c r="R78" s="2660"/>
      <c r="S78" s="2660"/>
      <c r="T78" s="2660"/>
      <c r="U78" s="174"/>
      <c r="V78" s="174"/>
    </row>
    <row r="79" spans="1:22">
      <c r="F79" s="4"/>
      <c r="G79" s="4"/>
      <c r="H79" s="4"/>
      <c r="I79" s="4"/>
      <c r="J79" s="4"/>
    </row>
    <row r="80" spans="1:22"/>
    <row r="81"/>
    <row r="82"/>
    <row r="83" hidden="1"/>
    <row r="84" hidden="1"/>
    <row r="85" hidden="1"/>
    <row r="86" hidden="1"/>
    <row r="87" hidden="1"/>
    <row r="88" hidden="1"/>
    <row r="89" hidden="1"/>
    <row r="90"/>
  </sheetData>
  <sheetProtection password="CBFD" sheet="1" objects="1" scenarios="1"/>
  <customSheetViews>
    <customSheetView guid="{27C9E95B-0E2B-454F-B637-1CECC9579A10}" showGridLines="0" hiddenRows="1" showRuler="0">
      <selection activeCell="J73" sqref="J73"/>
      <rowBreaks count="1" manualBreakCount="1">
        <brk id="34" max="8" man="1"/>
      </rowBreaks>
      <pageMargins left="0.31496062992125984" right="0.31496062992125984" top="0.74803149606299213" bottom="0.74803149606299213" header="0.31496062992125984" footer="0.31496062992125984"/>
      <pageSetup paperSize="9" scale="80" orientation="portrait" r:id="rId1"/>
      <headerFooter alignWithMargins="0">
        <oddHeader>&amp;L&amp;8Statistiska Centralbyrån
Offentlig ekonomi&amp;R&amp;P</oddHeader>
      </headerFooter>
    </customSheetView>
    <customSheetView guid="{99FBDEB7-DD08-4F57-81F4-3C180403E153}" showGridLines="0" hiddenRows="1" hiddenColumns="1" topLeftCell="A15">
      <selection activeCell="E34" sqref="E34"/>
      <rowBreaks count="1" manualBreakCount="1">
        <brk id="34" max="8" man="1"/>
      </rowBreaks>
      <pageMargins left="0.31496062992125984" right="0.31496062992125984" top="0.74803149606299213" bottom="0.74803149606299213" header="0.31496062992125984" footer="0.31496062992125984"/>
      <pageSetup paperSize="9" scale="80" orientation="portrait" r:id="rId2"/>
      <headerFooter>
        <oddHeader>&amp;L&amp;8Statistiska Centralbyrån
Offentlig ekonomi&amp;R&amp;P</oddHeader>
      </headerFooter>
    </customSheetView>
    <customSheetView guid="{97D6DB71-3F4C-4C5F-8C5B-51E3EBF78932}" showPageBreaks="1" showGridLines="0" hiddenRows="1" hiddenColumns="1">
      <selection activeCell="C60" sqref="C60"/>
      <rowBreaks count="1" manualBreakCount="1">
        <brk id="34" max="8" man="1"/>
      </rowBreaks>
      <pageMargins left="0.31496062992125984" right="0.31496062992125984" top="0.74803149606299213" bottom="0.74803149606299213" header="0.31496062992125984" footer="0.31496062992125984"/>
      <pageSetup paperSize="9" scale="80" orientation="portrait" r:id="rId3"/>
      <headerFooter>
        <oddHeader>&amp;L&amp;8Statistiska Centralbyrån
Offentlig ekonomi&amp;R&amp;P</oddHeader>
      </headerFooter>
    </customSheetView>
  </customSheetViews>
  <mergeCells count="6">
    <mergeCell ref="R77:T78"/>
    <mergeCell ref="F75:H75"/>
    <mergeCell ref="F76:J78"/>
    <mergeCell ref="B6:B7"/>
    <mergeCell ref="B38:B39"/>
    <mergeCell ref="F34:J35"/>
  </mergeCells>
  <phoneticPr fontId="10" type="noConversion"/>
  <conditionalFormatting sqref="I17:I20">
    <cfRule type="cellIs" dxfId="123" priority="12" stopIfTrue="1" operator="lessThan">
      <formula>-500</formula>
    </cfRule>
  </conditionalFormatting>
  <conditionalFormatting sqref="I23:I24">
    <cfRule type="cellIs" dxfId="122" priority="11" stopIfTrue="1" operator="lessThan">
      <formula>-500</formula>
    </cfRule>
  </conditionalFormatting>
  <conditionalFormatting sqref="I56">
    <cfRule type="cellIs" dxfId="121" priority="10" stopIfTrue="1" operator="lessThan">
      <formula>-500</formula>
    </cfRule>
  </conditionalFormatting>
  <conditionalFormatting sqref="I26:I28">
    <cfRule type="cellIs" dxfId="120" priority="8" stopIfTrue="1" operator="lessThan">
      <formula>-500</formula>
    </cfRule>
  </conditionalFormatting>
  <conditionalFormatting sqref="D43 I43:I44">
    <cfRule type="cellIs" dxfId="119" priority="6" stopIfTrue="1" operator="lessThan">
      <formula>0</formula>
    </cfRule>
  </conditionalFormatting>
  <conditionalFormatting sqref="I67">
    <cfRule type="cellIs" dxfId="118" priority="5" stopIfTrue="1" operator="lessThan">
      <formula>-500</formula>
    </cfRule>
  </conditionalFormatting>
  <conditionalFormatting sqref="I67">
    <cfRule type="cellIs" dxfId="117" priority="4" stopIfTrue="1" operator="lessThan">
      <formula>-500</formula>
    </cfRule>
  </conditionalFormatting>
  <conditionalFormatting sqref="D8:D11 D13:D15 D17:D24 D26:D28 I23:I24 I26:I27 D30:D32 D40:D43 D45:D46 D48:D51 D53:D56 D58:D69 D71 D73 I67:I74 I56 I53 I48:I50 I39:I46">
    <cfRule type="cellIs" dxfId="116" priority="3" stopIfTrue="1" operator="lessThan">
      <formula>-500</formula>
    </cfRule>
  </conditionalFormatting>
  <conditionalFormatting sqref="I57">
    <cfRule type="cellIs" dxfId="115" priority="2" stopIfTrue="1" operator="lessThan">
      <formula>-500</formula>
    </cfRule>
  </conditionalFormatting>
  <conditionalFormatting sqref="I57">
    <cfRule type="cellIs" dxfId="114" priority="1" stopIfTrue="1" operator="lessThan">
      <formula>-500</formula>
    </cfRule>
  </conditionalFormatting>
  <dataValidations count="3">
    <dataValidation type="decimal" operator="lessThan" allowBlank="1" showInputMessage="1" showErrorMessage="1" error="Beloppet ska vara i 1000 tal kronor" sqref="I48:I50 D53:D56 D40:D43 D17:D24 D26:D28 D13:D15 I23:I24 D8:D11 D45:D51 I53 I17:I20 I39:I46 I56:I57 D30:D32 D58:D69 D71:D73 I26:I28 I68:I74">
      <formula1>99999999</formula1>
    </dataValidation>
    <dataValidation operator="lessThan" allowBlank="1" showInputMessage="1" showErrorMessage="1" sqref="D74 D33"/>
    <dataValidation type="decimal" operator="lessThan" allowBlank="1" showInputMessage="1" showErrorMessage="1" error="beloppet ska vara 1000tal kr" sqref="I67">
      <formula1>99999999</formula1>
    </dataValidation>
  </dataValidations>
  <pageMargins left="0.7" right="0.7" top="0.75" bottom="0.75" header="0.3" footer="0.3"/>
  <pageSetup paperSize="9" scale="70" orientation="portrait" r:id="rId4"/>
  <headerFooter>
    <oddHeader>&amp;L&amp;8Statistiska Centralbyrån
Offentlig ekonomi&amp;R&amp;P</oddHeader>
  </headerFooter>
  <rowBreaks count="1" manualBreakCount="1">
    <brk id="34" max="8" man="1"/>
  </rowBreaks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XFC44"/>
  <sheetViews>
    <sheetView showGridLines="0" zoomScaleNormal="100" workbookViewId="0">
      <pane ySplit="1" topLeftCell="A2" activePane="bottomLeft" state="frozen"/>
      <selection activeCell="I28" sqref="I28"/>
      <selection pane="bottomLeft" activeCell="I28" sqref="I28"/>
    </sheetView>
  </sheetViews>
  <sheetFormatPr defaultColWidth="9.140625" defaultRowHeight="12.75" zeroHeight="1"/>
  <cols>
    <col min="1" max="1" width="4" style="174" customWidth="1"/>
    <col min="2" max="2" width="9.140625" style="174" customWidth="1"/>
    <col min="3" max="3" width="30.85546875" style="174" customWidth="1"/>
    <col min="4" max="4" width="10.7109375" style="174" customWidth="1"/>
    <col min="5" max="5" width="22" style="174" customWidth="1"/>
    <col min="6" max="6" width="5" style="174" customWidth="1"/>
    <col min="7" max="7" width="27.7109375" style="174" customWidth="1"/>
    <col min="8" max="8" width="4" style="174" customWidth="1"/>
    <col min="9" max="9" width="8.28515625" style="174" customWidth="1"/>
    <col min="10" max="10" width="31.28515625" style="174" customWidth="1"/>
    <col min="11" max="12" width="10.7109375" style="174" customWidth="1"/>
    <col min="13" max="13" width="13.42578125" style="174" customWidth="1"/>
    <col min="14" max="14" width="4.28515625" style="174" customWidth="1"/>
    <col min="15" max="15" width="3.7109375" style="174" customWidth="1"/>
    <col min="16" max="16" width="19.7109375" style="174" customWidth="1"/>
    <col min="17" max="17" width="7" style="174" customWidth="1"/>
    <col min="18" max="18" width="3.7109375" style="174" customWidth="1"/>
    <col min="19" max="19" width="1.5703125" style="174" customWidth="1"/>
    <col min="20" max="20" width="21.5703125" style="174" customWidth="1"/>
    <col min="21" max="16383" width="0" style="174" hidden="1" customWidth="1"/>
    <col min="16384" max="16384" width="4.42578125" style="174" hidden="1" customWidth="1"/>
  </cols>
  <sheetData>
    <row r="1" spans="1:20" ht="20.25">
      <c r="A1" s="99" t="str">
        <f>"Skatteintäkter, utjämningssystem o. generella statliga bidrag samt finansiella poster "&amp;År&amp;", miljoner kronor"</f>
        <v>Skatteintäkter, utjämningssystem o. generella statliga bidrag samt finansiella poster 2017, miljoner kronor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2260">
        <f>'Kn Information'!B3</f>
        <v>0</v>
      </c>
      <c r="O1" s="524"/>
      <c r="P1" s="524"/>
      <c r="Q1" s="524"/>
      <c r="R1" s="524"/>
      <c r="S1" s="524"/>
      <c r="T1" s="518" t="str">
        <f>'Kn Information'!A2</f>
        <v>RIKSTOTAL</v>
      </c>
    </row>
    <row r="2" spans="1:20" ht="12.75" customHeight="1">
      <c r="A2" s="1290"/>
      <c r="D2" s="1372"/>
      <c r="E2" s="45"/>
      <c r="F2" s="4"/>
      <c r="G2" s="4"/>
      <c r="M2" s="45"/>
      <c r="N2" s="4"/>
      <c r="O2" s="4"/>
      <c r="P2" s="4"/>
      <c r="Q2" s="4"/>
      <c r="R2" s="2146"/>
      <c r="S2" s="2146"/>
      <c r="T2" s="2146"/>
    </row>
    <row r="3" spans="1:20" ht="12.75" customHeight="1">
      <c r="D3" s="1372"/>
      <c r="E3" s="45"/>
      <c r="F3" s="4"/>
      <c r="G3" s="4"/>
      <c r="J3" s="4"/>
      <c r="K3" s="4"/>
      <c r="L3" s="4"/>
      <c r="M3" s="45"/>
      <c r="N3" s="4"/>
      <c r="O3" s="4"/>
      <c r="P3" s="4"/>
      <c r="Q3" s="4"/>
      <c r="R3" s="2146"/>
      <c r="S3" s="2203"/>
      <c r="T3" s="2146"/>
    </row>
    <row r="4" spans="1:20" ht="17.25" customHeight="1" thickBot="1">
      <c r="A4" s="79" t="s">
        <v>661</v>
      </c>
      <c r="B4" s="4"/>
      <c r="C4" s="4"/>
      <c r="D4" s="34"/>
      <c r="G4" s="4"/>
      <c r="H4" s="79" t="s">
        <v>662</v>
      </c>
      <c r="I4" s="175"/>
      <c r="J4" s="175"/>
      <c r="K4" s="175"/>
      <c r="L4" s="175"/>
      <c r="M4" s="4"/>
      <c r="N4" s="4"/>
      <c r="O4" s="4"/>
      <c r="P4" s="4"/>
      <c r="Q4" s="4"/>
      <c r="R4" s="2146"/>
      <c r="S4" s="2203"/>
      <c r="T4" s="2146"/>
    </row>
    <row r="5" spans="1:20" s="186" customFormat="1">
      <c r="A5" s="2269" t="s">
        <v>656</v>
      </c>
      <c r="B5" s="2269" t="s">
        <v>814</v>
      </c>
      <c r="C5" s="621"/>
      <c r="D5" s="2024" t="s">
        <v>1312</v>
      </c>
      <c r="E5" s="185"/>
      <c r="F5" s="185"/>
      <c r="G5" s="185"/>
      <c r="H5" s="2276" t="s">
        <v>656</v>
      </c>
      <c r="I5" s="2269" t="s">
        <v>814</v>
      </c>
      <c r="J5" s="836"/>
      <c r="K5" s="621" t="s">
        <v>658</v>
      </c>
      <c r="L5" s="2026" t="s">
        <v>785</v>
      </c>
      <c r="M5" s="2218"/>
      <c r="N5" s="226"/>
      <c r="O5" s="185"/>
      <c r="P5" s="185"/>
      <c r="Q5" s="185"/>
      <c r="R5" s="2192"/>
      <c r="S5" s="2223"/>
      <c r="T5" s="2155"/>
    </row>
    <row r="6" spans="1:20" s="186" customFormat="1">
      <c r="A6" s="2270" t="s">
        <v>659</v>
      </c>
      <c r="B6" s="817"/>
      <c r="C6" s="620"/>
      <c r="D6" s="2271"/>
      <c r="E6" s="2155"/>
      <c r="F6" s="2155"/>
      <c r="G6" s="2275"/>
      <c r="H6" s="2274" t="s">
        <v>659</v>
      </c>
      <c r="I6" s="817"/>
      <c r="J6" s="837"/>
      <c r="K6" s="623" t="s">
        <v>1313</v>
      </c>
      <c r="L6" s="1069" t="s">
        <v>1313</v>
      </c>
      <c r="M6" s="2219" t="s">
        <v>1301</v>
      </c>
      <c r="N6" s="185"/>
      <c r="O6" s="185"/>
      <c r="P6" s="185"/>
      <c r="Q6" s="185"/>
      <c r="R6" s="2192"/>
      <c r="S6" s="2214"/>
      <c r="T6" s="2155"/>
    </row>
    <row r="7" spans="1:20" ht="15">
      <c r="A7" s="2272"/>
      <c r="B7" s="2273"/>
      <c r="C7" s="839"/>
      <c r="D7" s="842"/>
      <c r="E7" s="2146"/>
      <c r="F7" s="2146"/>
      <c r="G7" s="2146"/>
      <c r="H7" s="843"/>
      <c r="I7" s="604"/>
      <c r="J7" s="604"/>
      <c r="K7" s="604"/>
      <c r="L7" s="844"/>
      <c r="M7" s="2220"/>
      <c r="N7" s="226" t="s">
        <v>1314</v>
      </c>
      <c r="O7" s="4"/>
      <c r="P7" s="4"/>
      <c r="Q7" s="4"/>
      <c r="R7" s="2188"/>
      <c r="S7" s="2224"/>
      <c r="T7" s="2146"/>
    </row>
    <row r="8" spans="1:20">
      <c r="A8" s="801">
        <v>600</v>
      </c>
      <c r="B8" s="574">
        <v>801</v>
      </c>
      <c r="C8" s="575" t="s">
        <v>758</v>
      </c>
      <c r="D8" s="372">
        <v>455900</v>
      </c>
      <c r="E8" s="2146"/>
      <c r="F8" s="2146"/>
      <c r="G8" s="2146"/>
      <c r="H8" s="798">
        <v>800</v>
      </c>
      <c r="I8" s="574">
        <v>841</v>
      </c>
      <c r="J8" s="575" t="s">
        <v>771</v>
      </c>
      <c r="K8" s="1794">
        <v>4006</v>
      </c>
      <c r="L8" s="1795">
        <v>2676</v>
      </c>
      <c r="M8" s="2221" t="str">
        <f>IF(K16=0,"",IF(OR(K8="",L8=""),"Skriv belopp eller 0",""))</f>
        <v/>
      </c>
      <c r="N8" s="588">
        <v>801</v>
      </c>
      <c r="O8" s="1797">
        <v>8411</v>
      </c>
      <c r="P8" s="1707" t="s">
        <v>1081</v>
      </c>
      <c r="Q8" s="1708">
        <v>3228</v>
      </c>
      <c r="R8" s="2144" t="str">
        <f>IF(Q8&gt;K8,"däravrad 801&gt;rad 800",IF(AND(K8&gt;1,Q8=""),"skriv belopp eller 0",""))</f>
        <v/>
      </c>
      <c r="S8" s="2213"/>
      <c r="T8" s="2146"/>
    </row>
    <row r="9" spans="1:20">
      <c r="A9" s="801">
        <v>620</v>
      </c>
      <c r="B9" s="681">
        <v>8052</v>
      </c>
      <c r="C9" s="568" t="str">
        <f>"Slutavräkning, prognos för "&amp;År&amp;""</f>
        <v>Slutavräkning, prognos för 2017</v>
      </c>
      <c r="D9" s="372">
        <v>-2039</v>
      </c>
      <c r="E9" s="2146"/>
      <c r="F9" s="2146"/>
      <c r="G9" s="2146"/>
      <c r="H9" s="801">
        <v>810</v>
      </c>
      <c r="I9" s="840">
        <v>844</v>
      </c>
      <c r="J9" s="841" t="s">
        <v>772</v>
      </c>
      <c r="K9" s="22">
        <v>3861</v>
      </c>
      <c r="L9" s="107">
        <v>4374</v>
      </c>
      <c r="M9" s="2221" t="str">
        <f>IF(K16=0,"",IF(OR(K9="",L9=""),"Skriv belopp eller 0",""))</f>
        <v/>
      </c>
      <c r="N9" s="4"/>
      <c r="O9" s="4"/>
      <c r="P9" s="4"/>
      <c r="Q9" s="4"/>
      <c r="R9" s="2188"/>
      <c r="S9" s="2213"/>
      <c r="T9" s="2146"/>
    </row>
    <row r="10" spans="1:20">
      <c r="A10" s="801">
        <v>625</v>
      </c>
      <c r="B10" s="681">
        <v>8051</v>
      </c>
      <c r="C10" s="568" t="str">
        <f>"Justering slutavräkning "&amp;År-1&amp;""</f>
        <v>Justering slutavräkning 2016</v>
      </c>
      <c r="D10" s="372">
        <v>528</v>
      </c>
      <c r="E10" s="2146"/>
      <c r="F10" s="2146"/>
      <c r="G10" s="2146"/>
      <c r="H10" s="801">
        <v>880</v>
      </c>
      <c r="I10" s="574">
        <v>845</v>
      </c>
      <c r="J10" s="575" t="s">
        <v>773</v>
      </c>
      <c r="K10" s="22">
        <v>39</v>
      </c>
      <c r="L10" s="958"/>
      <c r="M10" s="2221" t="str">
        <f>IF(K16=0,"",IF(K10="","Skriv belopp eller 0",""))</f>
        <v/>
      </c>
      <c r="N10" s="4"/>
      <c r="O10" s="4"/>
      <c r="P10" s="4"/>
      <c r="Q10" s="4"/>
      <c r="R10" s="2188"/>
      <c r="S10" s="2213"/>
      <c r="T10" s="2146"/>
    </row>
    <row r="11" spans="1:20">
      <c r="A11" s="801">
        <v>630</v>
      </c>
      <c r="B11" s="681"/>
      <c r="C11" s="568" t="str">
        <f>"Justeringspost slutavräkning "&amp;År&amp;""</f>
        <v>Justeringspost slutavräkning 2017</v>
      </c>
      <c r="D11" s="235">
        <v>29</v>
      </c>
      <c r="E11" s="1432" t="str">
        <f>IF(OR(D11&lt;-10,D11&gt;10),"Kommentera beloppet","")</f>
        <v>Kommentera beloppet</v>
      </c>
      <c r="F11" s="2146"/>
      <c r="G11" s="2146"/>
      <c r="H11" s="801">
        <v>885</v>
      </c>
      <c r="I11" s="574">
        <v>8481</v>
      </c>
      <c r="J11" s="575" t="s">
        <v>497</v>
      </c>
      <c r="K11" s="22">
        <v>4</v>
      </c>
      <c r="L11" s="958"/>
      <c r="M11" s="2221" t="str">
        <f>IF(K16=0,"",IF(K11="","Skriv belopp eller 0",""))</f>
        <v/>
      </c>
      <c r="N11" s="4"/>
      <c r="O11" s="4"/>
      <c r="P11" s="4"/>
      <c r="Q11" s="4"/>
      <c r="R11" s="2188"/>
      <c r="S11" s="2213"/>
      <c r="T11" s="2146"/>
    </row>
    <row r="12" spans="1:20">
      <c r="A12" s="801">
        <v>640</v>
      </c>
      <c r="B12" s="570" t="s">
        <v>1097</v>
      </c>
      <c r="C12" s="563" t="s">
        <v>1098</v>
      </c>
      <c r="D12" s="235">
        <v>13</v>
      </c>
      <c r="E12" s="2173" t="str">
        <f>IF(AND(SUM(D27-G27)=0,D12&gt;200),"Kompens.ökad soc.avg. redovisas på rad 740",IF(OR(D12&lt;-10,D12&gt;10),"Kommentera beloppet",""))</f>
        <v>Kommentera beloppet</v>
      </c>
      <c r="F12" s="2146"/>
      <c r="G12" s="2146"/>
      <c r="H12" s="801">
        <v>886</v>
      </c>
      <c r="I12" s="574">
        <v>8482</v>
      </c>
      <c r="J12" s="575" t="s">
        <v>786</v>
      </c>
      <c r="K12" s="22">
        <v>2</v>
      </c>
      <c r="L12" s="958"/>
      <c r="M12" s="2221" t="str">
        <f>IF(K16=0,"",IF(K12="","Skriv belopp eller 0",""))</f>
        <v/>
      </c>
      <c r="N12" s="4"/>
      <c r="O12" s="4"/>
      <c r="P12" s="4"/>
      <c r="Q12" s="4"/>
      <c r="R12" s="2188"/>
      <c r="S12" s="2213"/>
      <c r="T12" s="2146"/>
    </row>
    <row r="13" spans="1:20" ht="13.5" thickBot="1">
      <c r="A13" s="802">
        <v>680</v>
      </c>
      <c r="B13" s="1427"/>
      <c r="C13" s="1428" t="s">
        <v>1087</v>
      </c>
      <c r="D13" s="369">
        <v>204</v>
      </c>
      <c r="E13" s="2174"/>
      <c r="F13" s="2146"/>
      <c r="G13" s="2146"/>
      <c r="H13" s="801">
        <v>887</v>
      </c>
      <c r="I13" s="574">
        <v>8498</v>
      </c>
      <c r="J13" s="575" t="s">
        <v>380</v>
      </c>
      <c r="K13" s="22">
        <v>52</v>
      </c>
      <c r="L13" s="107">
        <v>26</v>
      </c>
      <c r="M13" s="2221" t="str">
        <f>IF(K16=0,"",IF(OR(K13="",L13=""),"Skriv belopp eller 0",""))</f>
        <v/>
      </c>
      <c r="N13" s="4"/>
      <c r="O13" s="4"/>
      <c r="P13" s="4"/>
      <c r="Q13" s="4"/>
      <c r="R13" s="2188"/>
      <c r="S13" s="2213"/>
      <c r="T13" s="2146"/>
    </row>
    <row r="14" spans="1:20" ht="13.5" thickBot="1">
      <c r="A14" s="571">
        <v>690</v>
      </c>
      <c r="B14" s="576"/>
      <c r="C14" s="577" t="s">
        <v>661</v>
      </c>
      <c r="D14" s="369">
        <f>SUM(D8:D13)</f>
        <v>454635</v>
      </c>
      <c r="E14" s="2146"/>
      <c r="F14" s="2146"/>
      <c r="G14" s="2146"/>
      <c r="H14" s="558">
        <v>888</v>
      </c>
      <c r="I14" s="570" t="s">
        <v>797</v>
      </c>
      <c r="J14" s="563" t="s">
        <v>800</v>
      </c>
      <c r="K14" s="22">
        <v>2029</v>
      </c>
      <c r="L14" s="958"/>
      <c r="M14" s="2221" t="str">
        <f>IF(K16=0,"",IF(K14="","Skriv belopp eller 0",""))</f>
        <v/>
      </c>
      <c r="N14" s="1604">
        <v>889</v>
      </c>
      <c r="O14" s="1604">
        <v>8491</v>
      </c>
      <c r="P14" s="1575" t="s">
        <v>1044</v>
      </c>
      <c r="Q14" s="1576">
        <v>822</v>
      </c>
      <c r="R14" s="2173" t="str">
        <f>IF(SUM(Q14+Q15)&gt;K14,"däravrader 889+891&gt;rad888",IF(AND(K14&gt;1,Q14=""),"skriv belopp eller 0",""))</f>
        <v/>
      </c>
      <c r="S14" s="2213"/>
      <c r="T14" s="2146"/>
    </row>
    <row r="15" spans="1:20" ht="13.5" thickBot="1">
      <c r="A15" s="4"/>
      <c r="B15" s="4"/>
      <c r="C15" s="189"/>
      <c r="D15" s="4"/>
      <c r="E15" s="2146"/>
      <c r="F15" s="2146"/>
      <c r="G15" s="2146"/>
      <c r="H15" s="571">
        <v>884</v>
      </c>
      <c r="I15" s="1427">
        <v>843</v>
      </c>
      <c r="J15" s="1428" t="s">
        <v>877</v>
      </c>
      <c r="K15" s="1796">
        <v>683</v>
      </c>
      <c r="L15" s="1798">
        <v>633</v>
      </c>
      <c r="M15" s="2221" t="str">
        <f>IF(K16=0,"",IF(OR(K15="",L15=""),"Skriv belopp eller 0",""))</f>
        <v/>
      </c>
      <c r="N15" s="1605">
        <v>891</v>
      </c>
      <c r="O15" s="1605"/>
      <c r="P15" s="1423" t="s">
        <v>1047</v>
      </c>
      <c r="Q15" s="1577">
        <v>1</v>
      </c>
      <c r="R15" s="2173" t="str">
        <f>IF(AND(K14&gt;1,Q15=""),"skriv belopp eller 0","")</f>
        <v/>
      </c>
      <c r="S15" s="2225"/>
      <c r="T15" s="2146"/>
    </row>
    <row r="16" spans="1:20" ht="16.5" thickBot="1">
      <c r="A16" s="79" t="s">
        <v>795</v>
      </c>
      <c r="B16" s="4"/>
      <c r="C16" s="4"/>
      <c r="D16" s="4"/>
      <c r="E16" s="2146"/>
      <c r="F16" s="2146"/>
      <c r="G16" s="2146"/>
      <c r="H16" s="571">
        <v>890</v>
      </c>
      <c r="I16" s="572"/>
      <c r="J16" s="542" t="s">
        <v>10</v>
      </c>
      <c r="K16" s="1793">
        <f>RR!C13</f>
        <v>10677</v>
      </c>
      <c r="L16" s="1799"/>
      <c r="M16" s="2222"/>
      <c r="N16" s="4" t="str">
        <f>IF(J16&lt;&gt;"summa rad 800 - 888:","",SUM(K8:K15))</f>
        <v/>
      </c>
      <c r="O16" s="4"/>
      <c r="P16" s="4"/>
      <c r="Q16" s="4"/>
      <c r="R16" s="2146"/>
      <c r="S16" s="2188"/>
      <c r="T16" s="2146"/>
    </row>
    <row r="17" spans="1:20" ht="16.5" thickBot="1">
      <c r="A17" s="79" t="s">
        <v>796</v>
      </c>
      <c r="B17" s="4"/>
      <c r="C17" s="4"/>
      <c r="D17" s="34"/>
      <c r="E17" s="2146"/>
      <c r="F17" s="2146"/>
      <c r="G17" s="2146"/>
      <c r="H17" s="8"/>
      <c r="I17" s="1430" t="s">
        <v>1272</v>
      </c>
      <c r="J17" s="1430"/>
      <c r="K17" s="1430">
        <f>(K16-SUM(K8:K15))*-1</f>
        <v>-1</v>
      </c>
      <c r="L17" s="1430" t="str">
        <f>IF(ABS(K17)&gt;100,"eliminera differensen i kolumn K","")</f>
        <v/>
      </c>
      <c r="M17" s="1774"/>
      <c r="N17" s="2146"/>
      <c r="O17" s="2146"/>
      <c r="P17" s="2146"/>
      <c r="Q17" s="2146"/>
      <c r="R17" s="2146"/>
      <c r="S17" s="2188"/>
      <c r="T17" s="2146"/>
    </row>
    <row r="18" spans="1:20" ht="16.5" thickBot="1">
      <c r="A18" s="2269" t="s">
        <v>656</v>
      </c>
      <c r="B18" s="2269" t="s">
        <v>814</v>
      </c>
      <c r="C18" s="621"/>
      <c r="D18" s="2024" t="s">
        <v>1312</v>
      </c>
      <c r="E18" s="2146"/>
      <c r="F18" s="2146"/>
      <c r="G18" s="2146"/>
      <c r="H18" s="79" t="s">
        <v>663</v>
      </c>
      <c r="I18" s="176"/>
      <c r="J18" s="176"/>
      <c r="K18" s="176"/>
      <c r="L18" s="176"/>
      <c r="M18" s="2188"/>
      <c r="N18" s="4"/>
      <c r="O18" s="4"/>
      <c r="P18" s="4"/>
      <c r="Q18" s="4"/>
      <c r="R18" s="2146"/>
      <c r="S18" s="2188"/>
      <c r="T18" s="2146"/>
    </row>
    <row r="19" spans="1:20">
      <c r="A19" s="2270" t="s">
        <v>659</v>
      </c>
      <c r="B19" s="817"/>
      <c r="C19" s="620"/>
      <c r="D19" s="2271"/>
      <c r="E19" s="2146"/>
      <c r="F19" s="2146"/>
      <c r="G19" s="2278"/>
      <c r="H19" s="2277" t="s">
        <v>656</v>
      </c>
      <c r="I19" s="2269" t="s">
        <v>814</v>
      </c>
      <c r="J19" s="836"/>
      <c r="K19" s="1802" t="s">
        <v>658</v>
      </c>
      <c r="L19" s="2024" t="s">
        <v>785</v>
      </c>
      <c r="M19" s="1403"/>
      <c r="N19" s="2667"/>
      <c r="O19" s="2667"/>
      <c r="P19" s="2667"/>
      <c r="Q19" s="2668"/>
      <c r="R19" s="2188"/>
      <c r="S19" s="2223"/>
      <c r="T19" s="2146"/>
    </row>
    <row r="20" spans="1:20" s="186" customFormat="1" ht="15">
      <c r="A20" s="2272"/>
      <c r="B20" s="2273"/>
      <c r="C20" s="839"/>
      <c r="D20" s="842"/>
      <c r="E20" s="2155"/>
      <c r="F20" s="2155"/>
      <c r="G20" s="2155"/>
      <c r="H20" s="2279" t="s">
        <v>659</v>
      </c>
      <c r="I20" s="817"/>
      <c r="J20" s="837"/>
      <c r="K20" s="1803" t="s">
        <v>1313</v>
      </c>
      <c r="L20" s="2025" t="s">
        <v>1313</v>
      </c>
      <c r="M20" s="95"/>
      <c r="N20" s="2669"/>
      <c r="O20" s="2669"/>
      <c r="P20" s="2669"/>
      <c r="Q20" s="2668"/>
      <c r="R20" s="2192"/>
      <c r="S20" s="2214"/>
      <c r="T20" s="2155"/>
    </row>
    <row r="21" spans="1:20" s="186" customFormat="1" ht="14.25" customHeight="1">
      <c r="A21" s="558">
        <v>711</v>
      </c>
      <c r="B21" s="681">
        <v>821</v>
      </c>
      <c r="C21" s="568" t="s">
        <v>764</v>
      </c>
      <c r="D21" s="372">
        <v>73297</v>
      </c>
      <c r="E21" s="2155"/>
      <c r="F21" s="2670"/>
      <c r="G21" s="2671"/>
      <c r="H21" s="845"/>
      <c r="I21" s="846"/>
      <c r="J21" s="839"/>
      <c r="K21" s="1800"/>
      <c r="L21" s="847"/>
      <c r="M21" s="17"/>
      <c r="Q21" s="215"/>
      <c r="R21" s="2192"/>
      <c r="S21" s="2224"/>
      <c r="T21" s="2155"/>
    </row>
    <row r="22" spans="1:20" ht="14.25" customHeight="1">
      <c r="A22" s="558">
        <v>713</v>
      </c>
      <c r="B22" s="681">
        <v>822</v>
      </c>
      <c r="C22" s="568" t="s">
        <v>765</v>
      </c>
      <c r="D22" s="372">
        <v>1134</v>
      </c>
      <c r="E22" s="2146"/>
      <c r="F22" s="2672"/>
      <c r="G22" s="2671"/>
      <c r="H22" s="558">
        <v>900</v>
      </c>
      <c r="I22" s="574">
        <v>852</v>
      </c>
      <c r="J22" s="563" t="s">
        <v>841</v>
      </c>
      <c r="K22" s="458">
        <v>3639</v>
      </c>
      <c r="L22" s="106">
        <v>8414</v>
      </c>
      <c r="M22" s="2119" t="str">
        <f>IF(K30=0,"",IF(OR(K22="",L22=""),"Skriv belopp eller 0",""))</f>
        <v/>
      </c>
      <c r="N22" s="189"/>
      <c r="O22" s="189"/>
      <c r="P22" s="189"/>
      <c r="Q22" s="176"/>
      <c r="R22" s="2188"/>
      <c r="S22" s="2213"/>
      <c r="T22" s="2146"/>
    </row>
    <row r="23" spans="1:20" ht="14.25" customHeight="1">
      <c r="A23" s="558">
        <v>715</v>
      </c>
      <c r="B23" s="681">
        <v>823</v>
      </c>
      <c r="C23" s="568" t="s">
        <v>766</v>
      </c>
      <c r="D23" s="372">
        <v>259</v>
      </c>
      <c r="E23" s="2148"/>
      <c r="F23" s="2672"/>
      <c r="G23" s="2671"/>
      <c r="H23" s="558">
        <v>910</v>
      </c>
      <c r="I23" s="570">
        <v>853</v>
      </c>
      <c r="J23" s="563" t="s">
        <v>1285</v>
      </c>
      <c r="K23" s="458">
        <v>739</v>
      </c>
      <c r="L23" s="107">
        <v>697</v>
      </c>
      <c r="M23" s="2119" t="str">
        <f>IF(K30=0,"",IF(OR(K23="",L23=""),"Skriv belopp eller 0",""))</f>
        <v/>
      </c>
      <c r="N23" s="1403"/>
      <c r="O23" s="150"/>
      <c r="P23" s="268"/>
      <c r="Q23" s="132"/>
      <c r="R23" s="2188"/>
      <c r="S23" s="2213"/>
      <c r="T23" s="2146"/>
    </row>
    <row r="24" spans="1:20" ht="14.25" customHeight="1">
      <c r="A24" s="558">
        <v>717</v>
      </c>
      <c r="B24" s="681">
        <v>824</v>
      </c>
      <c r="C24" s="568" t="s">
        <v>767</v>
      </c>
      <c r="D24" s="372">
        <v>0</v>
      </c>
      <c r="E24" s="2148"/>
      <c r="F24" s="2672"/>
      <c r="G24" s="2671"/>
      <c r="H24" s="558">
        <v>920</v>
      </c>
      <c r="I24" s="840" t="s">
        <v>774</v>
      </c>
      <c r="J24" s="841" t="s">
        <v>775</v>
      </c>
      <c r="K24" s="458">
        <v>159</v>
      </c>
      <c r="L24" s="958"/>
      <c r="M24" s="2119" t="str">
        <f>IF(K30=0,"",IF(K24="","Skriv belopp eller 0",""))</f>
        <v/>
      </c>
      <c r="N24" s="4"/>
      <c r="O24" s="4"/>
      <c r="P24" s="4"/>
      <c r="Q24" s="176"/>
      <c r="R24" s="2188"/>
      <c r="S24" s="2213"/>
      <c r="T24" s="2146"/>
    </row>
    <row r="25" spans="1:20" ht="11.25" customHeight="1">
      <c r="A25" s="558">
        <v>719</v>
      </c>
      <c r="B25" s="681">
        <v>825</v>
      </c>
      <c r="C25" s="568" t="s">
        <v>768</v>
      </c>
      <c r="D25" s="372">
        <v>7186</v>
      </c>
      <c r="E25" s="2148"/>
      <c r="F25" s="2673"/>
      <c r="G25" s="2674"/>
      <c r="H25" s="558">
        <v>985</v>
      </c>
      <c r="I25" s="570">
        <v>8581</v>
      </c>
      <c r="J25" s="563" t="s">
        <v>798</v>
      </c>
      <c r="K25" s="458">
        <v>3</v>
      </c>
      <c r="L25" s="958"/>
      <c r="M25" s="2119" t="str">
        <f>IF(K30=0,"",IF(K25="","Skriv belopp eller 0",""))</f>
        <v/>
      </c>
      <c r="N25" s="4"/>
      <c r="O25" s="4"/>
      <c r="P25" s="4"/>
      <c r="Q25" s="176"/>
      <c r="R25" s="2188"/>
      <c r="S25" s="2213"/>
      <c r="T25" s="2146"/>
    </row>
    <row r="26" spans="1:20" ht="22.5" customHeight="1">
      <c r="A26" s="558">
        <v>785</v>
      </c>
      <c r="B26" s="681">
        <v>826</v>
      </c>
      <c r="C26" s="568" t="s">
        <v>769</v>
      </c>
      <c r="D26" s="372">
        <v>3902</v>
      </c>
      <c r="E26" s="2175" t="str">
        <f>IF(G27&gt;0,"Avser beloppet på rad 741 återst.tillf.stöd intäktsfört 2017?","")</f>
        <v>Avser beloppet på rad 741 återst.tillf.stöd intäktsfört 2017?</v>
      </c>
      <c r="F26" s="2117" t="s">
        <v>858</v>
      </c>
      <c r="G26" s="2118" t="s">
        <v>1296</v>
      </c>
      <c r="H26" s="558">
        <v>996</v>
      </c>
      <c r="I26" s="570">
        <v>8582</v>
      </c>
      <c r="J26" s="563" t="s">
        <v>799</v>
      </c>
      <c r="K26" s="458">
        <v>1</v>
      </c>
      <c r="L26" s="958"/>
      <c r="M26" s="2119" t="str">
        <f>IF(K30=0,"",IF(K26="","Skriv belopp eller 0",""))</f>
        <v/>
      </c>
      <c r="N26" s="4"/>
      <c r="O26" s="4"/>
      <c r="P26" s="4"/>
      <c r="Q26" s="4"/>
      <c r="R26" s="2188"/>
      <c r="S26" s="2213"/>
      <c r="T26" s="2146"/>
    </row>
    <row r="27" spans="1:20" ht="15.75" customHeight="1">
      <c r="A27" s="558">
        <v>740</v>
      </c>
      <c r="B27" s="570">
        <v>829</v>
      </c>
      <c r="C27" s="568" t="s">
        <v>879</v>
      </c>
      <c r="D27" s="235">
        <v>7938</v>
      </c>
      <c r="E27" s="2176" t="str">
        <f>IF(G27="","skriv 0 eller belopp på rad 741","")</f>
        <v/>
      </c>
      <c r="F27" s="586">
        <v>741</v>
      </c>
      <c r="G27" s="2085">
        <v>370</v>
      </c>
      <c r="H27" s="558">
        <v>997</v>
      </c>
      <c r="I27" s="570" t="s">
        <v>867</v>
      </c>
      <c r="J27" s="563" t="s">
        <v>787</v>
      </c>
      <c r="K27" s="458">
        <v>149</v>
      </c>
      <c r="L27" s="107">
        <v>151</v>
      </c>
      <c r="M27" s="2119" t="str">
        <f>IF(K30=0,"",IF(OR(K27="",L27=""),"Skriv belopp eller 0",""))</f>
        <v/>
      </c>
      <c r="N27" s="4"/>
      <c r="O27" s="4"/>
      <c r="P27" s="4"/>
      <c r="Q27" s="4"/>
      <c r="R27" s="2188"/>
      <c r="S27" s="2213"/>
      <c r="T27" s="2146"/>
    </row>
    <row r="28" spans="1:20" ht="20.25" customHeight="1" thickBot="1">
      <c r="A28" s="571">
        <v>750</v>
      </c>
      <c r="B28" s="572">
        <v>82</v>
      </c>
      <c r="C28" s="1424" t="s">
        <v>770</v>
      </c>
      <c r="D28" s="369">
        <f>SUM(D21:D27)</f>
        <v>93716</v>
      </c>
      <c r="E28" s="2177" t="str">
        <f>IF(OR(SUM(G27+G29)=D27,SUM(G27+G29)&gt;D27),"Välfärdsmiljarderna redovisas på rad 740 men inte på någon därav-rad","")</f>
        <v/>
      </c>
      <c r="F28" s="2082" t="s">
        <v>858</v>
      </c>
      <c r="G28" s="2081" t="s">
        <v>1297</v>
      </c>
      <c r="H28" s="558">
        <v>998</v>
      </c>
      <c r="I28" s="1487" t="s">
        <v>878</v>
      </c>
      <c r="J28" s="575" t="s">
        <v>801</v>
      </c>
      <c r="K28" s="458">
        <v>435</v>
      </c>
      <c r="L28" s="958"/>
      <c r="M28" s="2119" t="str">
        <f>IF(K30=0,"",IF(K28="","Skriv belopp eller 0",""))</f>
        <v/>
      </c>
      <c r="N28" s="4"/>
      <c r="O28" s="4"/>
      <c r="P28" s="4"/>
      <c r="Q28" s="4"/>
      <c r="R28" s="2188"/>
      <c r="S28" s="2226"/>
      <c r="T28" s="2146"/>
    </row>
    <row r="29" spans="1:20" ht="18" customHeight="1" thickBot="1">
      <c r="A29" s="4"/>
      <c r="B29" s="4"/>
      <c r="C29" s="4"/>
      <c r="D29" s="4"/>
      <c r="E29" s="2178" t="str">
        <f>IF(G29="","skriv 0 eller belopp på rad 742","")</f>
        <v/>
      </c>
      <c r="F29" s="586">
        <v>742</v>
      </c>
      <c r="G29" s="2085">
        <v>1789</v>
      </c>
      <c r="H29" s="571">
        <v>984</v>
      </c>
      <c r="I29" s="1427">
        <v>851</v>
      </c>
      <c r="J29" s="1428" t="s">
        <v>840</v>
      </c>
      <c r="K29" s="1801">
        <v>28</v>
      </c>
      <c r="L29" s="115">
        <v>40</v>
      </c>
      <c r="M29" s="2119" t="str">
        <f>IF(K30=0,"",IF(OR(K29="",L29=""),"Skriv belopp eller 0",""))</f>
        <v/>
      </c>
      <c r="N29" s="4"/>
      <c r="O29" s="4"/>
      <c r="P29" s="4"/>
      <c r="Q29" s="4"/>
      <c r="R29" s="2188"/>
      <c r="S29" s="2225"/>
      <c r="T29" s="2146"/>
    </row>
    <row r="30" spans="1:20" ht="19.5" customHeight="1" thickBot="1">
      <c r="A30" s="4"/>
      <c r="B30" s="4"/>
      <c r="C30" s="4"/>
      <c r="D30" s="4"/>
      <c r="E30" s="2179" t="str">
        <f>IF(G29&gt;0,"Angående byggbonus se kommentar till höger","")</f>
        <v>Angående byggbonus se kommentar till höger</v>
      </c>
      <c r="F30" s="2675"/>
      <c r="G30" s="2676"/>
      <c r="H30" s="571">
        <v>990</v>
      </c>
      <c r="I30" s="576"/>
      <c r="J30" s="577" t="s">
        <v>11</v>
      </c>
      <c r="K30" s="1566">
        <f>RR!C14</f>
        <v>5153</v>
      </c>
      <c r="L30" s="2217"/>
      <c r="M30" s="2188"/>
      <c r="N30" s="2146"/>
      <c r="O30" s="2146"/>
      <c r="P30" s="2146"/>
      <c r="Q30" s="2146"/>
      <c r="R30" s="2146"/>
      <c r="S30" s="2188"/>
      <c r="T30" s="2146"/>
    </row>
    <row r="31" spans="1:20" ht="16.5" customHeight="1" thickBot="1">
      <c r="A31" s="79" t="s">
        <v>1064</v>
      </c>
      <c r="B31" s="4"/>
      <c r="C31" s="4"/>
      <c r="D31" s="34"/>
      <c r="E31" s="2148"/>
      <c r="F31" s="2672"/>
      <c r="G31" s="2672"/>
      <c r="H31" s="2146"/>
      <c r="I31" s="1431" t="s">
        <v>910</v>
      </c>
      <c r="J31" s="1432"/>
      <c r="K31" s="1432">
        <f>(K30-SUM(K22:K29))*-1</f>
        <v>0</v>
      </c>
      <c r="L31" s="1430" t="str">
        <f>IF(ABS(K31)&gt;100,"eliminera differensen i kolumn K","")</f>
        <v/>
      </c>
      <c r="M31" s="1432"/>
      <c r="N31" s="2146"/>
      <c r="O31" s="2146"/>
      <c r="P31" s="2146"/>
      <c r="Q31" s="2146"/>
      <c r="R31" s="2146"/>
      <c r="S31" s="2188"/>
      <c r="T31" s="2146"/>
    </row>
    <row r="32" spans="1:20">
      <c r="A32" s="2269" t="s">
        <v>656</v>
      </c>
      <c r="B32" s="2269" t="s">
        <v>814</v>
      </c>
      <c r="C32" s="621"/>
      <c r="D32" s="2024" t="s">
        <v>1312</v>
      </c>
      <c r="E32" s="2148"/>
      <c r="F32" s="2672"/>
      <c r="G32" s="2672"/>
      <c r="H32" s="2146"/>
      <c r="I32" s="2146"/>
      <c r="J32" s="2146"/>
      <c r="K32" s="2146"/>
      <c r="L32" s="2146"/>
      <c r="M32" s="2146"/>
      <c r="N32" s="2146"/>
      <c r="O32" s="2146"/>
      <c r="P32" s="2146"/>
      <c r="Q32" s="2146"/>
      <c r="R32" s="2146"/>
      <c r="S32" s="2146"/>
      <c r="T32" s="2146"/>
    </row>
    <row r="33" spans="1:20">
      <c r="A33" s="2270" t="s">
        <v>659</v>
      </c>
      <c r="B33" s="817"/>
      <c r="C33" s="620"/>
      <c r="D33" s="2271"/>
      <c r="E33" s="2146"/>
      <c r="F33" s="2672"/>
      <c r="G33" s="2672"/>
      <c r="H33" s="2146"/>
      <c r="I33" s="2146"/>
      <c r="J33" s="2146"/>
      <c r="K33" s="2146"/>
      <c r="L33" s="2146"/>
      <c r="M33" s="2146"/>
      <c r="N33" s="2146"/>
      <c r="O33" s="2146"/>
      <c r="P33" s="2146"/>
      <c r="Q33" s="2146"/>
      <c r="R33" s="2146"/>
      <c r="S33" s="2146"/>
      <c r="T33" s="2146"/>
    </row>
    <row r="34" spans="1:20" ht="15">
      <c r="A34" s="2272"/>
      <c r="B34" s="2273"/>
      <c r="C34" s="839"/>
      <c r="D34" s="842"/>
      <c r="E34" s="2146"/>
      <c r="F34" s="2672"/>
      <c r="G34" s="2672"/>
      <c r="H34" s="1774"/>
      <c r="I34" s="2146"/>
      <c r="J34" s="2146"/>
      <c r="K34" s="2146"/>
      <c r="L34" s="2146"/>
      <c r="M34" s="2146"/>
      <c r="N34" s="2146"/>
      <c r="O34" s="2146"/>
      <c r="P34" s="2146"/>
      <c r="Q34" s="2146"/>
      <c r="R34" s="4"/>
      <c r="S34" s="4"/>
      <c r="T34" s="4"/>
    </row>
    <row r="35" spans="1:20">
      <c r="A35" s="801">
        <v>760</v>
      </c>
      <c r="B35" s="574">
        <v>831</v>
      </c>
      <c r="C35" s="575" t="s">
        <v>759</v>
      </c>
      <c r="D35" s="372">
        <v>7157</v>
      </c>
      <c r="E35" s="2146"/>
      <c r="F35" s="2146"/>
      <c r="G35" s="2146"/>
      <c r="H35" s="2632"/>
      <c r="I35" s="2633"/>
      <c r="J35" s="2633"/>
      <c r="K35" s="2633"/>
      <c r="L35" s="2216"/>
      <c r="M35" s="2188"/>
      <c r="N35" s="2188"/>
      <c r="O35" s="2188"/>
      <c r="P35" s="2188"/>
      <c r="Q35" s="2188"/>
    </row>
    <row r="36" spans="1:20">
      <c r="A36" s="801">
        <v>770</v>
      </c>
      <c r="B36" s="574">
        <v>834</v>
      </c>
      <c r="C36" s="575" t="s">
        <v>760</v>
      </c>
      <c r="D36" s="372">
        <v>120</v>
      </c>
      <c r="E36" s="2146"/>
      <c r="F36" s="2146"/>
      <c r="G36" s="2146"/>
      <c r="H36" s="2633"/>
      <c r="I36" s="2633"/>
      <c r="J36" s="2633"/>
      <c r="K36" s="2633"/>
      <c r="L36" s="2216"/>
      <c r="M36" s="2188"/>
      <c r="N36" s="2188"/>
      <c r="O36" s="2188"/>
      <c r="P36" s="2188"/>
      <c r="Q36" s="2188"/>
    </row>
    <row r="37" spans="1:20">
      <c r="A37" s="801">
        <v>780</v>
      </c>
      <c r="B37" s="574">
        <v>835</v>
      </c>
      <c r="C37" s="575" t="s">
        <v>761</v>
      </c>
      <c r="D37" s="373">
        <v>7168</v>
      </c>
      <c r="E37" s="2146"/>
      <c r="F37" s="2146"/>
      <c r="G37" s="2146"/>
      <c r="H37" s="2633"/>
      <c r="I37" s="2633"/>
      <c r="J37" s="2633"/>
      <c r="K37" s="2633"/>
      <c r="L37" s="2216"/>
      <c r="M37" s="2146"/>
      <c r="N37" s="2146"/>
      <c r="O37" s="2146"/>
      <c r="P37" s="2146"/>
      <c r="Q37" s="2146"/>
      <c r="R37" s="4"/>
      <c r="S37" s="4"/>
      <c r="T37" s="4"/>
    </row>
    <row r="38" spans="1:20">
      <c r="A38" s="801">
        <v>786</v>
      </c>
      <c r="B38" s="574">
        <v>836</v>
      </c>
      <c r="C38" s="575" t="s">
        <v>762</v>
      </c>
      <c r="D38" s="373">
        <v>3902</v>
      </c>
      <c r="E38" s="2146"/>
      <c r="F38" s="2146"/>
      <c r="G38" s="2146"/>
      <c r="H38" s="2633"/>
      <c r="I38" s="2633"/>
      <c r="J38" s="2633"/>
      <c r="K38" s="2633"/>
      <c r="L38" s="2216"/>
      <c r="M38" s="2146"/>
      <c r="N38" s="2146"/>
      <c r="O38" s="2146"/>
      <c r="P38" s="2146"/>
      <c r="Q38" s="2146"/>
      <c r="R38" s="4"/>
      <c r="S38" s="4"/>
      <c r="T38" s="4"/>
    </row>
    <row r="39" spans="1:20" ht="13.5" thickBot="1">
      <c r="A39" s="802">
        <v>790</v>
      </c>
      <c r="B39" s="848"/>
      <c r="C39" s="1425" t="s">
        <v>763</v>
      </c>
      <c r="D39" s="370">
        <f>SUM(D35:D38)</f>
        <v>18347</v>
      </c>
      <c r="E39" s="2174"/>
      <c r="F39" s="2146"/>
      <c r="G39" s="2146"/>
      <c r="H39" s="2146"/>
      <c r="I39" s="2146"/>
      <c r="J39" s="2146"/>
      <c r="K39" s="2146"/>
      <c r="L39" s="2146"/>
      <c r="M39" s="2146"/>
      <c r="N39" s="2146"/>
      <c r="O39" s="2146"/>
      <c r="P39" s="2146"/>
      <c r="Q39" s="2146"/>
      <c r="R39" s="4"/>
      <c r="S39" s="4"/>
      <c r="T39" s="4"/>
    </row>
    <row r="40" spans="1:20" ht="13.5" thickBot="1">
      <c r="A40" s="240"/>
      <c r="B40" s="16"/>
      <c r="C40" s="17"/>
      <c r="D40" s="18"/>
      <c r="E40" s="2174"/>
      <c r="F40" s="2146"/>
      <c r="G40" s="2146"/>
      <c r="H40" s="2146"/>
      <c r="I40" s="2146"/>
      <c r="J40" s="2146"/>
      <c r="K40" s="2146"/>
      <c r="L40" s="2146"/>
      <c r="M40" s="2146"/>
      <c r="N40" s="2146"/>
      <c r="O40" s="2146"/>
      <c r="P40" s="2146"/>
      <c r="Q40" s="2146"/>
      <c r="R40" s="4"/>
      <c r="S40" s="4"/>
      <c r="T40" s="4"/>
    </row>
    <row r="41" spans="1:20" ht="13.5" thickBot="1">
      <c r="A41" s="815">
        <v>765</v>
      </c>
      <c r="B41" s="849">
        <v>828</v>
      </c>
      <c r="C41" s="1426" t="s">
        <v>838</v>
      </c>
      <c r="D41" s="241">
        <v>16811</v>
      </c>
      <c r="E41" s="2146"/>
      <c r="F41" s="2146"/>
      <c r="G41" s="2146"/>
      <c r="H41" s="2146"/>
      <c r="I41" s="2146"/>
      <c r="J41" s="2146"/>
      <c r="K41" s="2146"/>
      <c r="L41" s="2146"/>
      <c r="M41" s="2146"/>
      <c r="N41" s="2146"/>
      <c r="O41" s="2146"/>
      <c r="P41" s="2146"/>
      <c r="Q41" s="2146"/>
      <c r="R41" s="4"/>
      <c r="S41" s="4"/>
      <c r="T41" s="4"/>
    </row>
    <row r="42" spans="1:20">
      <c r="A42" s="4"/>
      <c r="B42" s="4"/>
      <c r="C42" s="4"/>
      <c r="D42" s="4"/>
      <c r="E42" s="214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>
      <c r="A43" s="4"/>
      <c r="B43" s="4"/>
      <c r="C43" s="4"/>
      <c r="D43" s="4"/>
      <c r="E43" s="214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idden="1">
      <c r="A44" s="4"/>
      <c r="B44" s="4"/>
      <c r="C44" s="4"/>
      <c r="D44" s="4"/>
      <c r="E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</sheetData>
  <sheetProtection password="CBFD" sheet="1" objects="1" scenarios="1"/>
  <customSheetViews>
    <customSheetView guid="{27C9E95B-0E2B-454F-B637-1CECC9579A10}" showGridLines="0" hiddenRows="1" hiddenColumns="1" showRuler="0">
      <selection activeCell="K16" sqref="K16"/>
      <pageMargins left="0.70866141732283472" right="0.70866141732283472" top="0.74803149606299213" bottom="0.15748031496062992" header="0.31496062992125984" footer="0.31496062992125984"/>
      <pageSetup paperSize="9" scale="80" orientation="landscape" r:id="rId1"/>
      <headerFooter alignWithMargins="0">
        <oddHeader>&amp;L&amp;8Statistiska Centralbyrån
Offentlig ekonomi&amp;R&amp;P</oddHeader>
      </headerFooter>
    </customSheetView>
    <customSheetView guid="{99FBDEB7-DD08-4F57-81F4-3C180403E153}" showGridLines="0" hiddenRows="1" hiddenColumns="1" topLeftCell="A16">
      <selection activeCell="I42" sqref="I42"/>
      <pageMargins left="0.70866141732283472" right="0.70866141732283472" top="0.74803149606299213" bottom="0.15748031496062992" header="0.31496062992125984" footer="0.31496062992125984"/>
      <pageSetup paperSize="9" scale="80" orientation="landscape" r:id="rId2"/>
      <headerFooter>
        <oddHeader>&amp;L&amp;8Statistiska Centralbyrån
Offentlig ekonomi&amp;R&amp;P</oddHeader>
      </headerFooter>
    </customSheetView>
    <customSheetView guid="{97D6DB71-3F4C-4C5F-8C5B-51E3EBF78932}" showPageBreaks="1" showGridLines="0" hiddenRows="1" hiddenColumns="1" topLeftCell="A3">
      <selection activeCell="K29" sqref="K29"/>
      <pageMargins left="0.70866141732283472" right="0.70866141732283472" top="0.74803149606299213" bottom="0.15748031496062992" header="0.31496062992125984" footer="0.31496062992125984"/>
      <pageSetup paperSize="9" scale="80" orientation="landscape" r:id="rId3"/>
      <headerFooter>
        <oddHeader>&amp;L&amp;8Statistiska Centralbyrån
Offentlig ekonomi&amp;R&amp;P</oddHeader>
      </headerFooter>
    </customSheetView>
  </customSheetViews>
  <mergeCells count="4">
    <mergeCell ref="H35:K38"/>
    <mergeCell ref="N19:Q20"/>
    <mergeCell ref="F21:G25"/>
    <mergeCell ref="F30:G34"/>
  </mergeCells>
  <phoneticPr fontId="10" type="noConversion"/>
  <conditionalFormatting sqref="D27 D41 K8:L14 K22:L28">
    <cfRule type="cellIs" dxfId="113" priority="19" stopIfTrue="1" operator="lessThan">
      <formula>-500</formula>
    </cfRule>
  </conditionalFormatting>
  <conditionalFormatting sqref="K15:L15">
    <cfRule type="cellIs" dxfId="112" priority="18" stopIfTrue="1" operator="lessThan">
      <formula>-500</formula>
    </cfRule>
  </conditionalFormatting>
  <conditionalFormatting sqref="K29:L29">
    <cfRule type="cellIs" dxfId="111" priority="17" stopIfTrue="1" operator="lessThan">
      <formula>-500</formula>
    </cfRule>
  </conditionalFormatting>
  <conditionalFormatting sqref="I17">
    <cfRule type="expression" dxfId="110" priority="10" stopIfTrue="1">
      <formula>ABS(K17)&gt;100</formula>
    </cfRule>
  </conditionalFormatting>
  <conditionalFormatting sqref="K17:L17">
    <cfRule type="expression" dxfId="109" priority="9" stopIfTrue="1">
      <formula>ABS(K17)&gt;100</formula>
    </cfRule>
  </conditionalFormatting>
  <conditionalFormatting sqref="I31">
    <cfRule type="expression" dxfId="108" priority="8" stopIfTrue="1">
      <formula>ABS(K31)&gt;100</formula>
    </cfRule>
  </conditionalFormatting>
  <conditionalFormatting sqref="K31:L31">
    <cfRule type="expression" dxfId="107" priority="7" stopIfTrue="1">
      <formula>ABS(K31)&gt;100</formula>
    </cfRule>
  </conditionalFormatting>
  <conditionalFormatting sqref="G27">
    <cfRule type="cellIs" dxfId="106" priority="5" stopIfTrue="1" operator="lessThan">
      <formula>0</formula>
    </cfRule>
  </conditionalFormatting>
  <conditionalFormatting sqref="Q8 Q14:Q15">
    <cfRule type="cellIs" dxfId="105" priority="4" stopIfTrue="1" operator="lessThan">
      <formula>-500</formula>
    </cfRule>
  </conditionalFormatting>
  <conditionalFormatting sqref="G29">
    <cfRule type="cellIs" dxfId="104" priority="3" stopIfTrue="1" operator="lessThan">
      <formula>0</formula>
    </cfRule>
  </conditionalFormatting>
  <dataValidations disablePrompts="1" count="1">
    <dataValidation type="decimal" operator="lessThan" allowBlank="1" showInputMessage="1" showErrorMessage="1" error="Beloppet ska vara i 1000 tal kronor" sqref="K22:L29 D27 D11:D12 K8:L15 D41 G27 Q8 Q14:Q15 G29">
      <formula1>99999999</formula1>
    </dataValidation>
  </dataValidations>
  <pageMargins left="0.70866141732283472" right="0.70866141732283472" top="0.74803149606299213" bottom="0.15748031496062992" header="0.31496062992125984" footer="0.31496062992125984"/>
  <pageSetup paperSize="9" scale="80" orientation="landscape" r:id="rId4"/>
  <headerFooter>
    <oddHeader>&amp;L&amp;8Statistiska Centralbyrån
Offentlig ekonomi&amp;R&amp;P</oddHead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>
    <pageSetUpPr fitToPage="1"/>
  </sheetPr>
  <dimension ref="A1:M122"/>
  <sheetViews>
    <sheetView showGridLines="0" zoomScaleNormal="100" workbookViewId="0">
      <pane ySplit="1" topLeftCell="A2" activePane="bottomLeft" state="frozen"/>
      <selection activeCell="G1" sqref="G1"/>
      <selection pane="bottomLeft" activeCell="G12" sqref="G12"/>
    </sheetView>
  </sheetViews>
  <sheetFormatPr defaultColWidth="0" defaultRowHeight="12.75" zeroHeight="1"/>
  <cols>
    <col min="1" max="1" width="4" style="147" customWidth="1"/>
    <col min="2" max="2" width="33.7109375" style="147" customWidth="1"/>
    <col min="3" max="3" width="10.7109375" style="147" customWidth="1"/>
    <col min="4" max="4" width="11.42578125" style="147" customWidth="1"/>
    <col min="5" max="5" width="8.42578125" style="147" customWidth="1"/>
    <col min="6" max="6" width="9" style="147" customWidth="1"/>
    <col min="7" max="7" width="10" style="147" customWidth="1"/>
    <col min="8" max="8" width="10.28515625" style="147" customWidth="1"/>
    <col min="9" max="9" width="40.7109375" style="150" customWidth="1"/>
    <col min="10" max="10" width="20.28515625" style="147" customWidth="1"/>
    <col min="11" max="11" width="2.85546875" style="147" customWidth="1"/>
    <col min="12" max="12" width="4.140625" style="174" customWidth="1"/>
    <col min="13" max="13" width="3" style="174" customWidth="1"/>
    <col min="14" max="16384" width="9.140625" style="174" hidden="1"/>
  </cols>
  <sheetData>
    <row r="1" spans="1:13" s="242" customFormat="1" ht="20.25">
      <c r="A1" s="82" t="str">
        <f>"Investeringsredovisning "&amp;År&amp;", miljoner kr"</f>
        <v>Investeringsredovisning 2017, miljoner kr</v>
      </c>
      <c r="B1" s="100"/>
      <c r="C1" s="100"/>
      <c r="D1" s="100"/>
      <c r="E1" s="101"/>
      <c r="F1" s="101"/>
      <c r="G1" s="2260" t="s">
        <v>471</v>
      </c>
      <c r="H1" s="520" t="str">
        <f>'Kn Information'!A2</f>
        <v>RIKSTOTAL</v>
      </c>
      <c r="I1" s="161"/>
      <c r="J1" s="102">
        <v>1</v>
      </c>
      <c r="K1" s="102"/>
      <c r="L1" s="102"/>
      <c r="M1" s="102"/>
    </row>
    <row r="2" spans="1:13" s="242" customFormat="1" ht="12.75" customHeight="1">
      <c r="A2" s="1290"/>
      <c r="C2" s="1372"/>
      <c r="D2" s="45"/>
      <c r="H2" s="2232"/>
      <c r="I2" s="45"/>
      <c r="L2" s="243"/>
    </row>
    <row r="3" spans="1:13" s="242" customFormat="1" ht="12.75" customHeight="1" thickBot="1">
      <c r="C3" s="2231"/>
      <c r="D3" s="45"/>
      <c r="G3" s="59"/>
      <c r="H3" s="162"/>
      <c r="I3" s="45"/>
      <c r="J3" s="244"/>
      <c r="L3" s="244"/>
    </row>
    <row r="4" spans="1:13" s="242" customFormat="1" ht="43.5" customHeight="1">
      <c r="A4" s="850" t="s">
        <v>493</v>
      </c>
      <c r="B4" s="851"/>
      <c r="C4" s="2677" t="s">
        <v>1161</v>
      </c>
      <c r="D4" s="2677" t="s">
        <v>1162</v>
      </c>
      <c r="E4" s="2677" t="s">
        <v>1163</v>
      </c>
      <c r="F4" s="1809" t="s">
        <v>1164</v>
      </c>
      <c r="G4" s="2027" t="s">
        <v>1165</v>
      </c>
      <c r="H4" s="2028" t="s">
        <v>1166</v>
      </c>
      <c r="I4" s="70"/>
      <c r="J4" s="42"/>
      <c r="K4" s="244"/>
      <c r="L4" s="244"/>
    </row>
    <row r="5" spans="1:13" s="242" customFormat="1" ht="39.75" customHeight="1">
      <c r="A5" s="852"/>
      <c r="B5" s="853"/>
      <c r="C5" s="2678"/>
      <c r="D5" s="2678"/>
      <c r="E5" s="2678"/>
      <c r="F5" s="1810" t="s">
        <v>842</v>
      </c>
      <c r="G5" s="1811"/>
      <c r="H5" s="1808"/>
      <c r="I5" s="94"/>
      <c r="J5" s="1409"/>
      <c r="K5" s="244"/>
      <c r="L5" s="244"/>
    </row>
    <row r="6" spans="1:13" s="246" customFormat="1" ht="11.25">
      <c r="A6" s="590" t="s">
        <v>498</v>
      </c>
      <c r="B6" s="591" t="s">
        <v>381</v>
      </c>
      <c r="C6" s="362">
        <v>422274</v>
      </c>
      <c r="D6" s="362">
        <v>22799</v>
      </c>
      <c r="E6" s="362">
        <v>245201</v>
      </c>
      <c r="F6" s="1812">
        <v>72537</v>
      </c>
      <c r="G6" s="1813">
        <v>1112145</v>
      </c>
      <c r="H6" s="1358">
        <v>42798</v>
      </c>
      <c r="I6" s="2224"/>
      <c r="J6" s="2233"/>
      <c r="K6" s="2234"/>
      <c r="L6" s="2234"/>
      <c r="M6" s="2235"/>
    </row>
    <row r="7" spans="1:13" s="246" customFormat="1" ht="23.25" customHeight="1">
      <c r="A7" s="592" t="s">
        <v>499</v>
      </c>
      <c r="B7" s="593" t="s">
        <v>1035</v>
      </c>
      <c r="C7" s="251">
        <v>56425</v>
      </c>
      <c r="D7" s="252">
        <v>6859</v>
      </c>
      <c r="E7" s="253">
        <v>20886</v>
      </c>
      <c r="F7" s="1814">
        <v>3189</v>
      </c>
      <c r="G7" s="1912">
        <v>137142</v>
      </c>
      <c r="H7" s="1950">
        <v>6899</v>
      </c>
      <c r="I7" s="2236" t="str">
        <f>IF(C66=0,"",IF(SUM(C7+D7-C66)&gt;5000,"Summan C7+D7 är " &amp;""&amp;(ROUND(SUM(C7+D7-C66),0))&amp; " tkr högre än rad 950, kol C. Rätta eller kommentera. Avser diffen immat.anl.tillg ange även beloppsstorlek",IF(SUM(C7+D7-C66)&lt;-5000,"Summan C7+D7 är  " &amp;""&amp;(ROUND(SUM(C7+D7-C66),0))&amp; "tkr lägre än rad 950, kol C. Behöver rättas eller kommenteras","")))</f>
        <v/>
      </c>
      <c r="J7" s="2237" t="str">
        <f>IF(F7&gt;E7,"Rad 987: därav-Kol.F&gt;Kol.E","")</f>
        <v/>
      </c>
      <c r="K7" s="2234"/>
      <c r="L7" s="2234"/>
      <c r="M7" s="2235"/>
    </row>
    <row r="8" spans="1:13" s="246" customFormat="1" ht="17.25" customHeight="1">
      <c r="A8" s="594" t="s">
        <v>500</v>
      </c>
      <c r="B8" s="593" t="s">
        <v>1202</v>
      </c>
      <c r="C8" s="251">
        <v>-8317</v>
      </c>
      <c r="D8" s="252">
        <v>-170</v>
      </c>
      <c r="E8" s="253">
        <v>-1820</v>
      </c>
      <c r="F8" s="1814">
        <v>-958</v>
      </c>
      <c r="G8" s="1912">
        <v>-15729</v>
      </c>
      <c r="H8" s="1950">
        <v>-1121</v>
      </c>
      <c r="I8" s="2238"/>
      <c r="J8" s="2237" t="str">
        <f>IF(F8&lt;E8,"Rad 988: därav-kol.F&lt;Kol.E","")</f>
        <v/>
      </c>
      <c r="K8" s="2234"/>
      <c r="L8" s="2234"/>
      <c r="M8" s="2235"/>
    </row>
    <row r="9" spans="1:13" s="246" customFormat="1" ht="20.25" customHeight="1">
      <c r="A9" s="594" t="s">
        <v>501</v>
      </c>
      <c r="B9" s="593" t="s">
        <v>510</v>
      </c>
      <c r="C9" s="322">
        <v>5387</v>
      </c>
      <c r="D9" s="252">
        <v>54</v>
      </c>
      <c r="E9" s="253">
        <v>255</v>
      </c>
      <c r="F9" s="1814">
        <v>213</v>
      </c>
      <c r="G9" s="1912">
        <v>9541</v>
      </c>
      <c r="H9" s="1950">
        <v>197</v>
      </c>
      <c r="I9" s="2236" t="str">
        <f>IF(ABS(SUM(C9+D9-'Verks int o kostn'!D31))&lt;100,"",ROUND(SUM(C9+D9-'Verks int o kostn'!D31),0) &amp; " tkr diff. mellan reavinsten kol. C+D och reavinsten rad 892 i Verks.int.o kostn - ska överensstämma")</f>
        <v>603 tkr diff. mellan reavinsten kol. C+D och reavinsten rad 892 i Verks.int.o kostn - ska överensstämma</v>
      </c>
      <c r="J9" s="2239" t="str">
        <f>IF(F9&gt;E9,"Rad 989: därav-kol.F&gt;kol.E","")</f>
        <v/>
      </c>
      <c r="K9" s="2234"/>
      <c r="L9" s="2234"/>
      <c r="M9" s="2235"/>
    </row>
    <row r="10" spans="1:13" s="246" customFormat="1" ht="21" customHeight="1">
      <c r="A10" s="594" t="s">
        <v>365</v>
      </c>
      <c r="B10" s="593" t="s">
        <v>1224</v>
      </c>
      <c r="C10" s="322">
        <v>-366</v>
      </c>
      <c r="D10" s="252">
        <v>-29</v>
      </c>
      <c r="E10" s="253">
        <v>-84</v>
      </c>
      <c r="F10" s="1814">
        <v>-84</v>
      </c>
      <c r="G10" s="1912">
        <v>-1530</v>
      </c>
      <c r="H10" s="1950">
        <v>-8</v>
      </c>
      <c r="I10" s="2236" t="str">
        <f>IF((ABS(SUM(-1*(C10+D10)-'Verks int o kostn'!D71))&lt;100),"",ROUND(SUM(-1*(C10+D10)-'Verks int o kostn'!D71),0)&amp;" tkr diff mellan reaförlusten kol. C+D och reaförl. rad 897 i Verks.int. o kostn. - ska överensstämma")</f>
        <v/>
      </c>
      <c r="J10" s="2239" t="str">
        <f>IF(F10&lt;E10,"Rad 990: därav-kol.F&lt;Kol.E","")</f>
        <v/>
      </c>
      <c r="K10" s="2234"/>
      <c r="L10" s="2234"/>
      <c r="M10" s="2235"/>
    </row>
    <row r="11" spans="1:13" s="246" customFormat="1" ht="12.75" customHeight="1">
      <c r="A11" s="594" t="s">
        <v>366</v>
      </c>
      <c r="B11" s="593" t="s">
        <v>362</v>
      </c>
      <c r="C11" s="251">
        <v>-16913</v>
      </c>
      <c r="D11" s="252">
        <v>-5393</v>
      </c>
      <c r="E11" s="1567">
        <v>-8</v>
      </c>
      <c r="F11" s="1815">
        <v>-4</v>
      </c>
      <c r="G11" s="1912">
        <v>-49560</v>
      </c>
      <c r="H11" s="1950">
        <v>-11</v>
      </c>
      <c r="I11" s="2238" t="str">
        <f>IF(E11&lt;-100,"Kommentera beloppet i kol. E","")</f>
        <v/>
      </c>
      <c r="J11" s="2240" t="str">
        <f>IF(F11&lt;E11,"Rad 991: därav-Kol.F&lt;Kol.E","")</f>
        <v/>
      </c>
      <c r="K11" s="2234"/>
      <c r="L11" s="2234"/>
      <c r="M11" s="2235"/>
    </row>
    <row r="12" spans="1:13" s="246" customFormat="1" ht="12.75" customHeight="1">
      <c r="A12" s="594" t="s">
        <v>367</v>
      </c>
      <c r="B12" s="593" t="s">
        <v>155</v>
      </c>
      <c r="C12" s="254">
        <v>-779</v>
      </c>
      <c r="D12" s="255">
        <v>-26</v>
      </c>
      <c r="E12" s="54">
        <v>-329</v>
      </c>
      <c r="F12" s="1632">
        <v>-10</v>
      </c>
      <c r="G12" s="1912">
        <v>-1465</v>
      </c>
      <c r="H12" s="1950">
        <v>-46</v>
      </c>
      <c r="I12" s="2241"/>
      <c r="J12" s="2242"/>
      <c r="K12" s="2234"/>
      <c r="L12" s="2234"/>
      <c r="M12" s="2235"/>
    </row>
    <row r="13" spans="1:13" s="246" customFormat="1" ht="12.75" customHeight="1">
      <c r="A13" s="595" t="s">
        <v>368</v>
      </c>
      <c r="B13" s="593" t="s">
        <v>363</v>
      </c>
      <c r="C13" s="251">
        <v>-589</v>
      </c>
      <c r="D13" s="252">
        <v>-317</v>
      </c>
      <c r="E13" s="253">
        <v>-668</v>
      </c>
      <c r="F13" s="1814">
        <v>-118</v>
      </c>
      <c r="G13" s="1912">
        <v>-675</v>
      </c>
      <c r="H13" s="1950">
        <v>-1255</v>
      </c>
      <c r="I13" s="2243" t="str">
        <f>IF(OR(C13&gt;100,C13&lt;-100),"Kommentera Omklassificeringar",IF(OR(D13&gt;100,D13&lt;-100),"Kommentera Omklassificeringar",IF(OR(E13&gt;100,E13&lt;-100),"Kommentera Omklassificeringar",IF(OR(F13&gt;100,F13&lt;-100),"Kommentera Omklassificeringar",""))))</f>
        <v>Kommentera Omklassificeringar</v>
      </c>
      <c r="J13" s="2244"/>
      <c r="K13" s="2245"/>
      <c r="L13" s="2245"/>
      <c r="M13" s="2235"/>
    </row>
    <row r="14" spans="1:13" s="246" customFormat="1" ht="12.75" customHeight="1">
      <c r="A14" s="594" t="s">
        <v>369</v>
      </c>
      <c r="B14" s="593" t="s">
        <v>364</v>
      </c>
      <c r="C14" s="251">
        <v>212</v>
      </c>
      <c r="D14" s="252">
        <v>191</v>
      </c>
      <c r="E14" s="253">
        <v>-3639</v>
      </c>
      <c r="F14" s="1814">
        <v>604</v>
      </c>
      <c r="G14" s="1912">
        <v>1404</v>
      </c>
      <c r="H14" s="1950">
        <v>-885</v>
      </c>
      <c r="I14" s="2244" t="str">
        <f>IF(OR(C14&gt;100,C14&lt;-500),"Kommentera Övriga förändringar",IF(OR(D14&gt;500,D14&lt;-100),"Kommentera Övriga förändringar",IF(OR(E14&gt;500,E14&lt;-100),"Kommentera Övriga förändringar",IF(OR(F14&gt;500,F14&lt;-500),"Kommentera Övriga förändringar",""))))</f>
        <v>Kommentera Övriga förändringar</v>
      </c>
      <c r="J14" s="2244"/>
      <c r="K14" s="2245"/>
      <c r="L14" s="2245"/>
      <c r="M14" s="2235"/>
    </row>
    <row r="15" spans="1:13" s="246" customFormat="1" ht="12" thickBot="1">
      <c r="A15" s="596" t="s">
        <v>370</v>
      </c>
      <c r="B15" s="597" t="s">
        <v>382</v>
      </c>
      <c r="C15" s="309">
        <f>BR!D10</f>
        <v>457334</v>
      </c>
      <c r="D15" s="310">
        <f>BR!D11</f>
        <v>23968</v>
      </c>
      <c r="E15" s="310">
        <f>BR!D17</f>
        <v>259794</v>
      </c>
      <c r="F15" s="1816">
        <f>BR!D13</f>
        <v>75369</v>
      </c>
      <c r="G15" s="1817">
        <f>BR!E12</f>
        <v>1191274</v>
      </c>
      <c r="H15" s="1807">
        <f>BR!E17</f>
        <v>46568</v>
      </c>
      <c r="I15" s="1568"/>
      <c r="J15" s="1562"/>
      <c r="K15" s="245"/>
      <c r="L15" s="245"/>
    </row>
    <row r="16" spans="1:13" s="246" customFormat="1" ht="37.5" customHeight="1">
      <c r="A16" s="60"/>
      <c r="B16" s="2246"/>
      <c r="C16" s="2247" t="str">
        <f>IF(ABS(SUM(C6:C14)-C15)&gt;100,"Diff mot BR rad 021","")</f>
        <v/>
      </c>
      <c r="D16" s="2247" t="str">
        <f>IF(ABS(SUM(D6:D14)-D15)&gt;100,"Diff mot BR rad 023","")</f>
        <v/>
      </c>
      <c r="E16" s="2247" t="str">
        <f>IF(ABS(SUM(E6:E14)-E15)&gt;100,"Diff mot BR rad 035","")</f>
        <v/>
      </c>
      <c r="F16" s="2247" t="str">
        <f>IF(ABS(SUM(F6:F14)-F15)&gt;100,"Diff mot BR rad 036","")</f>
        <v/>
      </c>
      <c r="G16" s="2136" t="str">
        <f>IF(ABS(SUM(G6:G14)-G15)&gt;100,"Diff mot BR rad 025","")</f>
        <v/>
      </c>
      <c r="H16" s="2248" t="str">
        <f>IF(ABS(SUM(H6:H14)-H15)&gt;100,"Diff mot BR rad 035","")</f>
        <v/>
      </c>
      <c r="I16" s="2663"/>
      <c r="J16" s="2679"/>
      <c r="K16" s="2679"/>
      <c r="L16" s="2679"/>
    </row>
    <row r="17" spans="1:12" ht="16.5" customHeight="1">
      <c r="A17" s="296"/>
      <c r="B17" s="209"/>
      <c r="C17" s="42" t="str">
        <f>IF(C16&lt;&gt;"diff mot BR rad 021","",C15-SUM(C6:C14))</f>
        <v/>
      </c>
      <c r="D17" s="42" t="str">
        <f>IF(D16&lt;&gt;"diff mot BR rad 023","",D15-SUM(D6:D14))</f>
        <v/>
      </c>
      <c r="E17" s="42" t="str">
        <f>IF(E16&lt;&gt;"diff mot BR rad 035","",E15-SUM(E6:E14))</f>
        <v/>
      </c>
      <c r="F17" s="42" t="str">
        <f>IF(F16&lt;&gt;"diff mot BR rad 036","",F15-SUM(F6:F14))</f>
        <v/>
      </c>
      <c r="G17" s="1911" t="str">
        <f>IF(G16&lt;&gt;"diff mot BR rad 025","",G15-SUM(G6:G14))</f>
        <v/>
      </c>
      <c r="H17" s="1911" t="str">
        <f>IF(H16&lt;&gt;"diff mot BR rad 035","",H15-SUM(H6:H14))</f>
        <v/>
      </c>
      <c r="I17" s="45"/>
      <c r="J17" s="45"/>
      <c r="K17" s="4"/>
      <c r="L17" s="175"/>
    </row>
    <row r="18" spans="1:12" ht="20.25" customHeight="1">
      <c r="A18" s="1590" t="s">
        <v>1067</v>
      </c>
      <c r="B18" s="1589"/>
      <c r="C18" s="1589"/>
      <c r="D18" s="1589"/>
      <c r="E18" s="1589"/>
      <c r="F18" s="1589"/>
      <c r="G18" s="1589"/>
      <c r="H18" s="1589"/>
      <c r="I18" s="1589"/>
      <c r="J18" s="2281"/>
      <c r="K18" s="2280"/>
      <c r="L18" s="2280"/>
    </row>
    <row r="19" spans="1:12" s="248" customFormat="1" ht="22.5" customHeight="1" thickBot="1">
      <c r="A19" s="1561" t="s">
        <v>1315</v>
      </c>
      <c r="B19" s="247"/>
      <c r="C19" s="61"/>
      <c r="D19" s="62"/>
      <c r="E19" s="63"/>
      <c r="F19" s="63"/>
      <c r="G19" s="63"/>
      <c r="H19" s="63"/>
      <c r="I19" s="163"/>
      <c r="J19" s="160"/>
      <c r="K19" s="64"/>
      <c r="L19" s="247"/>
    </row>
    <row r="20" spans="1:12" ht="14.25" customHeight="1">
      <c r="A20" s="854" t="s">
        <v>656</v>
      </c>
      <c r="B20" s="855" t="s">
        <v>16</v>
      </c>
      <c r="C20" s="1563" t="s">
        <v>1040</v>
      </c>
      <c r="D20" s="856" t="s">
        <v>175</v>
      </c>
      <c r="E20" s="857"/>
      <c r="F20" s="857"/>
      <c r="G20" s="1963"/>
      <c r="H20" s="1964"/>
      <c r="I20" s="38"/>
      <c r="J20" s="38"/>
      <c r="K20" s="43"/>
      <c r="L20" s="4"/>
    </row>
    <row r="21" spans="1:12" ht="27.75" customHeight="1">
      <c r="A21" s="858" t="s">
        <v>659</v>
      </c>
      <c r="B21" s="818"/>
      <c r="C21" s="1564" t="s">
        <v>1041</v>
      </c>
      <c r="D21" s="1560" t="s">
        <v>1142</v>
      </c>
      <c r="E21" s="1560" t="s">
        <v>1038</v>
      </c>
      <c r="F21" s="1951" t="s">
        <v>1039</v>
      </c>
      <c r="G21" s="1965"/>
      <c r="H21" s="1966"/>
      <c r="I21" s="8"/>
      <c r="J21" s="65"/>
      <c r="K21" s="43"/>
      <c r="L21" s="4"/>
    </row>
    <row r="22" spans="1:12">
      <c r="A22" s="858"/>
      <c r="B22" s="860"/>
      <c r="C22" s="861"/>
      <c r="D22" s="859" t="s">
        <v>1143</v>
      </c>
      <c r="E22" s="917" t="s">
        <v>176</v>
      </c>
      <c r="F22" s="1952" t="s">
        <v>177</v>
      </c>
      <c r="G22" s="1967"/>
      <c r="H22" s="1968"/>
      <c r="I22" s="8"/>
      <c r="J22" s="65"/>
      <c r="K22" s="43"/>
      <c r="L22" s="4"/>
    </row>
    <row r="23" spans="1:12" ht="36" customHeight="1">
      <c r="A23" s="862"/>
      <c r="B23" s="863"/>
      <c r="C23" s="864"/>
      <c r="D23" s="1682" t="s">
        <v>1146</v>
      </c>
      <c r="E23" s="1683" t="s">
        <v>1144</v>
      </c>
      <c r="F23" s="1953" t="s">
        <v>1145</v>
      </c>
      <c r="G23" s="1969"/>
      <c r="H23" s="1619"/>
      <c r="I23" s="8"/>
      <c r="J23" s="8"/>
      <c r="K23" s="43"/>
      <c r="L23" s="4"/>
    </row>
    <row r="24" spans="1:12">
      <c r="A24" s="865"/>
      <c r="B24" s="866" t="s">
        <v>17</v>
      </c>
      <c r="C24" s="867"/>
      <c r="D24" s="867"/>
      <c r="E24" s="867"/>
      <c r="F24" s="1954"/>
      <c r="G24" s="2249"/>
      <c r="H24" s="2250"/>
      <c r="I24" s="2251"/>
      <c r="J24" s="2252"/>
      <c r="K24" s="164"/>
      <c r="L24" s="164"/>
    </row>
    <row r="25" spans="1:12">
      <c r="A25" s="2067" t="s">
        <v>223</v>
      </c>
      <c r="B25" s="602" t="s">
        <v>18</v>
      </c>
      <c r="C25" s="256">
        <v>106</v>
      </c>
      <c r="D25" s="256">
        <v>62</v>
      </c>
      <c r="E25" s="256">
        <v>12</v>
      </c>
      <c r="F25" s="1955">
        <v>23</v>
      </c>
      <c r="G25" s="2253" t="str">
        <f>IF(SUM(D25:F25)&gt;(C25+100),"Summa kol.D+kol.E+kol.F &gt; Kol.C","")</f>
        <v/>
      </c>
      <c r="H25" s="2237"/>
      <c r="I25" s="2254"/>
      <c r="J25" s="2254"/>
      <c r="K25" s="320"/>
      <c r="L25" s="183"/>
    </row>
    <row r="26" spans="1:12" ht="18.75">
      <c r="A26" s="868" t="s">
        <v>224</v>
      </c>
      <c r="B26" s="605" t="s">
        <v>1264</v>
      </c>
      <c r="C26" s="19">
        <v>6753</v>
      </c>
      <c r="D26" s="19">
        <v>4139</v>
      </c>
      <c r="E26" s="19">
        <v>84</v>
      </c>
      <c r="F26" s="458">
        <v>2205</v>
      </c>
      <c r="G26" s="2253" t="str">
        <f t="shared" ref="G26:G65" si="0">IF(SUM(D26:F26)&gt;(C26+100),"Summa kol.D+kol.E+kol.F &gt; Kol.C","")</f>
        <v/>
      </c>
      <c r="H26" s="2237"/>
      <c r="I26" s="2254"/>
      <c r="J26" s="2254"/>
      <c r="K26" s="320"/>
      <c r="L26" s="183"/>
    </row>
    <row r="27" spans="1:12">
      <c r="A27" s="594" t="s">
        <v>356</v>
      </c>
      <c r="B27" s="563" t="s">
        <v>178</v>
      </c>
      <c r="C27" s="19">
        <v>188</v>
      </c>
      <c r="D27" s="19">
        <v>143</v>
      </c>
      <c r="E27" s="19">
        <v>12</v>
      </c>
      <c r="F27" s="458">
        <v>12</v>
      </c>
      <c r="G27" s="2253" t="str">
        <f t="shared" si="0"/>
        <v/>
      </c>
      <c r="H27" s="2237"/>
      <c r="I27" s="2254"/>
      <c r="J27" s="2254"/>
      <c r="K27" s="320"/>
      <c r="L27" s="183"/>
    </row>
    <row r="28" spans="1:12">
      <c r="A28" s="594" t="s">
        <v>227</v>
      </c>
      <c r="B28" s="563" t="s">
        <v>932</v>
      </c>
      <c r="C28" s="19">
        <v>12011</v>
      </c>
      <c r="D28" s="19">
        <v>10878</v>
      </c>
      <c r="E28" s="19">
        <v>186</v>
      </c>
      <c r="F28" s="458">
        <v>241</v>
      </c>
      <c r="G28" s="2253" t="str">
        <f t="shared" si="0"/>
        <v/>
      </c>
      <c r="H28" s="2237"/>
      <c r="I28" s="2254"/>
      <c r="J28" s="2254"/>
      <c r="K28" s="320"/>
      <c r="L28" s="183"/>
    </row>
    <row r="29" spans="1:12">
      <c r="A29" s="594" t="s">
        <v>228</v>
      </c>
      <c r="B29" s="563" t="s">
        <v>19</v>
      </c>
      <c r="C29" s="19">
        <v>1452</v>
      </c>
      <c r="D29" s="19">
        <v>1112</v>
      </c>
      <c r="E29" s="19">
        <v>107</v>
      </c>
      <c r="F29" s="458">
        <v>15</v>
      </c>
      <c r="G29" s="2253" t="str">
        <f t="shared" si="0"/>
        <v/>
      </c>
      <c r="H29" s="2237"/>
      <c r="I29" s="2254"/>
      <c r="J29" s="2254"/>
      <c r="K29" s="320"/>
      <c r="L29" s="183"/>
    </row>
    <row r="30" spans="1:12">
      <c r="A30" s="594" t="s">
        <v>357</v>
      </c>
      <c r="B30" s="563" t="s">
        <v>180</v>
      </c>
      <c r="C30" s="19">
        <v>142</v>
      </c>
      <c r="D30" s="19">
        <v>107</v>
      </c>
      <c r="E30" s="19">
        <v>16</v>
      </c>
      <c r="F30" s="458">
        <v>0</v>
      </c>
      <c r="G30" s="2253" t="str">
        <f t="shared" si="0"/>
        <v/>
      </c>
      <c r="H30" s="2237"/>
      <c r="I30" s="2254"/>
      <c r="J30" s="2254"/>
      <c r="K30" s="320"/>
      <c r="L30" s="183"/>
    </row>
    <row r="31" spans="1:12">
      <c r="A31" s="594" t="s">
        <v>232</v>
      </c>
      <c r="B31" s="563" t="s">
        <v>20</v>
      </c>
      <c r="C31" s="19">
        <v>390</v>
      </c>
      <c r="D31" s="19">
        <v>129</v>
      </c>
      <c r="E31" s="19">
        <v>229</v>
      </c>
      <c r="F31" s="458">
        <v>10</v>
      </c>
      <c r="G31" s="2253" t="str">
        <f t="shared" si="0"/>
        <v/>
      </c>
      <c r="H31" s="2237"/>
      <c r="I31" s="2254"/>
      <c r="J31" s="2254"/>
      <c r="K31" s="320"/>
      <c r="L31" s="183"/>
    </row>
    <row r="32" spans="1:12">
      <c r="A32" s="594" t="s">
        <v>233</v>
      </c>
      <c r="B32" s="563" t="s">
        <v>181</v>
      </c>
      <c r="C32" s="19">
        <v>78</v>
      </c>
      <c r="D32" s="19">
        <v>31</v>
      </c>
      <c r="E32" s="19">
        <v>5</v>
      </c>
      <c r="F32" s="458">
        <v>39</v>
      </c>
      <c r="G32" s="2253" t="str">
        <f t="shared" si="0"/>
        <v/>
      </c>
      <c r="H32" s="2237"/>
      <c r="I32" s="2254"/>
      <c r="J32" s="2254"/>
      <c r="K32" s="320"/>
      <c r="L32" s="183"/>
    </row>
    <row r="33" spans="1:12">
      <c r="A33" s="601" t="s">
        <v>234</v>
      </c>
      <c r="B33" s="602" t="s">
        <v>182</v>
      </c>
      <c r="C33" s="376">
        <f>SUM(C26:C32)</f>
        <v>21014</v>
      </c>
      <c r="D33" s="376">
        <f>SUM(D26:D32)</f>
        <v>16539</v>
      </c>
      <c r="E33" s="376">
        <f>SUM(E26:E32)</f>
        <v>639</v>
      </c>
      <c r="F33" s="1956">
        <f>SUM(F26:F32)</f>
        <v>2522</v>
      </c>
      <c r="G33" s="2253"/>
      <c r="H33" s="2237"/>
      <c r="I33" s="2254"/>
      <c r="J33" s="2254"/>
      <c r="K33" s="321"/>
      <c r="L33" s="183"/>
    </row>
    <row r="34" spans="1:12">
      <c r="A34" s="603" t="s">
        <v>244</v>
      </c>
      <c r="B34" s="604" t="s">
        <v>183</v>
      </c>
      <c r="C34" s="257">
        <v>4148</v>
      </c>
      <c r="D34" s="257">
        <v>3326</v>
      </c>
      <c r="E34" s="257">
        <v>430</v>
      </c>
      <c r="F34" s="1957">
        <v>113</v>
      </c>
      <c r="G34" s="2253" t="str">
        <f t="shared" si="0"/>
        <v/>
      </c>
      <c r="H34" s="2237"/>
      <c r="I34" s="2254"/>
      <c r="J34" s="2254"/>
      <c r="K34" s="320"/>
      <c r="L34" s="183"/>
    </row>
    <row r="35" spans="1:12" ht="18.75">
      <c r="A35" s="869" t="s">
        <v>250</v>
      </c>
      <c r="B35" s="1314" t="s">
        <v>809</v>
      </c>
      <c r="C35" s="256">
        <v>3611</v>
      </c>
      <c r="D35" s="256">
        <v>3128</v>
      </c>
      <c r="E35" s="256">
        <v>287</v>
      </c>
      <c r="F35" s="1955">
        <v>26</v>
      </c>
      <c r="G35" s="2253" t="str">
        <f t="shared" si="0"/>
        <v/>
      </c>
      <c r="H35" s="2237"/>
      <c r="I35" s="2254"/>
      <c r="J35" s="2254"/>
      <c r="K35" s="320"/>
      <c r="L35" s="183"/>
    </row>
    <row r="36" spans="1:12">
      <c r="A36" s="598"/>
      <c r="B36" s="599" t="s">
        <v>184</v>
      </c>
      <c r="C36" s="870"/>
      <c r="D36" s="870"/>
      <c r="E36" s="870"/>
      <c r="F36" s="1958"/>
      <c r="G36" s="2253"/>
      <c r="H36" s="2237"/>
      <c r="I36" s="2254"/>
      <c r="J36" s="2254"/>
      <c r="K36" s="320"/>
      <c r="L36" s="183"/>
    </row>
    <row r="37" spans="1:12">
      <c r="A37" s="592" t="s">
        <v>406</v>
      </c>
      <c r="B37" s="600" t="s">
        <v>794</v>
      </c>
      <c r="C37" s="19">
        <v>8981</v>
      </c>
      <c r="D37" s="19">
        <v>7657</v>
      </c>
      <c r="E37" s="19">
        <v>913</v>
      </c>
      <c r="F37" s="458">
        <v>98</v>
      </c>
      <c r="G37" s="2253" t="str">
        <f t="shared" si="0"/>
        <v/>
      </c>
      <c r="H37" s="2237"/>
      <c r="I37" s="2254"/>
      <c r="J37" s="2254"/>
      <c r="K37" s="320"/>
      <c r="L37" s="183"/>
    </row>
    <row r="38" spans="1:12">
      <c r="A38" s="594" t="s">
        <v>358</v>
      </c>
      <c r="B38" s="563" t="s">
        <v>185</v>
      </c>
      <c r="C38" s="19">
        <v>1209</v>
      </c>
      <c r="D38" s="19">
        <v>836</v>
      </c>
      <c r="E38" s="19">
        <v>291</v>
      </c>
      <c r="F38" s="458">
        <v>11</v>
      </c>
      <c r="G38" s="2253" t="str">
        <f t="shared" si="0"/>
        <v/>
      </c>
      <c r="H38" s="2237"/>
      <c r="I38" s="2254"/>
      <c r="J38" s="2254"/>
      <c r="K38" s="320"/>
      <c r="L38" s="183"/>
    </row>
    <row r="39" spans="1:12">
      <c r="A39" s="592" t="s">
        <v>359</v>
      </c>
      <c r="B39" s="563" t="s">
        <v>21</v>
      </c>
      <c r="C39" s="19">
        <v>131</v>
      </c>
      <c r="D39" s="19">
        <v>58</v>
      </c>
      <c r="E39" s="19">
        <v>59</v>
      </c>
      <c r="F39" s="458">
        <v>0</v>
      </c>
      <c r="G39" s="2253" t="str">
        <f t="shared" si="0"/>
        <v/>
      </c>
      <c r="H39" s="2237"/>
      <c r="I39" s="2254"/>
      <c r="J39" s="2254"/>
      <c r="K39" s="320"/>
      <c r="L39" s="320"/>
    </row>
    <row r="40" spans="1:12">
      <c r="A40" s="601" t="s">
        <v>259</v>
      </c>
      <c r="B40" s="602" t="s">
        <v>22</v>
      </c>
      <c r="C40" s="376">
        <f>SUM(C37:C39)</f>
        <v>10321</v>
      </c>
      <c r="D40" s="376">
        <f>SUM(D37:D39)</f>
        <v>8551</v>
      </c>
      <c r="E40" s="376">
        <f>SUM(E37:E39)</f>
        <v>1263</v>
      </c>
      <c r="F40" s="1956">
        <f>SUM(F37:F39)</f>
        <v>109</v>
      </c>
      <c r="G40" s="2253"/>
      <c r="H40" s="2237"/>
      <c r="I40" s="2254"/>
      <c r="J40" s="2254"/>
      <c r="K40" s="320"/>
      <c r="L40" s="320"/>
    </row>
    <row r="41" spans="1:12">
      <c r="A41" s="603" t="s">
        <v>260</v>
      </c>
      <c r="B41" s="604" t="s">
        <v>186</v>
      </c>
      <c r="C41" s="376">
        <f>C35+C40</f>
        <v>13932</v>
      </c>
      <c r="D41" s="376">
        <f>D35+D40</f>
        <v>11679</v>
      </c>
      <c r="E41" s="376">
        <f>E35+E40</f>
        <v>1550</v>
      </c>
      <c r="F41" s="1959">
        <f>F35+F40</f>
        <v>135</v>
      </c>
      <c r="G41" s="2253"/>
      <c r="H41" s="2237"/>
      <c r="I41" s="2254"/>
      <c r="J41" s="2254"/>
      <c r="K41" s="320"/>
      <c r="L41" s="320"/>
    </row>
    <row r="42" spans="1:12" ht="18.75">
      <c r="A42" s="590" t="s">
        <v>261</v>
      </c>
      <c r="B42" s="605" t="s">
        <v>187</v>
      </c>
      <c r="C42" s="19">
        <v>15</v>
      </c>
      <c r="D42" s="19">
        <v>10</v>
      </c>
      <c r="E42" s="19">
        <v>4</v>
      </c>
      <c r="F42" s="458">
        <v>0</v>
      </c>
      <c r="G42" s="2253" t="str">
        <f t="shared" si="0"/>
        <v/>
      </c>
      <c r="H42" s="2237"/>
      <c r="I42" s="2254"/>
      <c r="J42" s="2254"/>
      <c r="K42" s="320"/>
      <c r="L42" s="320"/>
    </row>
    <row r="43" spans="1:12">
      <c r="A43" s="606" t="s">
        <v>262</v>
      </c>
      <c r="B43" s="563" t="s">
        <v>102</v>
      </c>
      <c r="C43" s="19">
        <v>72</v>
      </c>
      <c r="D43" s="19">
        <v>42</v>
      </c>
      <c r="E43" s="19">
        <v>17</v>
      </c>
      <c r="F43" s="458">
        <v>1</v>
      </c>
      <c r="G43" s="2253" t="str">
        <f t="shared" si="0"/>
        <v/>
      </c>
      <c r="H43" s="2237"/>
      <c r="I43" s="2254"/>
      <c r="J43" s="2254"/>
      <c r="K43" s="320"/>
      <c r="L43" s="183"/>
    </row>
    <row r="44" spans="1:12">
      <c r="A44" s="594" t="s">
        <v>448</v>
      </c>
      <c r="B44" s="607" t="s">
        <v>505</v>
      </c>
      <c r="C44" s="496">
        <v>2560</v>
      </c>
      <c r="D44" s="19">
        <v>1960</v>
      </c>
      <c r="E44" s="19">
        <v>410</v>
      </c>
      <c r="F44" s="458">
        <v>63</v>
      </c>
      <c r="G44" s="2253" t="str">
        <f t="shared" si="0"/>
        <v/>
      </c>
      <c r="H44" s="2237"/>
      <c r="I44" s="2254"/>
      <c r="J44" s="2254"/>
      <c r="K44" s="320"/>
      <c r="L44" s="183"/>
    </row>
    <row r="45" spans="1:12" ht="18.75">
      <c r="A45" s="594" t="s">
        <v>518</v>
      </c>
      <c r="B45" s="600" t="s">
        <v>519</v>
      </c>
      <c r="C45" s="496">
        <v>600</v>
      </c>
      <c r="D45" s="19">
        <v>446</v>
      </c>
      <c r="E45" s="19">
        <v>88</v>
      </c>
      <c r="F45" s="458">
        <v>32</v>
      </c>
      <c r="G45" s="2253" t="str">
        <f t="shared" si="0"/>
        <v/>
      </c>
      <c r="H45" s="2237"/>
      <c r="I45" s="2254"/>
      <c r="J45" s="2254"/>
      <c r="K45" s="320"/>
      <c r="L45" s="183"/>
    </row>
    <row r="46" spans="1:12">
      <c r="A46" s="594" t="s">
        <v>360</v>
      </c>
      <c r="B46" s="563" t="s">
        <v>188</v>
      </c>
      <c r="C46" s="19">
        <v>142</v>
      </c>
      <c r="D46" s="19">
        <v>69</v>
      </c>
      <c r="E46" s="19">
        <v>47</v>
      </c>
      <c r="F46" s="458">
        <v>7</v>
      </c>
      <c r="G46" s="2253" t="str">
        <f t="shared" si="0"/>
        <v/>
      </c>
      <c r="H46" s="2237"/>
      <c r="I46" s="2254"/>
      <c r="J46" s="2254"/>
      <c r="K46" s="320"/>
      <c r="L46" s="183"/>
    </row>
    <row r="47" spans="1:12">
      <c r="A47" s="601" t="s">
        <v>361</v>
      </c>
      <c r="B47" s="871" t="s">
        <v>189</v>
      </c>
      <c r="C47" s="376">
        <f>SUM(C42:C46)</f>
        <v>3389</v>
      </c>
      <c r="D47" s="376">
        <f>SUM(D42:D46)</f>
        <v>2527</v>
      </c>
      <c r="E47" s="376">
        <f>SUM(E42:E46)</f>
        <v>566</v>
      </c>
      <c r="F47" s="1956">
        <f>SUM(F42:F46)</f>
        <v>103</v>
      </c>
      <c r="G47" s="2253"/>
      <c r="H47" s="2237"/>
      <c r="I47" s="2254"/>
      <c r="J47" s="2254"/>
      <c r="K47" s="321"/>
      <c r="L47" s="183"/>
    </row>
    <row r="48" spans="1:12">
      <c r="A48" s="603" t="s">
        <v>267</v>
      </c>
      <c r="B48" s="604" t="s">
        <v>190</v>
      </c>
      <c r="C48" s="257">
        <v>350</v>
      </c>
      <c r="D48" s="257">
        <v>250</v>
      </c>
      <c r="E48" s="257">
        <v>32</v>
      </c>
      <c r="F48" s="1957">
        <v>53</v>
      </c>
      <c r="G48" s="2253" t="str">
        <f t="shared" si="0"/>
        <v/>
      </c>
      <c r="H48" s="2237"/>
      <c r="I48" s="2254"/>
      <c r="J48" s="2254"/>
      <c r="K48" s="320"/>
      <c r="L48" s="183"/>
    </row>
    <row r="49" spans="1:12">
      <c r="A49" s="869" t="s">
        <v>268</v>
      </c>
      <c r="B49" s="602" t="s">
        <v>23</v>
      </c>
      <c r="C49" s="376">
        <f>SUM(C25,C33,C34,C41,C47,C48)</f>
        <v>42939</v>
      </c>
      <c r="D49" s="376">
        <f>SUM(D25,D33,D34,D41,D47,D48)</f>
        <v>34383</v>
      </c>
      <c r="E49" s="376">
        <f>SUM(E25,E33,E34,E41,E47,E48)</f>
        <v>3229</v>
      </c>
      <c r="F49" s="1960">
        <f>SUM(F25,F33,F34,F41,F47,F48)</f>
        <v>2949</v>
      </c>
      <c r="G49" s="2253"/>
      <c r="H49" s="2237"/>
      <c r="I49" s="2254"/>
      <c r="J49" s="2254"/>
      <c r="K49" s="320"/>
      <c r="L49" s="183"/>
    </row>
    <row r="50" spans="1:12" ht="27.75">
      <c r="A50" s="868" t="s">
        <v>269</v>
      </c>
      <c r="B50" s="872" t="s">
        <v>191</v>
      </c>
      <c r="C50" s="19">
        <v>1380</v>
      </c>
      <c r="D50" s="19">
        <v>1215</v>
      </c>
      <c r="E50" s="19">
        <v>9</v>
      </c>
      <c r="F50" s="458">
        <v>90</v>
      </c>
      <c r="G50" s="2253" t="str">
        <f t="shared" si="0"/>
        <v/>
      </c>
      <c r="H50" s="2237"/>
      <c r="I50" s="2254"/>
      <c r="J50" s="2254"/>
      <c r="K50" s="320"/>
      <c r="L50" s="183"/>
    </row>
    <row r="51" spans="1:12">
      <c r="A51" s="606" t="s">
        <v>270</v>
      </c>
      <c r="B51" s="575" t="s">
        <v>24</v>
      </c>
      <c r="C51" s="19">
        <v>496</v>
      </c>
      <c r="D51" s="19">
        <v>443</v>
      </c>
      <c r="E51" s="19">
        <v>12</v>
      </c>
      <c r="F51" s="458">
        <v>15</v>
      </c>
      <c r="G51" s="2253" t="str">
        <f t="shared" si="0"/>
        <v/>
      </c>
      <c r="H51" s="2237"/>
      <c r="I51" s="2254"/>
      <c r="J51" s="2254"/>
      <c r="K51" s="320"/>
      <c r="L51" s="183"/>
    </row>
    <row r="52" spans="1:12">
      <c r="A52" s="606" t="s">
        <v>271</v>
      </c>
      <c r="B52" s="575" t="s">
        <v>25</v>
      </c>
      <c r="C52" s="19">
        <v>830</v>
      </c>
      <c r="D52" s="19">
        <v>614</v>
      </c>
      <c r="E52" s="19">
        <v>16</v>
      </c>
      <c r="F52" s="458">
        <v>99</v>
      </c>
      <c r="G52" s="2253" t="str">
        <f t="shared" si="0"/>
        <v/>
      </c>
      <c r="H52" s="2237"/>
      <c r="I52" s="2254"/>
      <c r="J52" s="2254"/>
      <c r="K52" s="320"/>
      <c r="L52" s="183"/>
    </row>
    <row r="53" spans="1:12">
      <c r="A53" s="606" t="s">
        <v>272</v>
      </c>
      <c r="B53" s="575" t="s">
        <v>26</v>
      </c>
      <c r="C53" s="19">
        <v>2788</v>
      </c>
      <c r="D53" s="19">
        <v>2026</v>
      </c>
      <c r="E53" s="19">
        <v>2</v>
      </c>
      <c r="F53" s="458">
        <v>615</v>
      </c>
      <c r="G53" s="2253" t="str">
        <f t="shared" si="0"/>
        <v/>
      </c>
      <c r="H53" s="2237"/>
      <c r="I53" s="2254"/>
      <c r="J53" s="2254"/>
      <c r="K53" s="320"/>
      <c r="L53" s="183"/>
    </row>
    <row r="54" spans="1:12">
      <c r="A54" s="873" t="s">
        <v>273</v>
      </c>
      <c r="B54" s="874" t="s">
        <v>27</v>
      </c>
      <c r="C54" s="376">
        <f>SUM(C50:C53)</f>
        <v>5494</v>
      </c>
      <c r="D54" s="376">
        <f>SUM(D50:D53)</f>
        <v>4298</v>
      </c>
      <c r="E54" s="376">
        <f>SUM(E50:E53)</f>
        <v>39</v>
      </c>
      <c r="F54" s="1956">
        <f>SUM(F50:F53)</f>
        <v>819</v>
      </c>
      <c r="G54" s="2253"/>
      <c r="H54" s="2237"/>
      <c r="I54" s="2254"/>
      <c r="J54" s="2254"/>
      <c r="K54" s="321"/>
      <c r="L54" s="183"/>
    </row>
    <row r="55" spans="1:12" ht="18.75">
      <c r="A55" s="590" t="s">
        <v>274</v>
      </c>
      <c r="B55" s="875" t="s">
        <v>192</v>
      </c>
      <c r="C55" s="19">
        <v>84</v>
      </c>
      <c r="D55" s="19">
        <v>75</v>
      </c>
      <c r="E55" s="19">
        <v>6</v>
      </c>
      <c r="F55" s="458">
        <v>0</v>
      </c>
      <c r="G55" s="2253" t="str">
        <f t="shared" si="0"/>
        <v/>
      </c>
      <c r="H55" s="2237"/>
      <c r="I55" s="2254"/>
      <c r="J55" s="2254"/>
      <c r="K55" s="320"/>
      <c r="L55" s="183"/>
    </row>
    <row r="56" spans="1:12">
      <c r="A56" s="606" t="s">
        <v>275</v>
      </c>
      <c r="B56" s="614" t="s">
        <v>931</v>
      </c>
      <c r="C56" s="19">
        <v>395</v>
      </c>
      <c r="D56" s="19">
        <v>367</v>
      </c>
      <c r="E56" s="19">
        <v>6</v>
      </c>
      <c r="F56" s="458">
        <v>19</v>
      </c>
      <c r="G56" s="2253" t="str">
        <f t="shared" si="0"/>
        <v/>
      </c>
      <c r="H56" s="2237"/>
      <c r="I56" s="2254"/>
      <c r="J56" s="2254"/>
      <c r="K56" s="320"/>
      <c r="L56" s="183"/>
    </row>
    <row r="57" spans="1:12">
      <c r="A57" s="606" t="s">
        <v>276</v>
      </c>
      <c r="B57" s="876" t="s">
        <v>28</v>
      </c>
      <c r="C57" s="19">
        <v>2</v>
      </c>
      <c r="D57" s="19">
        <v>0</v>
      </c>
      <c r="E57" s="19">
        <v>1</v>
      </c>
      <c r="F57" s="458">
        <v>0</v>
      </c>
      <c r="G57" s="2253" t="str">
        <f t="shared" si="0"/>
        <v/>
      </c>
      <c r="H57" s="2237"/>
      <c r="I57" s="2254"/>
      <c r="J57" s="2254"/>
      <c r="K57" s="320"/>
      <c r="L57" s="183"/>
    </row>
    <row r="58" spans="1:12">
      <c r="A58" s="873" t="s">
        <v>277</v>
      </c>
      <c r="B58" s="604" t="s">
        <v>29</v>
      </c>
      <c r="C58" s="376">
        <f>SUM(C55:C57)</f>
        <v>481</v>
      </c>
      <c r="D58" s="376">
        <f>SUM(D55:D57)</f>
        <v>442</v>
      </c>
      <c r="E58" s="376">
        <f>SUM(E55:E57)</f>
        <v>13</v>
      </c>
      <c r="F58" s="1956">
        <f>SUM(F55:F57)</f>
        <v>19</v>
      </c>
      <c r="G58" s="2253"/>
      <c r="H58" s="2237"/>
      <c r="I58" s="2254"/>
      <c r="J58" s="2254"/>
      <c r="K58" s="321"/>
      <c r="L58" s="183"/>
    </row>
    <row r="59" spans="1:12" ht="18.75">
      <c r="A59" s="590" t="s">
        <v>278</v>
      </c>
      <c r="B59" s="605" t="s">
        <v>193</v>
      </c>
      <c r="C59" s="19">
        <v>229</v>
      </c>
      <c r="D59" s="19">
        <v>169</v>
      </c>
      <c r="E59" s="19">
        <v>31</v>
      </c>
      <c r="F59" s="458">
        <v>0</v>
      </c>
      <c r="G59" s="2253" t="str">
        <f t="shared" si="0"/>
        <v/>
      </c>
      <c r="H59" s="2237"/>
      <c r="I59" s="2254"/>
      <c r="J59" s="2254"/>
      <c r="K59" s="320"/>
      <c r="L59" s="183"/>
    </row>
    <row r="60" spans="1:12">
      <c r="A60" s="606" t="s">
        <v>279</v>
      </c>
      <c r="B60" s="575" t="s">
        <v>30</v>
      </c>
      <c r="C60" s="19">
        <v>39</v>
      </c>
      <c r="D60" s="19">
        <v>37</v>
      </c>
      <c r="E60" s="19">
        <v>1</v>
      </c>
      <c r="F60" s="458">
        <v>0</v>
      </c>
      <c r="G60" s="2253" t="str">
        <f t="shared" si="0"/>
        <v/>
      </c>
      <c r="H60" s="2237"/>
      <c r="I60" s="2254"/>
      <c r="J60" s="2254"/>
      <c r="K60" s="320"/>
      <c r="L60" s="183"/>
    </row>
    <row r="61" spans="1:12">
      <c r="A61" s="606" t="s">
        <v>280</v>
      </c>
      <c r="B61" s="575" t="s">
        <v>31</v>
      </c>
      <c r="C61" s="19">
        <v>6698</v>
      </c>
      <c r="D61" s="19">
        <v>5660</v>
      </c>
      <c r="E61" s="19">
        <v>186</v>
      </c>
      <c r="F61" s="458">
        <v>119</v>
      </c>
      <c r="G61" s="2253" t="str">
        <f t="shared" si="0"/>
        <v/>
      </c>
      <c r="H61" s="2237"/>
      <c r="I61" s="2254"/>
      <c r="J61" s="2254"/>
      <c r="K61" s="320"/>
      <c r="L61" s="183"/>
    </row>
    <row r="62" spans="1:12">
      <c r="A62" s="606" t="s">
        <v>281</v>
      </c>
      <c r="B62" s="575" t="s">
        <v>32</v>
      </c>
      <c r="C62" s="19">
        <v>403</v>
      </c>
      <c r="D62" s="19">
        <v>207</v>
      </c>
      <c r="E62" s="19">
        <v>164</v>
      </c>
      <c r="F62" s="458">
        <v>4</v>
      </c>
      <c r="G62" s="2253" t="str">
        <f t="shared" si="0"/>
        <v/>
      </c>
      <c r="H62" s="2237"/>
      <c r="I62" s="2254"/>
      <c r="J62" s="2254"/>
      <c r="K62" s="320"/>
      <c r="L62" s="183"/>
    </row>
    <row r="63" spans="1:12">
      <c r="A63" s="873" t="s">
        <v>282</v>
      </c>
      <c r="B63" s="604" t="s">
        <v>194</v>
      </c>
      <c r="C63" s="376">
        <f>SUM(C59:C62)</f>
        <v>7369</v>
      </c>
      <c r="D63" s="376">
        <f>SUM(D59:D62)</f>
        <v>6073</v>
      </c>
      <c r="E63" s="376">
        <f>SUM(E59:E62)</f>
        <v>382</v>
      </c>
      <c r="F63" s="1956">
        <f>SUM(F59:F62)</f>
        <v>123</v>
      </c>
      <c r="G63" s="2253"/>
      <c r="H63" s="2237"/>
      <c r="I63" s="2254"/>
      <c r="J63" s="2254"/>
      <c r="K63" s="321"/>
      <c r="L63" s="183"/>
    </row>
    <row r="64" spans="1:12">
      <c r="A64" s="869" t="s">
        <v>283</v>
      </c>
      <c r="B64" s="602" t="s">
        <v>33</v>
      </c>
      <c r="C64" s="376">
        <f>SUM(C54,C58,C63)</f>
        <v>13344</v>
      </c>
      <c r="D64" s="376">
        <f>SUM(D54,D58,D63)</f>
        <v>10813</v>
      </c>
      <c r="E64" s="376">
        <f>SUM(E54,E58,E63)</f>
        <v>434</v>
      </c>
      <c r="F64" s="1960">
        <f>SUM(F54,F58,F63)</f>
        <v>961</v>
      </c>
      <c r="G64" s="2253"/>
      <c r="H64" s="2237"/>
      <c r="I64" s="2254"/>
      <c r="J64" s="2254"/>
      <c r="K64" s="320"/>
      <c r="L64" s="183"/>
    </row>
    <row r="65" spans="1:13" ht="13.5" thickBot="1">
      <c r="A65" s="877" t="s">
        <v>286</v>
      </c>
      <c r="B65" s="878" t="s">
        <v>35</v>
      </c>
      <c r="C65" s="258">
        <v>7153</v>
      </c>
      <c r="D65" s="258">
        <v>5004</v>
      </c>
      <c r="E65" s="258">
        <v>1446</v>
      </c>
      <c r="F65" s="1961">
        <v>210</v>
      </c>
      <c r="G65" s="2253" t="str">
        <f t="shared" si="0"/>
        <v/>
      </c>
      <c r="H65" s="2237"/>
      <c r="I65" s="2254"/>
      <c r="J65" s="2254"/>
      <c r="K65" s="320"/>
      <c r="L65" s="183"/>
    </row>
    <row r="66" spans="1:13" ht="27" customHeight="1" thickBot="1">
      <c r="A66" s="879" t="s">
        <v>287</v>
      </c>
      <c r="B66" s="692" t="s">
        <v>36</v>
      </c>
      <c r="C66" s="378">
        <f>SUM(C49,C64,C65)</f>
        <v>63436</v>
      </c>
      <c r="D66" s="378">
        <f>SUM(D49,D64,D65)</f>
        <v>50200</v>
      </c>
      <c r="E66" s="378">
        <f>SUM(E49,E64,E65)</f>
        <v>5109</v>
      </c>
      <c r="F66" s="1962">
        <f>SUM(F49,F64,F65)</f>
        <v>4120</v>
      </c>
      <c r="G66" s="2253" t="str">
        <f>IF(C66=0,"",IF(SUM(D66:F66)/C66&lt;0.9,"Vad avser de  " &amp;""&amp;(ROUND(C66-SUM(D66:F66),0))&amp; "tkr investeringsutgifter i kol C som inte ingår i kol. D-F? OBS! alla entrep. o kons. ska ingå i kol D",""))</f>
        <v/>
      </c>
      <c r="H66" s="2237"/>
      <c r="I66" s="2255"/>
      <c r="J66" s="2256"/>
      <c r="K66" s="1302"/>
      <c r="L66" s="183"/>
    </row>
    <row r="67" spans="1:13" ht="10.5" customHeight="1">
      <c r="A67" s="311"/>
      <c r="B67" s="17"/>
      <c r="C67" s="77"/>
      <c r="D67" s="77"/>
      <c r="E67" s="77"/>
      <c r="F67" s="77"/>
      <c r="G67" s="1818"/>
      <c r="H67" s="77"/>
      <c r="I67" s="1818"/>
      <c r="J67" s="67"/>
      <c r="K67" s="68"/>
      <c r="L67" s="4"/>
    </row>
    <row r="68" spans="1:13" ht="25.5" customHeight="1">
      <c r="A68" s="311"/>
      <c r="B68" s="17"/>
      <c r="C68" s="77"/>
      <c r="D68" s="77"/>
      <c r="E68" s="77"/>
      <c r="F68" s="77"/>
      <c r="G68" s="2681"/>
      <c r="H68" s="2682"/>
      <c r="I68" s="2682"/>
      <c r="J68" s="2682"/>
      <c r="K68" s="2227"/>
      <c r="L68" s="1971"/>
    </row>
    <row r="69" spans="1:13" ht="31.5" customHeight="1">
      <c r="A69" s="311"/>
      <c r="B69" s="17"/>
      <c r="C69" s="77"/>
      <c r="D69" s="77"/>
      <c r="E69" s="77"/>
      <c r="F69" s="77"/>
      <c r="G69" s="2682"/>
      <c r="H69" s="2682"/>
      <c r="I69" s="2682"/>
      <c r="J69" s="2682"/>
      <c r="K69" s="2227"/>
      <c r="L69" s="1971"/>
      <c r="M69" s="1312"/>
    </row>
    <row r="70" spans="1:13" ht="28.5" customHeight="1">
      <c r="A70" s="2683" t="s">
        <v>1192</v>
      </c>
      <c r="B70" s="2684"/>
      <c r="C70" s="2685"/>
      <c r="D70" s="2685"/>
      <c r="E70" s="2685"/>
      <c r="F70" s="2685"/>
      <c r="G70" s="77"/>
      <c r="H70" s="1372"/>
      <c r="I70" s="1949"/>
      <c r="J70" s="1949"/>
      <c r="K70" s="1949"/>
      <c r="L70" s="1949"/>
      <c r="M70" s="1312"/>
    </row>
    <row r="71" spans="1:13">
      <c r="A71" s="1825" t="s">
        <v>1171</v>
      </c>
      <c r="B71" s="1439"/>
      <c r="C71" s="145"/>
      <c r="D71" s="71"/>
      <c r="F71" s="72"/>
      <c r="G71" s="73"/>
      <c r="H71" s="249"/>
      <c r="I71" s="1949"/>
      <c r="J71" s="1949"/>
      <c r="K71" s="1949"/>
      <c r="L71" s="1949"/>
      <c r="M71" s="1312"/>
    </row>
    <row r="72" spans="1:13" ht="32.25" customHeight="1" thickBot="1">
      <c r="A72" s="1819" t="s">
        <v>1221</v>
      </c>
      <c r="B72" s="94"/>
      <c r="C72" s="1409"/>
      <c r="D72" s="38"/>
      <c r="E72" s="1310"/>
      <c r="F72" s="1311"/>
      <c r="G72" s="1311"/>
      <c r="H72" s="1311"/>
      <c r="I72" s="1970"/>
      <c r="J72" s="1970"/>
      <c r="K72" s="1970"/>
      <c r="L72" s="1970"/>
      <c r="M72" s="1312"/>
    </row>
    <row r="73" spans="1:13" ht="27.75">
      <c r="A73" s="1821" t="s">
        <v>1167</v>
      </c>
      <c r="B73" s="1822" t="s">
        <v>1168</v>
      </c>
      <c r="C73" s="1845" t="s">
        <v>1191</v>
      </c>
      <c r="D73" s="149"/>
      <c r="E73" s="1311"/>
      <c r="F73" s="1311"/>
      <c r="G73" s="2009"/>
      <c r="H73" s="1311"/>
      <c r="I73" s="2009"/>
      <c r="J73" s="301"/>
      <c r="K73" s="301"/>
      <c r="L73" s="301"/>
      <c r="M73" s="1312"/>
    </row>
    <row r="74" spans="1:13" ht="15" customHeight="1">
      <c r="A74" s="2063" t="s">
        <v>434</v>
      </c>
      <c r="B74" s="2029" t="s">
        <v>1169</v>
      </c>
      <c r="C74" s="232">
        <v>4278</v>
      </c>
      <c r="D74" s="2257" t="str">
        <f>IF(C74="","skriv belopp eller 0",IF(C74&lt;0,"inget minusbelopp",""))</f>
        <v/>
      </c>
      <c r="E74" s="2258"/>
      <c r="F74" s="2258"/>
      <c r="G74" s="1972"/>
      <c r="H74" s="178"/>
      <c r="I74" s="178"/>
      <c r="J74" s="178"/>
      <c r="K74" s="178"/>
      <c r="L74" s="178"/>
      <c r="M74" s="1312"/>
    </row>
    <row r="75" spans="1:13" ht="13.5" thickBot="1">
      <c r="A75" s="2064">
        <v>705</v>
      </c>
      <c r="B75" s="2030" t="s">
        <v>1170</v>
      </c>
      <c r="C75" s="236">
        <v>11612</v>
      </c>
      <c r="D75" s="2257" t="str">
        <f>IF(C75="","skriv belopp eller 0","")</f>
        <v/>
      </c>
      <c r="E75" s="2258"/>
      <c r="F75" s="2258"/>
      <c r="G75" s="178"/>
      <c r="H75" s="300"/>
      <c r="I75" s="178"/>
      <c r="J75" s="178"/>
      <c r="K75" s="178"/>
      <c r="L75" s="178"/>
      <c r="M75" s="1312"/>
    </row>
    <row r="76" spans="1:13" ht="13.5" thickBot="1">
      <c r="A76" s="1441"/>
      <c r="B76" s="1440"/>
      <c r="C76" s="151"/>
      <c r="D76" s="2204"/>
      <c r="E76" s="2258"/>
      <c r="F76" s="2258"/>
      <c r="G76" s="1311"/>
      <c r="H76" s="1311"/>
      <c r="I76" s="2010"/>
      <c r="J76" s="2010"/>
      <c r="K76" s="2010"/>
      <c r="L76" s="2010"/>
      <c r="M76" s="1312"/>
    </row>
    <row r="77" spans="1:13" ht="18.75">
      <c r="A77" s="1823" t="s">
        <v>493</v>
      </c>
      <c r="B77" s="1824" t="s">
        <v>1190</v>
      </c>
      <c r="C77" s="2011" t="s">
        <v>1191</v>
      </c>
      <c r="D77" s="2204"/>
      <c r="E77" s="2258"/>
      <c r="F77" s="2258"/>
      <c r="H77" s="1311"/>
      <c r="I77" s="2010"/>
      <c r="J77" s="2010"/>
      <c r="K77" s="2010"/>
      <c r="L77" s="2010"/>
      <c r="M77" s="1312"/>
    </row>
    <row r="78" spans="1:13">
      <c r="A78" s="2065">
        <v>710</v>
      </c>
      <c r="B78" s="1190" t="s">
        <v>1263</v>
      </c>
      <c r="C78" s="232">
        <v>3974</v>
      </c>
      <c r="D78" s="2257" t="str">
        <f>IF(C78="","skriv belopp eller 0",IF(C78=0,"Bekräfta i kommentarrutan om det stämmer att kommunen inte fått några investeringsinkomster (exkl. försäljning av anl.tillg.)",IF(SUM(C79:C81)&gt;C78,"Därav-raderna 715-725 &gt; Total-rad 710","")))</f>
        <v/>
      </c>
      <c r="E78" s="2258"/>
      <c r="F78" s="2258"/>
      <c r="G78" s="1311"/>
      <c r="H78" s="1311"/>
      <c r="I78" s="2010"/>
      <c r="J78" s="2010"/>
      <c r="K78" s="2010"/>
      <c r="L78" s="2010"/>
      <c r="M78" s="1312"/>
    </row>
    <row r="79" spans="1:13">
      <c r="A79" s="2031" t="s">
        <v>1172</v>
      </c>
      <c r="B79" s="1184" t="s">
        <v>1206</v>
      </c>
      <c r="C79" s="232">
        <v>1078</v>
      </c>
      <c r="D79" s="2257" t="str">
        <f>IF(C79="","skriv belopp eller 0","")</f>
        <v/>
      </c>
      <c r="E79" s="2258"/>
      <c r="F79" s="2258"/>
      <c r="G79" s="1311"/>
      <c r="H79" s="1311"/>
      <c r="I79" s="2010"/>
      <c r="J79" s="2010"/>
      <c r="K79" s="2010"/>
      <c r="L79" s="2010"/>
      <c r="M79" s="1312"/>
    </row>
    <row r="80" spans="1:13">
      <c r="A80" s="2031" t="s">
        <v>1173</v>
      </c>
      <c r="B80" s="1184" t="s">
        <v>1207</v>
      </c>
      <c r="C80" s="232">
        <v>28</v>
      </c>
      <c r="D80" s="2257" t="str">
        <f>IF(C80="","skriv belopp eller 0","")</f>
        <v/>
      </c>
      <c r="E80" s="2258"/>
      <c r="F80" s="2258"/>
      <c r="G80" s="2009"/>
      <c r="H80" s="1311"/>
      <c r="I80" s="2010"/>
      <c r="J80" s="2010"/>
      <c r="K80" s="2010"/>
      <c r="L80" s="2010"/>
      <c r="M80" s="1312"/>
    </row>
    <row r="81" spans="1:13">
      <c r="A81" s="2031" t="s">
        <v>1174</v>
      </c>
      <c r="B81" s="1184" t="s">
        <v>1208</v>
      </c>
      <c r="C81" s="232">
        <v>1961</v>
      </c>
      <c r="D81" s="2257" t="str">
        <f>IF(C81="","skriv belopp eller 0","")</f>
        <v/>
      </c>
      <c r="E81" s="2258"/>
      <c r="F81" s="2258"/>
      <c r="G81" s="2645"/>
      <c r="H81" s="2680"/>
      <c r="I81" s="2680"/>
      <c r="J81" s="2680"/>
      <c r="K81" s="2010"/>
      <c r="L81" s="2010"/>
      <c r="M81" s="1312"/>
    </row>
    <row r="82" spans="1:13" ht="13.5" thickBot="1">
      <c r="A82" s="2032" t="s">
        <v>1180</v>
      </c>
      <c r="B82" s="1777" t="s">
        <v>1209</v>
      </c>
      <c r="C82" s="2007">
        <f>C78-C79-C80-C81</f>
        <v>907</v>
      </c>
      <c r="D82" s="2144" t="str">
        <f>IF(C78=0,"",IF(SUM(C78-C79-C80-C81&gt;1),"Vem kommer de övriga " &amp;""&amp;(ROUND(C78-C79-C80-C81,0))&amp; "tkr övr.invest.ink. ifrån",""))</f>
        <v>Vem kommer de övriga 907tkr övr.invest.ink. ifrån</v>
      </c>
      <c r="E82" s="2258"/>
      <c r="F82" s="2258"/>
      <c r="G82" s="2680"/>
      <c r="H82" s="2680"/>
      <c r="I82" s="2680"/>
      <c r="J82" s="2680"/>
      <c r="K82" s="2010"/>
      <c r="L82" s="2010"/>
      <c r="M82" s="1312"/>
    </row>
    <row r="83" spans="1:13">
      <c r="A83" s="1441"/>
      <c r="B83" s="1440"/>
      <c r="C83" s="151"/>
      <c r="D83" s="2204"/>
      <c r="E83" s="2258"/>
      <c r="F83" s="2258"/>
      <c r="G83" s="1311"/>
      <c r="H83" s="1311"/>
      <c r="I83" s="2010"/>
      <c r="J83" s="2010"/>
      <c r="K83" s="2010"/>
      <c r="L83" s="2010"/>
      <c r="M83" s="1312"/>
    </row>
    <row r="84" spans="1:13" ht="19.5" customHeight="1">
      <c r="A84" s="2683" t="s">
        <v>1193</v>
      </c>
      <c r="B84" s="2686"/>
      <c r="C84" s="2687"/>
      <c r="D84" s="2687"/>
      <c r="E84" s="2687"/>
      <c r="F84" s="2687"/>
      <c r="G84" s="2687"/>
      <c r="H84" s="2687"/>
      <c r="I84" s="2687"/>
      <c r="J84" s="2687"/>
      <c r="K84" s="2687"/>
      <c r="L84" s="2010"/>
      <c r="M84" s="1312"/>
    </row>
    <row r="85" spans="1:13">
      <c r="A85" s="2687"/>
      <c r="B85" s="2687"/>
      <c r="C85" s="2687"/>
      <c r="D85" s="2687"/>
      <c r="E85" s="2687"/>
      <c r="F85" s="2687"/>
      <c r="G85" s="2687"/>
      <c r="H85" s="2687"/>
      <c r="I85" s="2687"/>
      <c r="J85" s="2687"/>
      <c r="K85" s="2687"/>
      <c r="L85" s="2010"/>
      <c r="M85" s="1312"/>
    </row>
    <row r="86" spans="1:13">
      <c r="A86" s="1834" t="s">
        <v>1222</v>
      </c>
      <c r="B86" s="1839"/>
      <c r="C86" s="1840"/>
      <c r="D86" s="1841"/>
      <c r="E86" s="1841"/>
      <c r="F86" s="1831"/>
      <c r="G86" s="1842"/>
      <c r="H86" s="1843"/>
      <c r="I86" s="1844"/>
      <c r="J86" s="1310"/>
      <c r="K86" s="1310"/>
      <c r="L86" s="1310"/>
      <c r="M86" s="1312"/>
    </row>
    <row r="87" spans="1:13">
      <c r="A87" s="1834" t="s">
        <v>1175</v>
      </c>
      <c r="B87" s="1839"/>
      <c r="C87" s="1840"/>
      <c r="D87" s="1841"/>
      <c r="E87" s="1841"/>
      <c r="F87" s="1831"/>
      <c r="G87" s="1842"/>
      <c r="H87" s="1843"/>
      <c r="I87" s="1844"/>
      <c r="J87" s="1310"/>
      <c r="K87" s="1310"/>
      <c r="L87" s="1310"/>
      <c r="M87" s="1312"/>
    </row>
    <row r="88" spans="1:13" ht="21.75" customHeight="1" thickBot="1">
      <c r="A88" s="1834" t="s">
        <v>1176</v>
      </c>
      <c r="B88" s="1839"/>
      <c r="C88" s="1840"/>
      <c r="D88" s="1841"/>
      <c r="E88" s="1841"/>
      <c r="F88" s="1831"/>
      <c r="G88" s="1842"/>
      <c r="H88" s="1843"/>
      <c r="I88" s="1844"/>
      <c r="J88" s="1310"/>
      <c r="K88" s="1310"/>
      <c r="L88" s="1310"/>
      <c r="M88" s="1312"/>
    </row>
    <row r="89" spans="1:13" ht="21.75" customHeight="1">
      <c r="A89" s="1827" t="s">
        <v>493</v>
      </c>
      <c r="B89" s="1833" t="s">
        <v>1177</v>
      </c>
      <c r="C89" s="2034" t="s">
        <v>1178</v>
      </c>
      <c r="D89" s="2035" t="s">
        <v>1178</v>
      </c>
      <c r="E89" s="1311"/>
      <c r="F89" s="1311"/>
      <c r="G89" s="2009"/>
      <c r="H89" s="1311"/>
      <c r="I89" s="2009"/>
      <c r="J89" s="301"/>
      <c r="K89" s="301"/>
      <c r="L89" s="301"/>
      <c r="M89" s="1312"/>
    </row>
    <row r="90" spans="1:13">
      <c r="A90" s="1826"/>
      <c r="B90" s="1835"/>
      <c r="C90" s="2036" t="s">
        <v>1040</v>
      </c>
      <c r="D90" s="2037" t="s">
        <v>1040</v>
      </c>
      <c r="E90" s="1311"/>
      <c r="F90" s="1311"/>
      <c r="G90" s="1973"/>
      <c r="H90" s="178"/>
      <c r="I90" s="178"/>
      <c r="J90" s="178"/>
      <c r="K90" s="178"/>
      <c r="L90" s="178"/>
      <c r="M90" s="1312"/>
    </row>
    <row r="91" spans="1:13">
      <c r="A91" s="1826"/>
      <c r="B91" s="1828"/>
      <c r="C91" s="2038" t="s">
        <v>1041</v>
      </c>
      <c r="D91" s="2039" t="s">
        <v>920</v>
      </c>
      <c r="E91" s="1311"/>
      <c r="F91" s="1311"/>
      <c r="G91" s="178"/>
      <c r="H91" s="178"/>
      <c r="I91" s="178"/>
      <c r="J91" s="178"/>
      <c r="K91" s="178"/>
      <c r="L91" s="178"/>
      <c r="M91" s="1312"/>
    </row>
    <row r="92" spans="1:13" ht="39.75" customHeight="1">
      <c r="A92" s="1826"/>
      <c r="B92" s="1835"/>
      <c r="C92" s="2040" t="s">
        <v>1179</v>
      </c>
      <c r="D92" s="2041" t="s">
        <v>1194</v>
      </c>
      <c r="E92" s="1311"/>
      <c r="F92" s="1311"/>
      <c r="G92" s="1311"/>
      <c r="H92" s="1311"/>
      <c r="I92" s="2010"/>
      <c r="J92" s="2010"/>
      <c r="K92" s="2010"/>
      <c r="L92" s="2010"/>
      <c r="M92" s="1312"/>
    </row>
    <row r="93" spans="1:13">
      <c r="A93" s="1826"/>
      <c r="B93" s="1829"/>
      <c r="C93" s="2042" t="s">
        <v>1191</v>
      </c>
      <c r="D93" s="2043" t="s">
        <v>1191</v>
      </c>
      <c r="E93" s="2017"/>
      <c r="F93" s="1311"/>
      <c r="G93" s="1311"/>
      <c r="H93" s="1311"/>
      <c r="I93" s="2010"/>
      <c r="J93" s="2010"/>
      <c r="K93" s="2010"/>
      <c r="L93" s="2010"/>
      <c r="M93" s="1312"/>
    </row>
    <row r="94" spans="1:13">
      <c r="A94" s="2065" t="s">
        <v>1182</v>
      </c>
      <c r="B94" s="1184" t="s">
        <v>1181</v>
      </c>
      <c r="C94" s="1836">
        <v>45017</v>
      </c>
      <c r="D94" s="1820">
        <v>647</v>
      </c>
      <c r="E94" s="2228" t="str">
        <f>IF(OR(C94="",D94=""),"skriv belopp eller 0","")</f>
        <v/>
      </c>
      <c r="F94" s="2258"/>
      <c r="G94" s="1311"/>
      <c r="H94" s="1311"/>
      <c r="I94" s="2010"/>
      <c r="J94" s="2010"/>
      <c r="K94" s="2010"/>
      <c r="L94" s="2010"/>
      <c r="M94" s="1312"/>
    </row>
    <row r="95" spans="1:13">
      <c r="A95" s="2065" t="s">
        <v>1184</v>
      </c>
      <c r="B95" s="1184" t="s">
        <v>1183</v>
      </c>
      <c r="C95" s="1836">
        <v>16383</v>
      </c>
      <c r="D95" s="1820">
        <v>1257</v>
      </c>
      <c r="E95" s="2228" t="str">
        <f>IF(OR(C95="",D95=""),"skriv belopp eller 0","")</f>
        <v/>
      </c>
      <c r="F95" s="2258"/>
      <c r="G95" s="1311"/>
      <c r="H95" s="1311"/>
      <c r="I95" s="2010"/>
      <c r="J95" s="2010"/>
      <c r="K95" s="2010"/>
      <c r="L95" s="2010"/>
      <c r="M95" s="1312"/>
    </row>
    <row r="96" spans="1:13">
      <c r="A96" s="2065" t="s">
        <v>1186</v>
      </c>
      <c r="B96" s="1184" t="s">
        <v>1185</v>
      </c>
      <c r="C96" s="1836">
        <v>1336</v>
      </c>
      <c r="D96" s="1820">
        <v>13</v>
      </c>
      <c r="E96" s="2228" t="str">
        <f>IF(OR(C96="",D96=""),"skriv belopp eller 0","")</f>
        <v/>
      </c>
      <c r="F96" s="2258"/>
      <c r="G96" s="1818"/>
      <c r="H96" s="1311"/>
      <c r="I96" s="2010"/>
      <c r="J96" s="2010"/>
      <c r="K96" s="2010"/>
      <c r="L96" s="2010"/>
      <c r="M96" s="1312"/>
    </row>
    <row r="97" spans="1:13" ht="13.5" thickBot="1">
      <c r="A97" s="2066" t="s">
        <v>1188</v>
      </c>
      <c r="B97" s="1835" t="s">
        <v>1187</v>
      </c>
      <c r="C97" s="1837">
        <v>4861</v>
      </c>
      <c r="D97" s="1838">
        <v>83</v>
      </c>
      <c r="E97" s="2228" t="str">
        <f>IF(OR(C97="",D97=""),"skriv belopp eller 0","")</f>
        <v/>
      </c>
      <c r="F97" s="2258"/>
      <c r="G97" s="2645"/>
      <c r="H97" s="2680"/>
      <c r="I97" s="2680"/>
      <c r="J97" s="2680"/>
      <c r="K97" s="1787"/>
      <c r="L97" s="1787"/>
      <c r="M97" s="1312"/>
    </row>
    <row r="98" spans="1:13" ht="13.5" thickBot="1">
      <c r="A98" s="2068" t="s">
        <v>1213</v>
      </c>
      <c r="B98" s="2033" t="s">
        <v>1189</v>
      </c>
      <c r="C98" s="1832">
        <f>SUM(C94:C97)</f>
        <v>67597</v>
      </c>
      <c r="D98" s="1830">
        <f>SUM(D94:D97)</f>
        <v>2000</v>
      </c>
      <c r="E98" s="2259"/>
      <c r="F98" s="2258"/>
      <c r="G98" s="2680"/>
      <c r="H98" s="2680"/>
      <c r="I98" s="2680"/>
      <c r="J98" s="2680"/>
      <c r="K98" s="1787"/>
      <c r="L98" s="1787"/>
      <c r="M98" s="1312"/>
    </row>
    <row r="99" spans="1:13">
      <c r="A99" s="1441"/>
      <c r="B99" s="1440"/>
      <c r="C99" s="151"/>
      <c r="D99" s="69"/>
      <c r="E99" s="2258"/>
      <c r="F99" s="2258"/>
      <c r="G99" s="2008" t="s">
        <v>471</v>
      </c>
      <c r="H99" s="1311"/>
      <c r="I99" s="2010"/>
      <c r="J99" s="2010"/>
      <c r="K99" s="2010"/>
      <c r="L99" s="2010"/>
      <c r="M99" s="1312"/>
    </row>
    <row r="100" spans="1:13">
      <c r="A100" s="1441"/>
      <c r="B100" s="1440"/>
      <c r="C100" s="151"/>
      <c r="D100" s="69"/>
      <c r="E100" s="1311"/>
      <c r="F100" s="1311"/>
      <c r="G100" s="1311"/>
      <c r="H100" s="1311"/>
      <c r="I100" s="2010"/>
      <c r="J100" s="2010"/>
      <c r="K100" s="2010"/>
      <c r="L100" s="2010"/>
      <c r="M100" s="1312"/>
    </row>
    <row r="101" spans="1:13">
      <c r="A101" s="1441"/>
      <c r="B101" s="1440"/>
      <c r="C101" s="151"/>
      <c r="D101" s="69"/>
      <c r="E101" s="1311"/>
      <c r="F101" s="1311"/>
      <c r="G101" s="1311"/>
      <c r="H101" s="1311"/>
      <c r="I101" s="2010"/>
      <c r="J101" s="2010"/>
      <c r="K101" s="2010"/>
      <c r="L101" s="2010"/>
      <c r="M101" s="1312"/>
    </row>
    <row r="102" spans="1:13">
      <c r="A102" s="1441"/>
      <c r="B102" s="1440"/>
      <c r="C102" s="151"/>
      <c r="D102" s="69"/>
      <c r="E102" s="1311"/>
      <c r="F102" s="1311"/>
      <c r="G102" s="1311"/>
      <c r="H102" s="1311"/>
      <c r="I102" s="2010"/>
      <c r="J102" s="2010"/>
      <c r="K102" s="2010"/>
      <c r="L102" s="2010"/>
      <c r="M102" s="1312"/>
    </row>
    <row r="103" spans="1:13">
      <c r="A103" s="1441"/>
      <c r="B103" s="1440"/>
      <c r="C103" s="151"/>
      <c r="D103" s="69"/>
      <c r="E103" s="1311"/>
      <c r="F103" s="1311"/>
      <c r="G103" s="1311"/>
      <c r="H103" s="1311"/>
      <c r="I103" s="2010"/>
      <c r="J103" s="2010"/>
      <c r="K103" s="2010"/>
      <c r="L103" s="2010"/>
      <c r="M103" s="1312"/>
    </row>
    <row r="104" spans="1:13">
      <c r="A104" s="1441"/>
      <c r="B104" s="1440"/>
      <c r="C104" s="151"/>
      <c r="D104" s="69"/>
      <c r="E104" s="1311"/>
      <c r="F104" s="1311"/>
      <c r="G104" s="1311"/>
      <c r="H104" s="1311"/>
      <c r="I104" s="1312"/>
      <c r="J104" s="1312"/>
      <c r="K104" s="1312"/>
      <c r="L104" s="1312"/>
      <c r="M104" s="1312"/>
    </row>
    <row r="105" spans="1:13" ht="14.25" hidden="1" customHeight="1">
      <c r="A105" s="1441"/>
      <c r="B105" s="1440"/>
      <c r="C105" s="151"/>
      <c r="D105" s="69"/>
      <c r="E105" s="1311"/>
      <c r="F105" s="1311"/>
      <c r="G105" s="1311"/>
      <c r="H105" s="1311"/>
      <c r="J105" s="174"/>
      <c r="K105" s="174"/>
    </row>
    <row r="106" spans="1:13" ht="14.25" hidden="1" customHeight="1">
      <c r="A106" s="1441"/>
      <c r="B106" s="1440"/>
      <c r="C106" s="151"/>
      <c r="D106" s="69"/>
      <c r="E106" s="1311"/>
      <c r="F106" s="1311"/>
      <c r="G106" s="1311"/>
      <c r="H106" s="1311"/>
      <c r="I106" s="149"/>
      <c r="J106" s="149"/>
      <c r="K106" s="150"/>
    </row>
    <row r="107" spans="1:13" ht="14.25" hidden="1" customHeight="1">
      <c r="A107" s="4"/>
      <c r="B107" s="4"/>
      <c r="C107" s="4"/>
      <c r="D107" s="4"/>
      <c r="E107" s="4"/>
      <c r="F107" s="4"/>
      <c r="G107" s="4"/>
      <c r="H107" s="4"/>
      <c r="J107" s="148"/>
      <c r="K107" s="150"/>
    </row>
    <row r="108" spans="1:13" ht="14.25" hidden="1" customHeight="1">
      <c r="A108" s="174"/>
      <c r="B108" s="174"/>
      <c r="C108" s="174"/>
      <c r="D108" s="174"/>
      <c r="E108" s="174"/>
      <c r="F108" s="174"/>
      <c r="G108" s="174"/>
      <c r="H108" s="174"/>
      <c r="I108" s="149"/>
      <c r="J108" s="149"/>
      <c r="K108" s="150"/>
    </row>
    <row r="109" spans="1:13" ht="14.25" hidden="1" customHeight="1">
      <c r="A109" s="250"/>
      <c r="B109" s="148"/>
      <c r="C109" s="149"/>
      <c r="D109" s="149"/>
      <c r="E109" s="149"/>
      <c r="F109" s="149"/>
      <c r="G109" s="149"/>
      <c r="H109" s="149"/>
      <c r="I109" s="149"/>
      <c r="J109" s="149"/>
      <c r="K109" s="150"/>
    </row>
    <row r="110" spans="1:13" ht="14.25" hidden="1" customHeight="1">
      <c r="A110" s="250"/>
      <c r="B110" s="148"/>
      <c r="C110" s="149"/>
      <c r="D110" s="149"/>
      <c r="E110" s="149"/>
      <c r="F110" s="149"/>
      <c r="G110" s="149"/>
      <c r="H110" s="149"/>
      <c r="I110" s="149"/>
      <c r="J110" s="149"/>
      <c r="K110" s="150"/>
    </row>
    <row r="111" spans="1:13" ht="14.25" hidden="1" customHeight="1">
      <c r="A111" s="250"/>
      <c r="B111" s="148"/>
      <c r="C111" s="149"/>
      <c r="D111" s="149"/>
      <c r="E111" s="149"/>
      <c r="F111" s="149"/>
      <c r="G111" s="149"/>
      <c r="H111" s="149"/>
      <c r="J111" s="148"/>
      <c r="K111" s="150"/>
    </row>
    <row r="112" spans="1:13" ht="14.25" hidden="1" customHeight="1">
      <c r="A112" s="250"/>
      <c r="B112" s="148"/>
      <c r="C112" s="149"/>
      <c r="D112" s="149"/>
      <c r="E112" s="149"/>
      <c r="F112" s="149"/>
      <c r="G112" s="149"/>
      <c r="H112" s="149"/>
      <c r="J112" s="174"/>
      <c r="K112" s="174"/>
    </row>
    <row r="113" spans="1:11" ht="14.25" hidden="1" customHeight="1">
      <c r="A113" s="150"/>
      <c r="B113" s="148"/>
      <c r="C113" s="148"/>
      <c r="D113" s="148"/>
      <c r="E113" s="148"/>
      <c r="F113" s="148"/>
      <c r="G113" s="149"/>
      <c r="H113" s="149"/>
      <c r="J113" s="174"/>
      <c r="K113" s="174"/>
    </row>
    <row r="114" spans="1:11" ht="14.25" hidden="1" customHeight="1">
      <c r="A114" s="148"/>
      <c r="B114" s="148"/>
      <c r="C114" s="148"/>
      <c r="D114" s="148"/>
      <c r="E114" s="148"/>
      <c r="F114" s="148"/>
      <c r="G114" s="148"/>
      <c r="H114" s="148"/>
      <c r="J114" s="174"/>
      <c r="K114" s="174"/>
    </row>
    <row r="115" spans="1:11">
      <c r="A115" s="174"/>
      <c r="B115" s="174"/>
      <c r="C115" s="174"/>
      <c r="D115" s="174"/>
      <c r="E115" s="174"/>
      <c r="F115" s="174"/>
      <c r="G115" s="174"/>
      <c r="H115" s="174"/>
    </row>
    <row r="116" spans="1:11">
      <c r="A116" s="174"/>
      <c r="B116" s="174"/>
      <c r="C116" s="174"/>
      <c r="D116" s="174"/>
      <c r="E116" s="174"/>
      <c r="F116" s="174"/>
      <c r="G116" s="174"/>
      <c r="H116" s="174"/>
    </row>
    <row r="117" spans="1:11">
      <c r="A117" s="174"/>
      <c r="B117" s="174"/>
      <c r="C117" s="174"/>
      <c r="D117" s="174"/>
      <c r="E117" s="174"/>
      <c r="F117" s="174"/>
      <c r="G117" s="174"/>
      <c r="H117" s="174"/>
    </row>
    <row r="118" spans="1:11"/>
    <row r="119" spans="1:11"/>
    <row r="120" spans="1:11" hidden="1"/>
    <row r="121" spans="1:11" hidden="1"/>
    <row r="122" spans="1:11" hidden="1"/>
  </sheetData>
  <sheetProtection password="CBFD" sheet="1" objects="1" scenarios="1"/>
  <customSheetViews>
    <customSheetView guid="{27C9E95B-0E2B-454F-B637-1CECC9579A10}" showGridLines="0" fitToPage="1" hiddenRows="1" hiddenColumns="1" showRuler="0" topLeftCell="A46">
      <selection activeCell="C16" sqref="C16"/>
      <pageMargins left="0.70866141732283472" right="0.70866141732283472" top="0.74803149606299213" bottom="0.35433070866141736" header="0.31496062992125984" footer="0.31496062992125984"/>
      <pageSetup paperSize="9" scale="73" orientation="portrait" r:id="rId1"/>
      <headerFooter alignWithMargins="0">
        <oddHeader>&amp;L&amp;8Statistiska Centralbyrå
Offentlig ekonomi&amp;R&amp;P</oddHeader>
      </headerFooter>
    </customSheetView>
    <customSheetView guid="{99FBDEB7-DD08-4F57-81F4-3C180403E153}" showGridLines="0" fitToPage="1" hiddenRows="1" hiddenColumns="1" topLeftCell="A22">
      <selection activeCell="B37" sqref="B37"/>
      <pageMargins left="0.70866141732283472" right="0.70866141732283472" top="0.74803149606299213" bottom="0.35433070866141736" header="0.31496062992125984" footer="0.31496062992125984"/>
      <pageSetup paperSize="9" scale="73" orientation="portrait" r:id="rId2"/>
      <headerFooter>
        <oddHeader>&amp;L&amp;8Statistiska Centralbyrå
Offentlig ekonomi&amp;R&amp;P</oddHeader>
      </headerFooter>
    </customSheetView>
    <customSheetView guid="{97D6DB71-3F4C-4C5F-8C5B-51E3EBF78932}" showPageBreaks="1" showGridLines="0" fitToPage="1" hiddenRows="1" hiddenColumns="1" topLeftCell="A34">
      <selection activeCell="B37" sqref="B37"/>
      <pageMargins left="0.70866141732283472" right="0.70866141732283472" top="0.74803149606299213" bottom="0.35433070866141736" header="0.31496062992125984" footer="0.31496062992125984"/>
      <pageSetup paperSize="9" scale="70" orientation="portrait" r:id="rId3"/>
      <headerFooter>
        <oddHeader>&amp;L&amp;8Statistiska Centralbyrå
Offentlig ekonomi&amp;R&amp;P</oddHeader>
      </headerFooter>
    </customSheetView>
  </customSheetViews>
  <mergeCells count="9">
    <mergeCell ref="E4:E5"/>
    <mergeCell ref="D4:D5"/>
    <mergeCell ref="C4:C5"/>
    <mergeCell ref="I16:L16"/>
    <mergeCell ref="G97:J98"/>
    <mergeCell ref="G68:J69"/>
    <mergeCell ref="G81:J82"/>
    <mergeCell ref="A70:F70"/>
    <mergeCell ref="A84:K85"/>
  </mergeCells>
  <phoneticPr fontId="95" type="noConversion"/>
  <conditionalFormatting sqref="C74:C77 C34:F35 C37:F39 C42:F46 C48:F48 C50:F53 C55:F57 C59:F62 C65:F65 C86:C106 D98 C83 C25:H25 H65 H59:H62 H55:H57 H50:H53 H48 H42:H46 H37:H39 H34:H35 C26:F32 H26:H32 G26:G65">
    <cfRule type="cellIs" dxfId="103" priority="4" stopIfTrue="1" operator="lessThan">
      <formula>-500</formula>
    </cfRule>
  </conditionalFormatting>
  <conditionalFormatting sqref="C8:F8 C10:F11">
    <cfRule type="cellIs" dxfId="102" priority="6" stopIfTrue="1" operator="greaterThan">
      <formula>1</formula>
    </cfRule>
  </conditionalFormatting>
  <conditionalFormatting sqref="C7:F7 C9:F9">
    <cfRule type="cellIs" dxfId="101" priority="7" stopIfTrue="1" operator="lessThan">
      <formula>-1</formula>
    </cfRule>
  </conditionalFormatting>
  <conditionalFormatting sqref="C78:C82">
    <cfRule type="cellIs" dxfId="100" priority="1" stopIfTrue="1" operator="lessThan">
      <formula>-10</formula>
    </cfRule>
  </conditionalFormatting>
  <dataValidations count="3">
    <dataValidation type="decimal" operator="lessThan" allowBlank="1" showInputMessage="1" showErrorMessage="1" error="Beloppet ska vara i 1000 tal kronor" sqref="H37:H39 H42:H46 H50:H53 H55:H57 H59:H62 H25:H32 H65 C6:F7 D98 C98:C106 C76 C86:C88 H48 C59:F62 C55:F57 C50:F53 H34:H35 C42:F46 C37:F39 C34:F35 C48:F48 C65:F65 C25:F32 C12:H14 C82:C83 C9:H9 G7:H7">
      <formula1>99999999</formula1>
    </dataValidation>
    <dataValidation type="decimal" operator="lessThanOrEqual" allowBlank="1" showInputMessage="1" showErrorMessage="1" error="Minustecken måste anges" sqref="C8:H8 C10:H11">
      <formula1>0</formula1>
    </dataValidation>
    <dataValidation type="decimal" allowBlank="1" showInputMessage="1" showErrorMessage="1" error="Beloppet ska vara utan minustecken och i tusental kronor" sqref="C78:C81 C74:C75 C94:D97">
      <formula1>0</formula1>
      <formula2>99999999</formula2>
    </dataValidation>
  </dataValidations>
  <pageMargins left="0.70866141732283472" right="0.70866141732283472" top="0.74803149606299213" bottom="0.35433070866141736" header="0.31496062992125984" footer="0.31496062992125984"/>
  <pageSetup paperSize="9" scale="64" orientation="portrait" r:id="rId4"/>
  <headerFooter>
    <oddHeader>&amp;L&amp;8Statistiska Centralbyrå
Offentlig ekonomi&amp;R&amp;P</oddHead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AH304"/>
  <sheetViews>
    <sheetView showGridLines="0" zoomScale="90" zoomScaleNormal="90" workbookViewId="0">
      <pane xSplit="2" ySplit="10" topLeftCell="C11" activePane="bottomRight" state="frozen"/>
      <selection activeCell="I28" sqref="I28"/>
      <selection pane="topRight" activeCell="I28" sqref="I28"/>
      <selection pane="bottomLeft" activeCell="I28" sqref="I28"/>
      <selection pane="bottomRight" activeCell="AA97" sqref="AA97"/>
    </sheetView>
  </sheetViews>
  <sheetFormatPr defaultColWidth="0" defaultRowHeight="12.75" zeroHeight="1"/>
  <cols>
    <col min="1" max="1" width="3.85546875" style="212" customWidth="1"/>
    <col min="2" max="2" width="30.140625" style="212" customWidth="1"/>
    <col min="3" max="3" width="8.7109375" style="212" customWidth="1"/>
    <col min="4" max="4" width="7.85546875" style="212" customWidth="1"/>
    <col min="5" max="5" width="8.7109375" style="212" customWidth="1"/>
    <col min="6" max="6" width="9.7109375" style="212" customWidth="1"/>
    <col min="7" max="7" width="11.140625" style="212" customWidth="1"/>
    <col min="8" max="8" width="9.7109375" style="212" customWidth="1"/>
    <col min="9" max="10" width="8.7109375" style="212" customWidth="1"/>
    <col min="11" max="11" width="1.28515625" style="212" customWidth="1"/>
    <col min="12" max="14" width="8.7109375" style="212" customWidth="1"/>
    <col min="15" max="15" width="9.42578125" style="212" customWidth="1"/>
    <col min="16" max="16" width="10" style="212" customWidth="1"/>
    <col min="17" max="17" width="3.7109375" style="212" customWidth="1"/>
    <col min="18" max="19" width="8.7109375" style="212" customWidth="1"/>
    <col min="20" max="20" width="10.85546875" style="212" customWidth="1"/>
    <col min="21" max="21" width="2.28515625" style="212" customWidth="1"/>
    <col min="22" max="22" width="8.7109375" style="212" customWidth="1"/>
    <col min="23" max="23" width="10.5703125" style="212" customWidth="1"/>
    <col min="24" max="24" width="2.28515625" style="212" customWidth="1"/>
    <col min="25" max="25" width="11.7109375" style="212" customWidth="1"/>
    <col min="26" max="26" width="9.140625" style="212" customWidth="1"/>
    <col min="27" max="27" width="8.7109375" style="212" customWidth="1"/>
    <col min="28" max="28" width="8.7109375" style="147" customWidth="1"/>
    <col min="29" max="29" width="7.28515625" style="147" customWidth="1"/>
    <col min="30" max="30" width="2.140625" style="174" customWidth="1"/>
    <col min="31" max="31" width="6.85546875" style="424" hidden="1" customWidth="1"/>
    <col min="32" max="32" width="10.42578125" style="174" customWidth="1"/>
    <col min="33" max="33" width="10.140625" style="174" customWidth="1"/>
    <col min="34" max="34" width="0.140625" style="174" customWidth="1"/>
    <col min="35" max="36" width="9.140625" style="174" customWidth="1"/>
    <col min="37" max="16384" width="0" style="174" hidden="1"/>
  </cols>
  <sheetData>
    <row r="1" spans="1:34" ht="21.75" customHeight="1">
      <c r="A1" s="173"/>
      <c r="B1" s="83"/>
      <c r="C1" s="82" t="str">
        <f>"Driftredovisning "&amp;År&amp;", miljoner kr"</f>
        <v>Driftredovisning 2017, miljoner kr</v>
      </c>
      <c r="D1" s="83"/>
      <c r="E1" s="83"/>
      <c r="F1" s="173"/>
      <c r="G1" s="173"/>
      <c r="H1" s="173"/>
      <c r="I1" s="2260" t="s">
        <v>471</v>
      </c>
      <c r="J1" s="520" t="str">
        <f>'Kn Information'!A2</f>
        <v>RIKSTOTAL</v>
      </c>
      <c r="K1" s="201"/>
      <c r="L1" s="173"/>
      <c r="M1" s="173"/>
      <c r="N1" s="173"/>
      <c r="O1" s="173"/>
      <c r="P1" s="173"/>
      <c r="Q1" s="173"/>
      <c r="R1" s="82"/>
      <c r="S1" s="173"/>
      <c r="T1" s="173"/>
      <c r="U1" s="173"/>
      <c r="V1" s="173"/>
      <c r="W1" s="173"/>
      <c r="X1" s="173"/>
      <c r="Y1" s="519"/>
      <c r="Z1" s="520"/>
      <c r="AA1" s="173"/>
      <c r="AB1" s="421"/>
      <c r="AC1" s="421"/>
      <c r="AD1" s="173"/>
      <c r="AE1" s="421"/>
      <c r="AF1" s="173"/>
      <c r="AG1" s="173"/>
    </row>
    <row r="2" spans="1:34" ht="12.75" customHeight="1">
      <c r="A2" s="1290"/>
      <c r="C2" s="2217"/>
      <c r="D2" s="2153"/>
      <c r="E2" s="2188"/>
      <c r="F2" s="2188"/>
      <c r="G2" s="2201"/>
      <c r="H2" s="2153"/>
      <c r="I2" s="2188"/>
      <c r="J2" s="2188"/>
      <c r="K2" s="2188"/>
      <c r="L2" s="2188"/>
      <c r="M2" s="2188"/>
      <c r="N2" s="2153"/>
      <c r="O2" s="2188"/>
      <c r="P2" s="2188"/>
      <c r="Q2" s="2188"/>
      <c r="R2" s="4"/>
      <c r="S2" s="202"/>
      <c r="T2" s="4"/>
      <c r="U2" s="4"/>
      <c r="V2" s="4"/>
      <c r="W2" s="4"/>
      <c r="X2" s="176"/>
      <c r="Y2" s="4"/>
      <c r="Z2" s="209"/>
      <c r="AA2" s="209"/>
      <c r="AB2" s="1384"/>
      <c r="AC2" s="1313"/>
      <c r="AD2" s="1322"/>
      <c r="AE2" s="1331"/>
      <c r="AF2" s="209"/>
    </row>
    <row r="3" spans="1:34" s="207" customFormat="1" ht="12.75" customHeight="1" thickBot="1">
      <c r="C3" s="2283"/>
      <c r="D3" s="2284"/>
      <c r="E3" s="2285"/>
      <c r="F3" s="2285"/>
      <c r="G3" s="2286"/>
      <c r="H3" s="2284"/>
      <c r="I3" s="2287"/>
      <c r="J3" s="2285"/>
      <c r="K3" s="2188"/>
      <c r="L3" s="2285"/>
      <c r="M3" s="2285"/>
      <c r="N3" s="2284"/>
      <c r="O3" s="2287"/>
      <c r="P3" s="2282"/>
      <c r="Q3" s="2282"/>
      <c r="R3" s="203"/>
      <c r="S3" s="204"/>
      <c r="T3" s="204"/>
      <c r="U3" s="205"/>
      <c r="V3" s="203"/>
      <c r="W3" s="204"/>
      <c r="X3" s="205"/>
      <c r="Y3" s="203" t="s">
        <v>146</v>
      </c>
      <c r="Z3" s="1332"/>
      <c r="AA3" s="1332"/>
      <c r="AB3" s="1385"/>
      <c r="AC3" s="1386"/>
      <c r="AD3" s="1387"/>
      <c r="AE3" s="1333"/>
      <c r="AF3" s="1334"/>
    </row>
    <row r="4" spans="1:34" s="186" customFormat="1" ht="43.5" customHeight="1">
      <c r="A4" s="880" t="s">
        <v>208</v>
      </c>
      <c r="B4" s="881" t="s">
        <v>16</v>
      </c>
      <c r="C4" s="2688" t="s">
        <v>37</v>
      </c>
      <c r="D4" s="2689"/>
      <c r="E4" s="2690" t="s">
        <v>38</v>
      </c>
      <c r="F4" s="2691"/>
      <c r="G4" s="2691"/>
      <c r="H4" s="2692"/>
      <c r="I4" s="2695" t="s">
        <v>39</v>
      </c>
      <c r="J4" s="2696"/>
      <c r="K4" s="38"/>
      <c r="L4" s="2693" t="s">
        <v>147</v>
      </c>
      <c r="M4" s="2694"/>
      <c r="N4" s="2694"/>
      <c r="O4" s="2689"/>
      <c r="P4" s="959"/>
      <c r="Q4" s="78"/>
      <c r="R4" s="2717" t="s">
        <v>40</v>
      </c>
      <c r="S4" s="2718"/>
      <c r="T4" s="2719"/>
      <c r="U4" s="116"/>
      <c r="V4" s="1992" t="s">
        <v>149</v>
      </c>
      <c r="W4" s="977"/>
      <c r="X4" s="38"/>
      <c r="Y4" s="1688" t="s">
        <v>1082</v>
      </c>
      <c r="Z4" s="2720" t="s">
        <v>1106</v>
      </c>
      <c r="AA4" s="2721"/>
      <c r="AB4" s="2722"/>
      <c r="AC4" s="2305" t="str">
        <f>"Förändring kostnader för eget åtagande "&amp;År-1&amp;"-"&amp;År&amp;" procent"</f>
        <v>Förändring kostnader för eget åtagande 2016-2017 procent</v>
      </c>
      <c r="AD4" s="2303" t="s">
        <v>1316</v>
      </c>
      <c r="AE4" s="1639" t="str">
        <f>"Köp av verksamhet som andel av "</f>
        <v xml:space="preserve">Köp av verksamhet som andel av </v>
      </c>
      <c r="AF4" s="1688" t="s">
        <v>1088</v>
      </c>
      <c r="AG4" s="1698" t="s">
        <v>1089</v>
      </c>
      <c r="AH4" s="2061" t="s">
        <v>1195</v>
      </c>
    </row>
    <row r="5" spans="1:34" ht="47.25" customHeight="1">
      <c r="A5" s="1369"/>
      <c r="B5" s="1370"/>
      <c r="C5" s="1359" t="s">
        <v>198</v>
      </c>
      <c r="D5" s="916" t="s">
        <v>515</v>
      </c>
      <c r="E5" s="1451" t="s">
        <v>935</v>
      </c>
      <c r="F5" s="916" t="s">
        <v>843</v>
      </c>
      <c r="G5" s="917" t="s">
        <v>207</v>
      </c>
      <c r="H5" s="918" t="s">
        <v>829</v>
      </c>
      <c r="I5" s="919" t="s">
        <v>479</v>
      </c>
      <c r="J5" s="920" t="s">
        <v>516</v>
      </c>
      <c r="K5" s="38"/>
      <c r="L5" s="2289" t="s">
        <v>560</v>
      </c>
      <c r="M5" s="2290" t="s">
        <v>480</v>
      </c>
      <c r="N5" s="2697" t="s">
        <v>1300</v>
      </c>
      <c r="O5" s="2698"/>
      <c r="P5" s="960" t="s">
        <v>491</v>
      </c>
      <c r="Q5" s="48"/>
      <c r="R5" s="975" t="s">
        <v>736</v>
      </c>
      <c r="S5" s="918" t="s">
        <v>482</v>
      </c>
      <c r="T5" s="976" t="s">
        <v>483</v>
      </c>
      <c r="U5" s="32"/>
      <c r="V5" s="961"/>
      <c r="W5" s="978" t="s">
        <v>492</v>
      </c>
      <c r="X5" s="38"/>
      <c r="Y5" s="2732" t="s">
        <v>484</v>
      </c>
      <c r="Z5" s="921" t="str">
        <f>"Netto-kostnader "&amp;År&amp;""</f>
        <v>Netto-kostnader 2017</v>
      </c>
      <c r="AA5" s="921" t="str">
        <f>"Kostnader för eget åtagande "&amp;År&amp;""</f>
        <v>Kostnader för eget åtagande 2017</v>
      </c>
      <c r="AB5" s="921" t="str">
        <f>"Kostnader för eget åtagande "&amp;År-1&amp;""</f>
        <v>Kostnader för eget åtagande 2016</v>
      </c>
      <c r="AC5" s="2306"/>
      <c r="AD5" s="2292" t="s">
        <v>1317</v>
      </c>
      <c r="AE5" s="1638" t="str">
        <f>"verksamhetens kostnad för eget åtagande "&amp;År&amp;" procent"</f>
        <v>verksamhetens kostnad för eget åtagande 2017 procent</v>
      </c>
      <c r="AF5" s="2710" t="s">
        <v>1090</v>
      </c>
      <c r="AG5" s="2708" t="s">
        <v>1091</v>
      </c>
      <c r="AH5" s="2706" t="s">
        <v>1196</v>
      </c>
    </row>
    <row r="6" spans="1:34" ht="56.25" customHeight="1" thickBot="1">
      <c r="A6" s="883"/>
      <c r="B6" s="1509" t="s">
        <v>814</v>
      </c>
      <c r="C6" s="1510" t="s">
        <v>886</v>
      </c>
      <c r="D6" s="2288"/>
      <c r="E6" s="1510" t="s">
        <v>911</v>
      </c>
      <c r="F6" s="1442" t="s">
        <v>880</v>
      </c>
      <c r="G6" s="1511" t="s">
        <v>887</v>
      </c>
      <c r="H6" s="1442" t="s">
        <v>48</v>
      </c>
      <c r="I6" s="1443" t="s">
        <v>49</v>
      </c>
      <c r="J6" s="1444"/>
      <c r="K6" s="38"/>
      <c r="L6" s="2291"/>
      <c r="M6" s="1511"/>
      <c r="N6" s="1511" t="s">
        <v>936</v>
      </c>
      <c r="O6" s="1442" t="s">
        <v>937</v>
      </c>
      <c r="P6" s="962"/>
      <c r="Q6" s="78"/>
      <c r="R6" s="1705" t="s">
        <v>930</v>
      </c>
      <c r="S6" s="1706" t="s">
        <v>50</v>
      </c>
      <c r="T6" s="1445" t="s">
        <v>844</v>
      </c>
      <c r="U6" s="32"/>
      <c r="V6" s="883"/>
      <c r="W6" s="962"/>
      <c r="X6" s="38"/>
      <c r="Y6" s="2733"/>
      <c r="Z6" s="1740"/>
      <c r="AA6" s="1741"/>
      <c r="AB6" s="1742"/>
      <c r="AC6" s="2307"/>
      <c r="AD6" s="2293" t="s">
        <v>1318</v>
      </c>
      <c r="AE6" s="1596"/>
      <c r="AF6" s="2711"/>
      <c r="AG6" s="2709"/>
      <c r="AH6" s="2707"/>
    </row>
    <row r="7" spans="1:34" ht="9.75" hidden="1" customHeight="1">
      <c r="A7" s="883"/>
      <c r="B7" s="1592"/>
      <c r="C7" s="1514"/>
      <c r="D7" s="1515"/>
      <c r="E7" s="1519"/>
      <c r="F7" s="1520"/>
      <c r="G7" s="1521"/>
      <c r="H7" s="1522"/>
      <c r="I7" s="1523"/>
      <c r="J7" s="1524"/>
      <c r="K7" s="32"/>
      <c r="L7" s="1362"/>
      <c r="M7" s="1363"/>
      <c r="N7" s="1360"/>
      <c r="O7" s="884"/>
      <c r="P7" s="963"/>
      <c r="Q7" s="48"/>
      <c r="R7" s="1545"/>
      <c r="S7" s="1546"/>
      <c r="T7" s="1547"/>
      <c r="U7" s="32"/>
      <c r="V7" s="961"/>
      <c r="W7" s="963"/>
      <c r="X7" s="32"/>
      <c r="Y7" s="2385"/>
      <c r="Z7" s="2388"/>
      <c r="AA7" s="994"/>
      <c r="AB7" s="993"/>
      <c r="AC7" s="2306"/>
      <c r="AD7" s="2292"/>
      <c r="AE7" s="1596"/>
      <c r="AF7" s="1684"/>
      <c r="AG7" s="1685"/>
      <c r="AH7" s="1933"/>
    </row>
    <row r="8" spans="1:34" ht="12.75" hidden="1" customHeight="1">
      <c r="A8" s="885"/>
      <c r="B8" s="1516"/>
      <c r="C8" s="1517"/>
      <c r="D8" s="1518"/>
      <c r="E8" s="1525"/>
      <c r="F8" s="1526"/>
      <c r="G8" s="1527"/>
      <c r="H8" s="1528"/>
      <c r="I8" s="1529"/>
      <c r="J8" s="1530"/>
      <c r="K8" s="32"/>
      <c r="L8" s="961"/>
      <c r="M8" s="923"/>
      <c r="N8" s="1360"/>
      <c r="O8" s="884"/>
      <c r="P8" s="963"/>
      <c r="Q8" s="48"/>
      <c r="R8" s="1545"/>
      <c r="S8" s="1546"/>
      <c r="T8" s="1547"/>
      <c r="U8" s="32"/>
      <c r="V8" s="964"/>
      <c r="W8" s="963"/>
      <c r="X8" s="32"/>
      <c r="Y8" s="2385"/>
      <c r="Z8" s="2389"/>
      <c r="AA8" s="996"/>
      <c r="AB8" s="922"/>
      <c r="AC8" s="2306"/>
      <c r="AD8" s="2153"/>
      <c r="AE8" s="1000"/>
      <c r="AF8" s="1684"/>
      <c r="AG8" s="1685"/>
      <c r="AH8" s="1933"/>
    </row>
    <row r="9" spans="1:34" ht="10.5" hidden="1" customHeight="1">
      <c r="A9" s="883"/>
      <c r="B9" s="1531"/>
      <c r="C9" s="1532"/>
      <c r="D9" s="1533"/>
      <c r="E9" s="1534"/>
      <c r="F9" s="1535"/>
      <c r="G9" s="1527"/>
      <c r="H9" s="1528"/>
      <c r="I9" s="1536"/>
      <c r="J9" s="1537"/>
      <c r="K9" s="11"/>
      <c r="L9" s="964"/>
      <c r="M9" s="923"/>
      <c r="N9" s="1245"/>
      <c r="O9" s="1257"/>
      <c r="P9" s="963"/>
      <c r="Q9" s="48"/>
      <c r="R9" s="1548"/>
      <c r="S9" s="1549"/>
      <c r="T9" s="1537"/>
      <c r="U9" s="11"/>
      <c r="V9" s="964"/>
      <c r="W9" s="979"/>
      <c r="X9" s="11"/>
      <c r="Y9" s="2385"/>
      <c r="Z9" s="2389"/>
      <c r="AA9" s="995"/>
      <c r="AB9" s="922"/>
      <c r="AC9" s="2306"/>
      <c r="AD9" s="2153"/>
      <c r="AE9" s="1001"/>
      <c r="AF9" s="1684"/>
      <c r="AG9" s="1685"/>
      <c r="AH9" s="1933"/>
    </row>
    <row r="10" spans="1:34" ht="12" hidden="1" customHeight="1">
      <c r="A10" s="886"/>
      <c r="B10" s="1538"/>
      <c r="C10" s="1539"/>
      <c r="D10" s="1540"/>
      <c r="E10" s="1541"/>
      <c r="F10" s="1540"/>
      <c r="G10" s="1542"/>
      <c r="H10" s="1543"/>
      <c r="I10" s="1539"/>
      <c r="J10" s="1544"/>
      <c r="K10" s="11"/>
      <c r="L10" s="965"/>
      <c r="M10" s="924"/>
      <c r="N10" s="1084"/>
      <c r="O10" s="1361"/>
      <c r="P10" s="966"/>
      <c r="Q10" s="210"/>
      <c r="R10" s="1550"/>
      <c r="S10" s="1540"/>
      <c r="T10" s="1544"/>
      <c r="U10" s="117"/>
      <c r="V10" s="965"/>
      <c r="W10" s="980"/>
      <c r="X10" s="11"/>
      <c r="Y10" s="2386"/>
      <c r="Z10" s="2390"/>
      <c r="AA10" s="1738"/>
      <c r="AB10" s="1739"/>
      <c r="AC10" s="2308"/>
      <c r="AD10" s="2304"/>
      <c r="AE10" s="1002"/>
      <c r="AF10" s="1684"/>
      <c r="AG10" s="1685"/>
      <c r="AH10" s="1934"/>
    </row>
    <row r="11" spans="1:34" ht="39" customHeight="1">
      <c r="A11" s="887"/>
      <c r="B11" s="888" t="s">
        <v>17</v>
      </c>
      <c r="C11" s="925"/>
      <c r="D11" s="926"/>
      <c r="E11" s="925"/>
      <c r="F11" s="927"/>
      <c r="G11" s="928"/>
      <c r="H11" s="929"/>
      <c r="I11" s="925"/>
      <c r="J11" s="930"/>
      <c r="K11" s="211"/>
      <c r="L11" s="967"/>
      <c r="M11" s="927"/>
      <c r="N11" s="926"/>
      <c r="O11" s="968"/>
      <c r="P11" s="930"/>
      <c r="Q11" s="211"/>
      <c r="R11" s="967"/>
      <c r="S11" s="927"/>
      <c r="T11" s="930"/>
      <c r="U11" s="211"/>
      <c r="V11" s="981"/>
      <c r="W11" s="982"/>
      <c r="X11" s="36"/>
      <c r="Y11" s="2361"/>
      <c r="Z11" s="925"/>
      <c r="AA11" s="927"/>
      <c r="AB11" s="927"/>
      <c r="AC11" s="2367"/>
      <c r="AD11" s="2302"/>
      <c r="AE11" s="758"/>
      <c r="AF11" s="1684"/>
      <c r="AG11" s="1685"/>
      <c r="AH11" s="1935"/>
    </row>
    <row r="12" spans="1:34" ht="11.25" customHeight="1">
      <c r="A12" s="889"/>
      <c r="B12" s="890" t="s">
        <v>52</v>
      </c>
      <c r="C12" s="931"/>
      <c r="D12" s="932"/>
      <c r="E12" s="931"/>
      <c r="F12" s="933"/>
      <c r="G12" s="934"/>
      <c r="H12" s="935"/>
      <c r="I12" s="931"/>
      <c r="J12" s="936"/>
      <c r="K12" s="211"/>
      <c r="L12" s="969"/>
      <c r="M12" s="933"/>
      <c r="N12" s="932"/>
      <c r="O12" s="970"/>
      <c r="P12" s="936"/>
      <c r="Q12" s="211"/>
      <c r="R12" s="969"/>
      <c r="S12" s="933"/>
      <c r="T12" s="936"/>
      <c r="U12" s="211"/>
      <c r="V12" s="983"/>
      <c r="W12" s="984"/>
      <c r="X12" s="29"/>
      <c r="Y12" s="2362"/>
      <c r="Z12" s="2391"/>
      <c r="AA12" s="2368"/>
      <c r="AB12" s="2368"/>
      <c r="AC12" s="2369"/>
      <c r="AD12" s="2301"/>
      <c r="AE12" s="758"/>
      <c r="AF12" s="1684"/>
      <c r="AG12" s="1685"/>
      <c r="AH12" s="1936"/>
    </row>
    <row r="13" spans="1:34">
      <c r="A13" s="592" t="s">
        <v>219</v>
      </c>
      <c r="B13" s="891" t="s">
        <v>53</v>
      </c>
      <c r="C13" s="19">
        <v>1912</v>
      </c>
      <c r="D13" s="20">
        <v>635</v>
      </c>
      <c r="E13" s="21">
        <v>50</v>
      </c>
      <c r="F13" s="19">
        <v>14</v>
      </c>
      <c r="G13" s="19">
        <v>327</v>
      </c>
      <c r="H13" s="20">
        <v>53</v>
      </c>
      <c r="I13" s="19">
        <v>19</v>
      </c>
      <c r="J13" s="106">
        <v>16</v>
      </c>
      <c r="K13" s="30"/>
      <c r="L13" s="109">
        <v>57</v>
      </c>
      <c r="M13" s="19">
        <v>203</v>
      </c>
      <c r="N13" s="20">
        <v>22</v>
      </c>
      <c r="O13" s="449">
        <v>111</v>
      </c>
      <c r="P13" s="379">
        <f>SUM(C13:O13)</f>
        <v>3419</v>
      </c>
      <c r="Q13" s="49"/>
      <c r="R13" s="109">
        <v>4</v>
      </c>
      <c r="S13" s="19">
        <v>1</v>
      </c>
      <c r="T13" s="106">
        <v>65</v>
      </c>
      <c r="U13" s="50"/>
      <c r="V13" s="119">
        <v>80</v>
      </c>
      <c r="W13" s="414">
        <f>SUM(R13:V13)</f>
        <v>150</v>
      </c>
      <c r="X13" s="57"/>
      <c r="Y13" s="2357">
        <v>3325</v>
      </c>
      <c r="Z13" s="2327"/>
      <c r="AA13" s="2328"/>
      <c r="AB13" s="2329"/>
      <c r="AC13" s="2311"/>
      <c r="AD13" s="2294" t="str">
        <f>IF(P13=0,"Belopp saknas","")</f>
        <v/>
      </c>
      <c r="AE13" s="1003"/>
      <c r="AF13" s="1005">
        <v>3270</v>
      </c>
      <c r="AG13" s="1689">
        <v>3273</v>
      </c>
      <c r="AH13" s="1937">
        <f>W13-V13-(IF(AND(Motpart!$Y$9="",Motpart!$Z$9=""),0,IF(AND(Motpart!$Y$9=0,Motpart!$Z$9=0),0,((T13/$T$17)*(Motpart!$Y$9+Motpart!$Z$9)))))</f>
        <v>57.152269399707173</v>
      </c>
    </row>
    <row r="14" spans="1:34">
      <c r="A14" s="592" t="s">
        <v>220</v>
      </c>
      <c r="B14" s="892" t="s">
        <v>54</v>
      </c>
      <c r="C14" s="22">
        <v>9</v>
      </c>
      <c r="D14" s="20">
        <v>3</v>
      </c>
      <c r="E14" s="24">
        <v>0</v>
      </c>
      <c r="F14" s="22">
        <v>0</v>
      </c>
      <c r="G14" s="22">
        <v>1</v>
      </c>
      <c r="H14" s="23">
        <v>454</v>
      </c>
      <c r="I14" s="22">
        <v>0</v>
      </c>
      <c r="J14" s="107">
        <v>0</v>
      </c>
      <c r="K14" s="30"/>
      <c r="L14" s="110">
        <v>1</v>
      </c>
      <c r="M14" s="22">
        <v>2</v>
      </c>
      <c r="N14" s="20">
        <v>0</v>
      </c>
      <c r="O14" s="380">
        <v>1</v>
      </c>
      <c r="P14" s="379">
        <f>SUM(C14:O14)</f>
        <v>471</v>
      </c>
      <c r="Q14" s="49"/>
      <c r="R14" s="110">
        <v>0</v>
      </c>
      <c r="S14" s="22">
        <v>0</v>
      </c>
      <c r="T14" s="107">
        <v>1</v>
      </c>
      <c r="U14" s="50"/>
      <c r="V14" s="120">
        <v>2</v>
      </c>
      <c r="W14" s="414">
        <f>SUM(R14:V14)</f>
        <v>3</v>
      </c>
      <c r="X14" s="57"/>
      <c r="Y14" s="1588">
        <v>470</v>
      </c>
      <c r="Z14" s="2336"/>
      <c r="AA14" s="2339"/>
      <c r="AB14" s="2339"/>
      <c r="AC14" s="2365"/>
      <c r="AD14" s="2294" t="str">
        <f>IF(P14=0,"Belopp saknas","")</f>
        <v/>
      </c>
      <c r="AE14" s="1003"/>
      <c r="AF14" s="1005">
        <v>470</v>
      </c>
      <c r="AG14" s="1689">
        <v>16</v>
      </c>
      <c r="AH14" s="1937">
        <f>W14-V14-(IF(AND(Motpart!$Y$9="",Motpart!$Z$9=""),0,IF(AND(Motpart!$Y$9=0,Motpart!$Z$9=0),0,((T14/$T$17)*(Motpart!$Y$9+Motpart!$Z$9)))))</f>
        <v>0.80234260614934116</v>
      </c>
    </row>
    <row r="15" spans="1:34">
      <c r="A15" s="592" t="s">
        <v>221</v>
      </c>
      <c r="B15" s="892" t="s">
        <v>55</v>
      </c>
      <c r="C15" s="22">
        <v>120</v>
      </c>
      <c r="D15" s="20">
        <v>38</v>
      </c>
      <c r="E15" s="24">
        <v>3</v>
      </c>
      <c r="F15" s="22">
        <v>7</v>
      </c>
      <c r="G15" s="22">
        <v>235</v>
      </c>
      <c r="H15" s="23">
        <v>0</v>
      </c>
      <c r="I15" s="22">
        <v>3</v>
      </c>
      <c r="J15" s="107">
        <v>0</v>
      </c>
      <c r="K15" s="30"/>
      <c r="L15" s="110">
        <v>2</v>
      </c>
      <c r="M15" s="22">
        <v>7</v>
      </c>
      <c r="N15" s="20">
        <v>2</v>
      </c>
      <c r="O15" s="380">
        <v>14</v>
      </c>
      <c r="P15" s="379">
        <f>SUM(C15:O15)</f>
        <v>431</v>
      </c>
      <c r="Q15" s="49"/>
      <c r="R15" s="110">
        <v>5</v>
      </c>
      <c r="S15" s="22">
        <v>0</v>
      </c>
      <c r="T15" s="107">
        <v>9</v>
      </c>
      <c r="U15" s="50"/>
      <c r="V15" s="120">
        <v>2</v>
      </c>
      <c r="W15" s="414">
        <f>SUM(R15:V15)</f>
        <v>16</v>
      </c>
      <c r="X15" s="57"/>
      <c r="Y15" s="1588">
        <v>431</v>
      </c>
      <c r="Z15" s="2336"/>
      <c r="AA15" s="2339"/>
      <c r="AB15" s="2339"/>
      <c r="AC15" s="2365"/>
      <c r="AD15" s="2294" t="str">
        <f>IF(P15=0,"Belopp saknas","")</f>
        <v/>
      </c>
      <c r="AE15" s="1003"/>
      <c r="AF15" s="1005">
        <v>416</v>
      </c>
      <c r="AG15" s="1689">
        <v>424</v>
      </c>
      <c r="AH15" s="1937">
        <f>W15-V15-(IF(AND(Motpart!$Y$9="",Motpart!$Z$9=""),0,IF(AND(Motpart!$Y$9=0,Motpart!$Z$9=0),0,((T15/$T$17)*(Motpart!$Y$9+Motpart!$Z$9)))))</f>
        <v>12.22108345534407</v>
      </c>
    </row>
    <row r="16" spans="1:34">
      <c r="A16" s="592" t="s">
        <v>222</v>
      </c>
      <c r="B16" s="892" t="s">
        <v>56</v>
      </c>
      <c r="C16" s="22">
        <v>1319</v>
      </c>
      <c r="D16" s="20">
        <v>446</v>
      </c>
      <c r="E16" s="24">
        <v>31</v>
      </c>
      <c r="F16" s="22">
        <v>138</v>
      </c>
      <c r="G16" s="22">
        <v>614</v>
      </c>
      <c r="H16" s="23">
        <v>82</v>
      </c>
      <c r="I16" s="22">
        <v>15</v>
      </c>
      <c r="J16" s="107">
        <v>12</v>
      </c>
      <c r="K16" s="30"/>
      <c r="L16" s="110">
        <v>41</v>
      </c>
      <c r="M16" s="22">
        <v>161</v>
      </c>
      <c r="N16" s="20">
        <v>24</v>
      </c>
      <c r="O16" s="380">
        <v>77</v>
      </c>
      <c r="P16" s="379">
        <f>SUM(C16:O16)</f>
        <v>2960</v>
      </c>
      <c r="Q16" s="49"/>
      <c r="R16" s="110">
        <v>30</v>
      </c>
      <c r="S16" s="22">
        <v>0</v>
      </c>
      <c r="T16" s="107">
        <v>608</v>
      </c>
      <c r="U16" s="50"/>
      <c r="V16" s="120">
        <v>125</v>
      </c>
      <c r="W16" s="414">
        <f>SUM(R16:V16)</f>
        <v>763</v>
      </c>
      <c r="X16" s="57"/>
      <c r="Y16" s="1588">
        <v>2713</v>
      </c>
      <c r="Z16" s="2337"/>
      <c r="AA16" s="2340"/>
      <c r="AB16" s="2340"/>
      <c r="AC16" s="2366"/>
      <c r="AD16" s="2294"/>
      <c r="AE16" s="1003"/>
      <c r="AF16" s="1005">
        <v>2195</v>
      </c>
      <c r="AG16" s="1689">
        <v>2614</v>
      </c>
      <c r="AH16" s="1937">
        <f>W16-V16-(IF(AND(Motpart!$Y$9="",Motpart!$Z$9=""),0,IF(AND(Motpart!$Y$9=0,Motpart!$Z$9=0),0,((T16/$T$17)*(Motpart!$Y$9+Motpart!$Z$9)))))</f>
        <v>517.82430453879942</v>
      </c>
    </row>
    <row r="17" spans="1:34" ht="12.75" customHeight="1" thickBot="1">
      <c r="A17" s="594" t="s">
        <v>223</v>
      </c>
      <c r="B17" s="892" t="s">
        <v>57</v>
      </c>
      <c r="C17" s="374">
        <f>SUM(C13:C16)</f>
        <v>3360</v>
      </c>
      <c r="D17" s="25">
        <f t="shared" ref="D17:O17" si="0">SUM(D13:D16)</f>
        <v>1122</v>
      </c>
      <c r="E17" s="382">
        <f t="shared" si="0"/>
        <v>84</v>
      </c>
      <c r="F17" s="374">
        <f t="shared" si="0"/>
        <v>159</v>
      </c>
      <c r="G17" s="374">
        <f t="shared" si="0"/>
        <v>1177</v>
      </c>
      <c r="H17" s="25">
        <f t="shared" si="0"/>
        <v>589</v>
      </c>
      <c r="I17" s="374">
        <f t="shared" si="0"/>
        <v>37</v>
      </c>
      <c r="J17" s="111">
        <f t="shared" si="0"/>
        <v>28</v>
      </c>
      <c r="K17" s="151"/>
      <c r="L17" s="381">
        <f>SUM(L13:L16)</f>
        <v>101</v>
      </c>
      <c r="M17" s="374">
        <f t="shared" si="0"/>
        <v>373</v>
      </c>
      <c r="N17" s="25">
        <f t="shared" si="0"/>
        <v>48</v>
      </c>
      <c r="O17" s="25">
        <f t="shared" si="0"/>
        <v>203</v>
      </c>
      <c r="P17" s="111">
        <f>SUM(P6:P16)</f>
        <v>7281</v>
      </c>
      <c r="Q17" s="49"/>
      <c r="R17" s="381">
        <f>SUM(R13:R16)</f>
        <v>39</v>
      </c>
      <c r="S17" s="374">
        <f>SUM(S13:S16)</f>
        <v>1</v>
      </c>
      <c r="T17" s="111">
        <f>SUM(T13:T16)</f>
        <v>683</v>
      </c>
      <c r="U17" s="49"/>
      <c r="V17" s="123">
        <f>SUM(V13:V16)</f>
        <v>209</v>
      </c>
      <c r="W17" s="124">
        <f>SUM(W13:W16)</f>
        <v>932</v>
      </c>
      <c r="X17" s="57"/>
      <c r="Y17" s="2322">
        <v>6940</v>
      </c>
      <c r="Z17" s="1745">
        <f>(P17-W17)*1000000/invanare</f>
        <v>627.35653949777088</v>
      </c>
      <c r="AA17" s="1746">
        <f>Y17*1000000/invanare</f>
        <v>685.75435251449517</v>
      </c>
      <c r="AB17" s="1749">
        <v>678</v>
      </c>
      <c r="AC17" s="2315">
        <f>IF(ISERROR((AA17-AB17)/AB17)," ",((AA17-AB17)/AB17))</f>
        <v>1.1437098103975174E-2</v>
      </c>
      <c r="AD17" s="2310" t="str">
        <f>IF(AA17="","Belopp saknas",IF(OR(AC17&gt;20%,AC17&lt;-15%),"Kommentera förändringen",IF(OR(AA17&gt;1600,AA17&lt;320),"Kommentera riksavvikelsen","")))</f>
        <v/>
      </c>
      <c r="AE17" s="1686"/>
      <c r="AF17" s="1035">
        <v>6351</v>
      </c>
      <c r="AG17" s="1692">
        <v>6327</v>
      </c>
      <c r="AH17" s="1937">
        <f>W17-V17-SUM(Motpart!Y9:Z9)</f>
        <v>588</v>
      </c>
    </row>
    <row r="18" spans="1:34" ht="37.5" customHeight="1">
      <c r="A18" s="893"/>
      <c r="B18" s="894" t="s">
        <v>58</v>
      </c>
      <c r="C18" s="937"/>
      <c r="D18" s="938"/>
      <c r="E18" s="937"/>
      <c r="F18" s="939"/>
      <c r="G18" s="939"/>
      <c r="H18" s="938"/>
      <c r="I18" s="939"/>
      <c r="J18" s="940"/>
      <c r="K18" s="30"/>
      <c r="L18" s="971"/>
      <c r="M18" s="939"/>
      <c r="N18" s="938"/>
      <c r="O18" s="938"/>
      <c r="P18" s="940"/>
      <c r="Q18" s="50"/>
      <c r="R18" s="971"/>
      <c r="S18" s="939"/>
      <c r="T18" s="940"/>
      <c r="U18" s="50"/>
      <c r="V18" s="985"/>
      <c r="W18" s="986"/>
      <c r="X18" s="30"/>
      <c r="Y18" s="2361"/>
      <c r="Z18" s="941"/>
      <c r="AA18" s="945"/>
      <c r="AB18" s="945"/>
      <c r="AC18" s="947"/>
      <c r="AD18" s="2153"/>
      <c r="AE18" s="1006"/>
      <c r="AF18" s="1699"/>
      <c r="AG18" s="1701"/>
      <c r="AH18" s="1938"/>
    </row>
    <row r="19" spans="1:34">
      <c r="A19" s="592" t="s">
        <v>224</v>
      </c>
      <c r="B19" s="895" t="s">
        <v>59</v>
      </c>
      <c r="C19" s="19">
        <v>3478</v>
      </c>
      <c r="D19" s="20">
        <v>1335</v>
      </c>
      <c r="E19" s="19">
        <v>898</v>
      </c>
      <c r="F19" s="19">
        <v>88</v>
      </c>
      <c r="G19" s="19">
        <v>1763</v>
      </c>
      <c r="H19" s="20">
        <v>62</v>
      </c>
      <c r="I19" s="19">
        <v>648</v>
      </c>
      <c r="J19" s="106">
        <v>722</v>
      </c>
      <c r="K19" s="30"/>
      <c r="L19" s="109">
        <v>310</v>
      </c>
      <c r="M19" s="19">
        <v>1346</v>
      </c>
      <c r="N19" s="20">
        <v>54</v>
      </c>
      <c r="O19" s="380">
        <v>266</v>
      </c>
      <c r="P19" s="379">
        <f>SUM(C19:O19)</f>
        <v>10970</v>
      </c>
      <c r="Q19" s="49"/>
      <c r="R19" s="109">
        <v>2712</v>
      </c>
      <c r="S19" s="19">
        <v>291</v>
      </c>
      <c r="T19" s="106">
        <v>1397</v>
      </c>
      <c r="U19" s="50"/>
      <c r="V19" s="119">
        <v>2393</v>
      </c>
      <c r="W19" s="414">
        <f t="shared" ref="W19:W29" si="1">SUM(R19:V19)</f>
        <v>6793</v>
      </c>
      <c r="X19" s="57"/>
      <c r="Y19" s="1588">
        <v>8523</v>
      </c>
      <c r="Z19" s="2392"/>
      <c r="AA19" s="2328"/>
      <c r="AB19" s="2329"/>
      <c r="AC19" s="2311"/>
      <c r="AD19" s="2295"/>
      <c r="AE19" s="1006"/>
      <c r="AF19" s="1005">
        <v>4177</v>
      </c>
      <c r="AG19" s="1689">
        <v>8428</v>
      </c>
      <c r="AH19" s="1937">
        <f>W19-V19-(IF(AND(Motpart!$Y$10="",Motpart!$Z$10=""),0,IF(AND(Motpart!$Y$10=0,Motpart!$Z$10=0),0,((T19/$T$30)*(Motpart!$Y$10+Motpart!$Z$10)))))</f>
        <v>4318.9445691590399</v>
      </c>
    </row>
    <row r="20" spans="1:34">
      <c r="A20" s="592" t="s">
        <v>225</v>
      </c>
      <c r="B20" s="892" t="s">
        <v>60</v>
      </c>
      <c r="C20" s="19">
        <v>500</v>
      </c>
      <c r="D20" s="20">
        <v>192</v>
      </c>
      <c r="E20" s="19">
        <v>53</v>
      </c>
      <c r="F20" s="19">
        <v>74</v>
      </c>
      <c r="G20" s="19">
        <v>605</v>
      </c>
      <c r="H20" s="20">
        <v>781</v>
      </c>
      <c r="I20" s="19">
        <v>38</v>
      </c>
      <c r="J20" s="106">
        <v>55</v>
      </c>
      <c r="K20" s="30"/>
      <c r="L20" s="110">
        <v>30</v>
      </c>
      <c r="M20" s="22">
        <v>93</v>
      </c>
      <c r="N20" s="20">
        <v>15</v>
      </c>
      <c r="O20" s="380">
        <v>45</v>
      </c>
      <c r="P20" s="379">
        <f t="shared" ref="P20:P29" si="2">SUM(C20:O20)</f>
        <v>2481</v>
      </c>
      <c r="Q20" s="49"/>
      <c r="R20" s="110">
        <v>13</v>
      </c>
      <c r="S20" s="22">
        <v>16</v>
      </c>
      <c r="T20" s="107">
        <v>307</v>
      </c>
      <c r="U20" s="50"/>
      <c r="V20" s="120">
        <v>44</v>
      </c>
      <c r="W20" s="414">
        <f t="shared" si="1"/>
        <v>380</v>
      </c>
      <c r="X20" s="2325"/>
      <c r="Y20" s="2358">
        <v>2421</v>
      </c>
      <c r="Z20" s="2392"/>
      <c r="AA20" s="2328"/>
      <c r="AB20" s="2329"/>
      <c r="AC20" s="2311"/>
      <c r="AD20" s="2153"/>
      <c r="AE20" s="1006"/>
      <c r="AF20" s="1005">
        <v>2101</v>
      </c>
      <c r="AG20" s="1689">
        <v>1582</v>
      </c>
      <c r="AH20" s="1937">
        <f>W20-V20-(IF(AND(Motpart!$Y$10="",Motpart!$Z$10=""),0,IF(AND(Motpart!$Y$10=0,Motpart!$Z$10=0),0,((T20/$T$30)*(Motpart!$Y$10+Motpart!$Z$10)))))</f>
        <v>318.18753237782767</v>
      </c>
    </row>
    <row r="21" spans="1:34">
      <c r="A21" s="592" t="s">
        <v>701</v>
      </c>
      <c r="B21" s="892" t="s">
        <v>61</v>
      </c>
      <c r="C21" s="19">
        <v>117</v>
      </c>
      <c r="D21" s="20">
        <v>45</v>
      </c>
      <c r="E21" s="19">
        <v>5</v>
      </c>
      <c r="F21" s="19">
        <v>16</v>
      </c>
      <c r="G21" s="19">
        <v>34</v>
      </c>
      <c r="H21" s="20">
        <v>4</v>
      </c>
      <c r="I21" s="19">
        <v>7</v>
      </c>
      <c r="J21" s="106">
        <v>0</v>
      </c>
      <c r="K21" s="30"/>
      <c r="L21" s="110">
        <v>6</v>
      </c>
      <c r="M21" s="22">
        <v>19</v>
      </c>
      <c r="N21" s="20">
        <v>1</v>
      </c>
      <c r="O21" s="380">
        <v>6</v>
      </c>
      <c r="P21" s="379">
        <f t="shared" si="2"/>
        <v>260</v>
      </c>
      <c r="Q21" s="49"/>
      <c r="R21" s="110">
        <v>5</v>
      </c>
      <c r="S21" s="22">
        <v>0</v>
      </c>
      <c r="T21" s="107">
        <v>89</v>
      </c>
      <c r="U21" s="50"/>
      <c r="V21" s="120">
        <v>8</v>
      </c>
      <c r="W21" s="414">
        <f t="shared" si="1"/>
        <v>102</v>
      </c>
      <c r="X21" s="2325"/>
      <c r="Y21" s="2357">
        <v>245</v>
      </c>
      <c r="Z21" s="2392"/>
      <c r="AA21" s="2328"/>
      <c r="AB21" s="2329"/>
      <c r="AC21" s="2311"/>
      <c r="AD21" s="2153"/>
      <c r="AE21" s="1006"/>
      <c r="AF21" s="1005">
        <v>157</v>
      </c>
      <c r="AG21" s="1689">
        <v>231</v>
      </c>
      <c r="AH21" s="1937">
        <f>W21-V21-(IF(AND(Motpart!$Y$10="",Motpart!$Z$10=""),0,IF(AND(Motpart!$Y$10=0,Motpart!$Z$10=0),0,((T21/$T$30)*(Motpart!$Y$10+Motpart!$Z$10)))))</f>
        <v>88.836125021585218</v>
      </c>
    </row>
    <row r="22" spans="1:34">
      <c r="A22" s="592" t="s">
        <v>226</v>
      </c>
      <c r="B22" s="892" t="s">
        <v>62</v>
      </c>
      <c r="C22" s="19">
        <v>165</v>
      </c>
      <c r="D22" s="20">
        <v>63</v>
      </c>
      <c r="E22" s="19">
        <v>55</v>
      </c>
      <c r="F22" s="19">
        <v>100</v>
      </c>
      <c r="G22" s="19">
        <v>186</v>
      </c>
      <c r="H22" s="20">
        <v>275</v>
      </c>
      <c r="I22" s="19">
        <v>14</v>
      </c>
      <c r="J22" s="106">
        <v>35</v>
      </c>
      <c r="K22" s="30"/>
      <c r="L22" s="110">
        <v>23</v>
      </c>
      <c r="M22" s="22">
        <v>38</v>
      </c>
      <c r="N22" s="20">
        <v>5</v>
      </c>
      <c r="O22" s="380">
        <v>20</v>
      </c>
      <c r="P22" s="379">
        <f t="shared" si="2"/>
        <v>979</v>
      </c>
      <c r="Q22" s="49"/>
      <c r="R22" s="110">
        <v>54</v>
      </c>
      <c r="S22" s="22">
        <v>26</v>
      </c>
      <c r="T22" s="107">
        <v>110</v>
      </c>
      <c r="U22" s="50"/>
      <c r="V22" s="120">
        <v>11</v>
      </c>
      <c r="W22" s="414">
        <f t="shared" si="1"/>
        <v>201</v>
      </c>
      <c r="X22" s="2325"/>
      <c r="Y22" s="2357">
        <v>961</v>
      </c>
      <c r="Z22" s="2334"/>
      <c r="AA22" s="2328"/>
      <c r="AB22" s="2329"/>
      <c r="AC22" s="2311"/>
      <c r="AD22" s="2294"/>
      <c r="AE22" s="1006"/>
      <c r="AF22" s="1005">
        <v>779</v>
      </c>
      <c r="AG22" s="1689">
        <v>594</v>
      </c>
      <c r="AH22" s="1937">
        <f>W22-V22-(IF(AND(Motpart!$Y$10="",Motpart!$Z$10=""),0,IF(AND(Motpart!$Y$10=0,Motpart!$Z$10=0),0,((T22/$T$30)*(Motpart!$Y$10+Motpart!$Z$10)))))</f>
        <v>183.61768261094801</v>
      </c>
    </row>
    <row r="23" spans="1:34">
      <c r="A23" s="592" t="s">
        <v>227</v>
      </c>
      <c r="B23" s="903" t="s">
        <v>932</v>
      </c>
      <c r="C23" s="19">
        <v>1657</v>
      </c>
      <c r="D23" s="20">
        <v>656</v>
      </c>
      <c r="E23" s="19">
        <v>4135</v>
      </c>
      <c r="F23" s="19">
        <v>2638</v>
      </c>
      <c r="G23" s="19">
        <v>1651</v>
      </c>
      <c r="H23" s="20">
        <v>686</v>
      </c>
      <c r="I23" s="19">
        <v>99</v>
      </c>
      <c r="J23" s="106">
        <v>4224</v>
      </c>
      <c r="K23" s="30"/>
      <c r="L23" s="110">
        <v>231</v>
      </c>
      <c r="M23" s="22">
        <v>2568</v>
      </c>
      <c r="N23" s="20">
        <v>63</v>
      </c>
      <c r="O23" s="380">
        <v>397</v>
      </c>
      <c r="P23" s="379">
        <f t="shared" si="2"/>
        <v>19005</v>
      </c>
      <c r="Q23" s="49"/>
      <c r="R23" s="110">
        <v>3008</v>
      </c>
      <c r="S23" s="22">
        <v>16</v>
      </c>
      <c r="T23" s="107">
        <v>2128</v>
      </c>
      <c r="U23" s="50"/>
      <c r="V23" s="120">
        <v>3043</v>
      </c>
      <c r="W23" s="414">
        <f t="shared" si="1"/>
        <v>8195</v>
      </c>
      <c r="X23" s="2325"/>
      <c r="Y23" s="2357">
        <v>15872</v>
      </c>
      <c r="Z23" s="2334"/>
      <c r="AA23" s="2328"/>
      <c r="AB23" s="2329"/>
      <c r="AC23" s="2311"/>
      <c r="AD23" s="2294" t="str">
        <f>IF(P23=0,"Belopp saknas",IF(H23&lt;'Verks int o kostn'!D43,"Bidrag infrastr.saknas på rad 249",""))</f>
        <v>Bidrag infrastr.saknas på rad 249</v>
      </c>
      <c r="AE23" s="1006"/>
      <c r="AF23" s="1005">
        <v>10809</v>
      </c>
      <c r="AG23" s="1689">
        <v>12637</v>
      </c>
      <c r="AH23" s="1937">
        <f>W23-V23-(IF(AND(Motpart!$Y$10="",Motpart!$Z$10=""),0,IF(AND(Motpart!$Y$10=0,Motpart!$Z$10=0),0,((T23/$T$30)*(Motpart!$Y$10+Motpart!$Z$10)))))</f>
        <v>5028.5311690554308</v>
      </c>
    </row>
    <row r="24" spans="1:34">
      <c r="A24" s="592" t="s">
        <v>228</v>
      </c>
      <c r="B24" s="892" t="s">
        <v>19</v>
      </c>
      <c r="C24" s="19">
        <v>889</v>
      </c>
      <c r="D24" s="20">
        <v>343</v>
      </c>
      <c r="E24" s="19">
        <v>644</v>
      </c>
      <c r="F24" s="19">
        <v>840</v>
      </c>
      <c r="G24" s="19">
        <v>417</v>
      </c>
      <c r="H24" s="20">
        <v>18</v>
      </c>
      <c r="I24" s="19">
        <v>29</v>
      </c>
      <c r="J24" s="106">
        <v>818</v>
      </c>
      <c r="K24" s="30"/>
      <c r="L24" s="110">
        <v>73</v>
      </c>
      <c r="M24" s="22">
        <v>1438</v>
      </c>
      <c r="N24" s="20">
        <v>18</v>
      </c>
      <c r="O24" s="380">
        <v>109</v>
      </c>
      <c r="P24" s="379">
        <f t="shared" si="2"/>
        <v>5636</v>
      </c>
      <c r="Q24" s="49"/>
      <c r="R24" s="110">
        <v>17</v>
      </c>
      <c r="S24" s="22">
        <v>10</v>
      </c>
      <c r="T24" s="107">
        <v>593</v>
      </c>
      <c r="U24" s="50"/>
      <c r="V24" s="120">
        <v>1014</v>
      </c>
      <c r="W24" s="414">
        <f t="shared" si="1"/>
        <v>1634</v>
      </c>
      <c r="X24" s="2325"/>
      <c r="Y24" s="2357">
        <v>4606</v>
      </c>
      <c r="Z24" s="2334"/>
      <c r="AA24" s="2328"/>
      <c r="AB24" s="2329"/>
      <c r="AC24" s="2311"/>
      <c r="AD24" s="2294" t="str">
        <f>IF(P24=0,"Belopp saknas","")</f>
        <v/>
      </c>
      <c r="AE24" s="1006"/>
      <c r="AF24" s="1005">
        <v>4002</v>
      </c>
      <c r="AG24" s="1689">
        <v>3764</v>
      </c>
      <c r="AH24" s="1937">
        <f>W24-V24-(IF(AND(Motpart!$Y$10="",Motpart!$Z$10=""),0,IF(AND(Motpart!$Y$10=0,Motpart!$Z$10=0),0,((T24/$T$30)*(Motpart!$Y$10+Motpart!$Z$10)))))</f>
        <v>585.59350716629251</v>
      </c>
    </row>
    <row r="25" spans="1:34">
      <c r="A25" s="592" t="s">
        <v>229</v>
      </c>
      <c r="B25" s="892" t="s">
        <v>64</v>
      </c>
      <c r="C25" s="19">
        <v>1205</v>
      </c>
      <c r="D25" s="20">
        <v>465</v>
      </c>
      <c r="E25" s="19">
        <v>43</v>
      </c>
      <c r="F25" s="19">
        <v>100</v>
      </c>
      <c r="G25" s="19">
        <v>314</v>
      </c>
      <c r="H25" s="20">
        <v>16</v>
      </c>
      <c r="I25" s="19">
        <v>35</v>
      </c>
      <c r="J25" s="106">
        <v>15</v>
      </c>
      <c r="K25" s="30"/>
      <c r="L25" s="110">
        <v>57</v>
      </c>
      <c r="M25" s="22">
        <v>186</v>
      </c>
      <c r="N25" s="20">
        <v>13</v>
      </c>
      <c r="O25" s="380">
        <v>72</v>
      </c>
      <c r="P25" s="379">
        <f t="shared" si="2"/>
        <v>2521</v>
      </c>
      <c r="Q25" s="49"/>
      <c r="R25" s="110">
        <v>837</v>
      </c>
      <c r="S25" s="22">
        <v>0</v>
      </c>
      <c r="T25" s="107">
        <v>207</v>
      </c>
      <c r="U25" s="50"/>
      <c r="V25" s="120">
        <v>231</v>
      </c>
      <c r="W25" s="414">
        <f t="shared" si="1"/>
        <v>1275</v>
      </c>
      <c r="X25" s="2325"/>
      <c r="Y25" s="1588">
        <v>2273</v>
      </c>
      <c r="Z25" s="2327"/>
      <c r="AA25" s="2328"/>
      <c r="AB25" s="2329"/>
      <c r="AC25" s="2311"/>
      <c r="AD25" s="2295"/>
      <c r="AE25" s="1006"/>
      <c r="AF25" s="1005">
        <v>1246</v>
      </c>
      <c r="AG25" s="1689">
        <v>2173</v>
      </c>
      <c r="AH25" s="1937">
        <f>W25-V25-(IF(AND(Motpart!$Y$10="",Motpart!$Z$10=""),0,IF(AND(Motpart!$Y$10=0,Motpart!$Z$10=0),0,((T25/$T$30)*(Motpart!$Y$10+Motpart!$Z$10)))))</f>
        <v>1031.9896390951476</v>
      </c>
    </row>
    <row r="26" spans="1:34">
      <c r="A26" s="592" t="s">
        <v>230</v>
      </c>
      <c r="B26" s="892" t="s">
        <v>65</v>
      </c>
      <c r="C26" s="19">
        <v>453</v>
      </c>
      <c r="D26" s="20">
        <v>174</v>
      </c>
      <c r="E26" s="19">
        <v>106</v>
      </c>
      <c r="F26" s="19">
        <v>42</v>
      </c>
      <c r="G26" s="19">
        <v>310</v>
      </c>
      <c r="H26" s="20">
        <v>46</v>
      </c>
      <c r="I26" s="19">
        <v>18</v>
      </c>
      <c r="J26" s="106">
        <v>41</v>
      </c>
      <c r="K26" s="30"/>
      <c r="L26" s="110">
        <v>23</v>
      </c>
      <c r="M26" s="22">
        <v>139</v>
      </c>
      <c r="N26" s="20">
        <v>6</v>
      </c>
      <c r="O26" s="380">
        <v>40</v>
      </c>
      <c r="P26" s="379">
        <f t="shared" si="2"/>
        <v>1398</v>
      </c>
      <c r="Q26" s="49"/>
      <c r="R26" s="110">
        <v>57</v>
      </c>
      <c r="S26" s="22">
        <v>2</v>
      </c>
      <c r="T26" s="107">
        <v>312</v>
      </c>
      <c r="U26" s="50"/>
      <c r="V26" s="120">
        <v>80</v>
      </c>
      <c r="W26" s="414">
        <f t="shared" si="1"/>
        <v>451</v>
      </c>
      <c r="X26" s="2325"/>
      <c r="Y26" s="2358">
        <v>1305</v>
      </c>
      <c r="Z26" s="2335"/>
      <c r="AA26" s="2339"/>
      <c r="AB26" s="2339"/>
      <c r="AC26" s="2365"/>
      <c r="AD26" s="2294"/>
      <c r="AE26" s="1006"/>
      <c r="AF26" s="1005">
        <v>950</v>
      </c>
      <c r="AG26" s="1689">
        <v>1232</v>
      </c>
      <c r="AH26" s="1937">
        <f>W26-V26-(IF(AND(Motpart!$Y$10="",Motpart!$Z$10=""),0,IF(AND(Motpart!$Y$10=0,Motpart!$Z$10=0),0,((T26/$T$30)*(Motpart!$Y$10+Motpart!$Z$10)))))</f>
        <v>352.89742704196169</v>
      </c>
    </row>
    <row r="27" spans="1:34">
      <c r="A27" s="592" t="s">
        <v>231</v>
      </c>
      <c r="B27" s="892" t="s">
        <v>66</v>
      </c>
      <c r="C27" s="19">
        <v>106</v>
      </c>
      <c r="D27" s="20">
        <v>40</v>
      </c>
      <c r="E27" s="19">
        <v>3</v>
      </c>
      <c r="F27" s="19">
        <v>13</v>
      </c>
      <c r="G27" s="19">
        <v>27</v>
      </c>
      <c r="H27" s="20">
        <v>0</v>
      </c>
      <c r="I27" s="19">
        <v>1</v>
      </c>
      <c r="J27" s="106">
        <v>0</v>
      </c>
      <c r="K27" s="30"/>
      <c r="L27" s="110">
        <v>5</v>
      </c>
      <c r="M27" s="22">
        <v>21</v>
      </c>
      <c r="N27" s="20">
        <v>2</v>
      </c>
      <c r="O27" s="380">
        <v>6</v>
      </c>
      <c r="P27" s="379">
        <f t="shared" si="2"/>
        <v>224</v>
      </c>
      <c r="Q27" s="49"/>
      <c r="R27" s="110">
        <v>163</v>
      </c>
      <c r="S27" s="22">
        <v>0</v>
      </c>
      <c r="T27" s="107">
        <v>20</v>
      </c>
      <c r="U27" s="50"/>
      <c r="V27" s="120">
        <v>12</v>
      </c>
      <c r="W27" s="414">
        <f t="shared" si="1"/>
        <v>195</v>
      </c>
      <c r="X27" s="2325"/>
      <c r="Y27" s="2357">
        <v>209</v>
      </c>
      <c r="Z27" s="2336"/>
      <c r="AA27" s="2339"/>
      <c r="AB27" s="2339"/>
      <c r="AC27" s="2365"/>
      <c r="AD27" s="2294"/>
      <c r="AE27" s="1006"/>
      <c r="AF27" s="1005">
        <v>29</v>
      </c>
      <c r="AG27" s="1689">
        <v>199</v>
      </c>
      <c r="AH27" s="1937">
        <f>W27-V27-(IF(AND(Motpart!$Y$10="",Motpart!$Z$10=""),0,IF(AND(Motpart!$Y$10=0,Motpart!$Z$10=0),0,((T27/$T$30)*(Motpart!$Y$10+Motpart!$Z$10)))))</f>
        <v>181.83957865653599</v>
      </c>
    </row>
    <row r="28" spans="1:34">
      <c r="A28" s="592" t="s">
        <v>232</v>
      </c>
      <c r="B28" s="892" t="s">
        <v>20</v>
      </c>
      <c r="C28" s="19">
        <v>1481</v>
      </c>
      <c r="D28" s="20">
        <v>569</v>
      </c>
      <c r="E28" s="19">
        <v>159</v>
      </c>
      <c r="F28" s="19">
        <v>3684</v>
      </c>
      <c r="G28" s="19">
        <v>333</v>
      </c>
      <c r="H28" s="20">
        <v>1053</v>
      </c>
      <c r="I28" s="19">
        <v>116</v>
      </c>
      <c r="J28" s="106">
        <v>190</v>
      </c>
      <c r="K28" s="30"/>
      <c r="L28" s="110">
        <v>197</v>
      </c>
      <c r="M28" s="22">
        <v>126</v>
      </c>
      <c r="N28" s="20">
        <v>20</v>
      </c>
      <c r="O28" s="380">
        <v>93</v>
      </c>
      <c r="P28" s="379">
        <f t="shared" si="2"/>
        <v>8021</v>
      </c>
      <c r="Q28" s="49"/>
      <c r="R28" s="110">
        <v>139</v>
      </c>
      <c r="S28" s="22">
        <v>36</v>
      </c>
      <c r="T28" s="107">
        <v>383</v>
      </c>
      <c r="U28" s="50"/>
      <c r="V28" s="120">
        <v>140</v>
      </c>
      <c r="W28" s="414">
        <f t="shared" si="1"/>
        <v>698</v>
      </c>
      <c r="X28" s="2325"/>
      <c r="Y28" s="2357">
        <v>7785</v>
      </c>
      <c r="Z28" s="2336"/>
      <c r="AA28" s="2339"/>
      <c r="AB28" s="2339"/>
      <c r="AC28" s="2365"/>
      <c r="AD28" s="2294" t="str">
        <f>IF(P28=0,"Belopp saknas","")</f>
        <v/>
      </c>
      <c r="AE28" s="1006"/>
      <c r="AF28" s="1005">
        <v>7323</v>
      </c>
      <c r="AG28" s="1689">
        <v>3145</v>
      </c>
      <c r="AH28" s="1937">
        <f>W28-V28-(IF(AND(Motpart!$Y$10="",Motpart!$Z$10=""),0,IF(AND(Motpart!$Y$10=0,Motpart!$Z$10=0),0,((T28/$T$30)*(Motpart!$Y$10+Motpart!$Z$10)))))</f>
        <v>535.77793127266443</v>
      </c>
    </row>
    <row r="29" spans="1:34">
      <c r="A29" s="592" t="s">
        <v>233</v>
      </c>
      <c r="B29" s="892" t="s">
        <v>67</v>
      </c>
      <c r="C29" s="19">
        <v>126</v>
      </c>
      <c r="D29" s="20">
        <v>48</v>
      </c>
      <c r="E29" s="19">
        <v>18</v>
      </c>
      <c r="F29" s="19">
        <v>17</v>
      </c>
      <c r="G29" s="19">
        <v>134</v>
      </c>
      <c r="H29" s="20">
        <v>7</v>
      </c>
      <c r="I29" s="19">
        <v>3</v>
      </c>
      <c r="J29" s="106">
        <v>15</v>
      </c>
      <c r="K29" s="30"/>
      <c r="L29" s="110">
        <v>5</v>
      </c>
      <c r="M29" s="22">
        <v>26</v>
      </c>
      <c r="N29" s="20">
        <v>2</v>
      </c>
      <c r="O29" s="380">
        <v>12</v>
      </c>
      <c r="P29" s="379">
        <f t="shared" si="2"/>
        <v>413</v>
      </c>
      <c r="Q29" s="49"/>
      <c r="R29" s="110">
        <v>9</v>
      </c>
      <c r="S29" s="22">
        <v>2</v>
      </c>
      <c r="T29" s="107">
        <v>245</v>
      </c>
      <c r="U29" s="50"/>
      <c r="V29" s="120">
        <v>15</v>
      </c>
      <c r="W29" s="414">
        <f t="shared" si="1"/>
        <v>271</v>
      </c>
      <c r="X29" s="2325"/>
      <c r="Y29" s="2357">
        <v>384</v>
      </c>
      <c r="Z29" s="2337"/>
      <c r="AA29" s="2340"/>
      <c r="AB29" s="2340"/>
      <c r="AC29" s="2366"/>
      <c r="AD29" s="2309"/>
      <c r="AE29" s="1006"/>
      <c r="AF29" s="1005">
        <v>140</v>
      </c>
      <c r="AG29" s="1689">
        <v>373</v>
      </c>
      <c r="AH29" s="1937">
        <f>W29-V29-(IF(AND(Motpart!$Y$10="",Motpart!$Z$10=""),0,IF(AND(Motpart!$Y$10=0,Motpart!$Z$10=0),0,((T29/$T$30)*(Motpart!$Y$10+Motpart!$Z$10)))))</f>
        <v>241.78483854256604</v>
      </c>
    </row>
    <row r="30" spans="1:34" ht="12.75" customHeight="1" thickBot="1">
      <c r="A30" s="594" t="s">
        <v>234</v>
      </c>
      <c r="B30" s="892" t="s">
        <v>68</v>
      </c>
      <c r="C30" s="374">
        <f t="shared" ref="C30:M30" si="3">SUM(C19:C29)</f>
        <v>10177</v>
      </c>
      <c r="D30" s="25">
        <f t="shared" si="3"/>
        <v>3930</v>
      </c>
      <c r="E30" s="25">
        <f t="shared" si="3"/>
        <v>6119</v>
      </c>
      <c r="F30" s="383">
        <f t="shared" si="3"/>
        <v>7612</v>
      </c>
      <c r="G30" s="384">
        <f t="shared" si="3"/>
        <v>5774</v>
      </c>
      <c r="H30" s="385">
        <f t="shared" si="3"/>
        <v>2948</v>
      </c>
      <c r="I30" s="374">
        <f t="shared" si="3"/>
        <v>1008</v>
      </c>
      <c r="J30" s="111">
        <f t="shared" si="3"/>
        <v>6115</v>
      </c>
      <c r="K30" s="151"/>
      <c r="L30" s="381">
        <f>SUM(L19:L29)</f>
        <v>960</v>
      </c>
      <c r="M30" s="374">
        <f t="shared" si="3"/>
        <v>6000</v>
      </c>
      <c r="N30" s="25">
        <f t="shared" ref="N30:W30" si="4">SUM(N19:N29)</f>
        <v>199</v>
      </c>
      <c r="O30" s="25">
        <f t="shared" si="4"/>
        <v>1066</v>
      </c>
      <c r="P30" s="111">
        <f t="shared" si="4"/>
        <v>51908</v>
      </c>
      <c r="Q30" s="49"/>
      <c r="R30" s="381">
        <f t="shared" si="4"/>
        <v>7014</v>
      </c>
      <c r="S30" s="374">
        <f t="shared" si="4"/>
        <v>399</v>
      </c>
      <c r="T30" s="111">
        <f t="shared" si="4"/>
        <v>5791</v>
      </c>
      <c r="U30" s="49"/>
      <c r="V30" s="123">
        <f t="shared" si="4"/>
        <v>6991</v>
      </c>
      <c r="W30" s="124">
        <f t="shared" si="4"/>
        <v>20195</v>
      </c>
      <c r="X30" s="2325"/>
      <c r="Y30" s="2387">
        <v>44582</v>
      </c>
      <c r="Z30" s="2393">
        <f>(P30-W30)*1000000/invanare</f>
        <v>3133.6207177654446</v>
      </c>
      <c r="AA30" s="2341">
        <f>Y30*1000000/invanare</f>
        <v>4405.2306259079578</v>
      </c>
      <c r="AB30" s="2338">
        <v>4315</v>
      </c>
      <c r="AC30" s="2320">
        <f>IF(ISERROR((AA30-AB30)/AB30)," ",((AA30-AB30)/AB30))</f>
        <v>2.0910921415517453E-2</v>
      </c>
      <c r="AD30" s="2310" t="str">
        <f>IF(AA30="","Belopp saknas",IF(OR(AC30&gt;30%,AC30&lt;-15%),"Kommentera förändringen",""))</f>
        <v/>
      </c>
      <c r="AE30" s="1694">
        <f>IF(ISERROR(F30/(AA30/1000*invanare)),"",(F30/(AA30/100000*invanare)))</f>
        <v>1.7074155488762281E-2</v>
      </c>
      <c r="AF30" s="1005">
        <v>31713</v>
      </c>
      <c r="AG30" s="1692">
        <v>34358</v>
      </c>
      <c r="AH30" s="1939">
        <f>W30-V30-SUM(Motpart!Y10:Z10)</f>
        <v>12868</v>
      </c>
    </row>
    <row r="31" spans="1:34" ht="37.5" customHeight="1">
      <c r="A31" s="685"/>
      <c r="B31" s="896" t="s">
        <v>69</v>
      </c>
      <c r="C31" s="941"/>
      <c r="D31" s="942"/>
      <c r="E31" s="943"/>
      <c r="F31" s="944"/>
      <c r="G31" s="945"/>
      <c r="H31" s="946"/>
      <c r="I31" s="945"/>
      <c r="J31" s="947"/>
      <c r="K31" s="30"/>
      <c r="L31" s="972"/>
      <c r="M31" s="945"/>
      <c r="N31" s="942"/>
      <c r="O31" s="942"/>
      <c r="P31" s="947"/>
      <c r="Q31" s="50"/>
      <c r="R31" s="972"/>
      <c r="S31" s="945"/>
      <c r="T31" s="947"/>
      <c r="U31" s="50"/>
      <c r="V31" s="987"/>
      <c r="W31" s="988"/>
      <c r="X31" s="30"/>
      <c r="Y31" s="2361"/>
      <c r="Z31" s="941"/>
      <c r="AA31" s="945"/>
      <c r="AB31" s="945"/>
      <c r="AC31" s="947"/>
      <c r="AD31" s="2378"/>
      <c r="AE31" s="1006">
        <f>IF(ISERROR(F30/(AA30/1000*invanare)),"",(SUM(Motpart!D10,Motpart!F10)/(AA30/100000*invanare)))</f>
        <v>6.5654299941680502E-3</v>
      </c>
      <c r="AF31" s="1585"/>
      <c r="AG31" s="1691"/>
      <c r="AH31" s="1940"/>
    </row>
    <row r="32" spans="1:34" ht="9" customHeight="1">
      <c r="A32" s="897"/>
      <c r="B32" s="898" t="s">
        <v>70</v>
      </c>
      <c r="C32" s="948"/>
      <c r="D32" s="949"/>
      <c r="E32" s="950"/>
      <c r="F32" s="951"/>
      <c r="G32" s="952"/>
      <c r="H32" s="953"/>
      <c r="I32" s="952"/>
      <c r="J32" s="954"/>
      <c r="K32" s="30"/>
      <c r="L32" s="973"/>
      <c r="M32" s="952"/>
      <c r="N32" s="949"/>
      <c r="O32" s="949"/>
      <c r="P32" s="954"/>
      <c r="Q32" s="50"/>
      <c r="R32" s="973"/>
      <c r="S32" s="952"/>
      <c r="T32" s="954"/>
      <c r="U32" s="50"/>
      <c r="V32" s="989"/>
      <c r="W32" s="990"/>
      <c r="X32" s="30"/>
      <c r="Y32" s="1588"/>
      <c r="Z32" s="2327"/>
      <c r="AA32" s="2328"/>
      <c r="AB32" s="2329"/>
      <c r="AC32" s="2311"/>
      <c r="AD32" s="2153"/>
      <c r="AE32" s="1006"/>
      <c r="AF32" s="1586"/>
      <c r="AG32" s="1690"/>
      <c r="AH32" s="1941"/>
    </row>
    <row r="33" spans="1:34" ht="12" customHeight="1">
      <c r="A33" s="592" t="s">
        <v>235</v>
      </c>
      <c r="B33" s="895" t="s">
        <v>71</v>
      </c>
      <c r="C33" s="19">
        <v>5</v>
      </c>
      <c r="D33" s="20">
        <v>2</v>
      </c>
      <c r="E33" s="457">
        <v>0</v>
      </c>
      <c r="F33" s="458">
        <v>2</v>
      </c>
      <c r="G33" s="19">
        <v>8</v>
      </c>
      <c r="H33" s="459">
        <v>438</v>
      </c>
      <c r="I33" s="19">
        <v>3</v>
      </c>
      <c r="J33" s="106">
        <v>0</v>
      </c>
      <c r="K33" s="30"/>
      <c r="L33" s="109">
        <v>1</v>
      </c>
      <c r="M33" s="19">
        <v>6</v>
      </c>
      <c r="N33" s="20">
        <v>0</v>
      </c>
      <c r="O33" s="380">
        <v>1</v>
      </c>
      <c r="P33" s="379">
        <f>SUM(C33:O33)</f>
        <v>466</v>
      </c>
      <c r="Q33" s="49"/>
      <c r="R33" s="109">
        <v>0</v>
      </c>
      <c r="S33" s="19">
        <v>0</v>
      </c>
      <c r="T33" s="106">
        <v>1</v>
      </c>
      <c r="U33" s="50"/>
      <c r="V33" s="119">
        <v>1</v>
      </c>
      <c r="W33" s="414">
        <f>SUM(R33:V33)</f>
        <v>2</v>
      </c>
      <c r="X33" s="57"/>
      <c r="Y33" s="2357">
        <v>466</v>
      </c>
      <c r="Z33" s="2327"/>
      <c r="AA33" s="2364"/>
      <c r="AB33" s="2364"/>
      <c r="AC33" s="2326"/>
      <c r="AD33" s="2294"/>
      <c r="AE33" s="1006"/>
      <c r="AF33" s="1005">
        <v>465</v>
      </c>
      <c r="AG33" s="1689">
        <v>26</v>
      </c>
      <c r="AH33" s="1937">
        <f>W33-V33-(IF(AND(Motpart!$Y$11="",Motpart!$Z$11=""),0,IF(AND(Motpart!$Y$11=0,Motpart!$Z$11=0),0,((T33/$T$37)*(Motpart!$Y$11+Motpart!$Z$11)))))</f>
        <v>0.98835125448028671</v>
      </c>
    </row>
    <row r="34" spans="1:34">
      <c r="A34" s="592" t="s">
        <v>236</v>
      </c>
      <c r="B34" s="892" t="s">
        <v>72</v>
      </c>
      <c r="C34" s="19">
        <v>1120</v>
      </c>
      <c r="D34" s="20">
        <v>426</v>
      </c>
      <c r="E34" s="19">
        <v>225</v>
      </c>
      <c r="F34" s="19">
        <v>137</v>
      </c>
      <c r="G34" s="19">
        <v>846</v>
      </c>
      <c r="H34" s="23">
        <v>1142</v>
      </c>
      <c r="I34" s="22">
        <v>262</v>
      </c>
      <c r="J34" s="107">
        <v>94</v>
      </c>
      <c r="K34" s="30"/>
      <c r="L34" s="110">
        <v>553</v>
      </c>
      <c r="M34" s="22">
        <v>348</v>
      </c>
      <c r="N34" s="20">
        <v>17</v>
      </c>
      <c r="O34" s="380">
        <v>105</v>
      </c>
      <c r="P34" s="379">
        <f>SUM(C34:O34)</f>
        <v>5275</v>
      </c>
      <c r="Q34" s="49"/>
      <c r="R34" s="110">
        <v>117</v>
      </c>
      <c r="S34" s="22">
        <v>60</v>
      </c>
      <c r="T34" s="107">
        <v>735</v>
      </c>
      <c r="U34" s="50"/>
      <c r="V34" s="120">
        <v>374</v>
      </c>
      <c r="W34" s="414">
        <f>SUM(R34:V34)</f>
        <v>1286</v>
      </c>
      <c r="X34" s="57"/>
      <c r="Y34" s="1588">
        <v>4894</v>
      </c>
      <c r="Z34" s="2327"/>
      <c r="AA34" s="2364"/>
      <c r="AB34" s="2364"/>
      <c r="AC34" s="2326"/>
      <c r="AD34" s="2309"/>
      <c r="AE34" s="1006"/>
      <c r="AF34" s="1005">
        <v>3989</v>
      </c>
      <c r="AG34" s="1689">
        <v>3621</v>
      </c>
      <c r="AH34" s="1937">
        <f>W34-V34-(IF(AND(Motpart!$Y$11="",Motpart!$Z$11=""),0,IF(AND(Motpart!$Y$11=0,Motpart!$Z$11=0),0,((T34/$T$37)*(Motpart!$Y$11+Motpart!$Z$11)))))</f>
        <v>903.43817204301081</v>
      </c>
    </row>
    <row r="35" spans="1:34">
      <c r="A35" s="592" t="s">
        <v>237</v>
      </c>
      <c r="B35" s="892" t="s">
        <v>73</v>
      </c>
      <c r="C35" s="19">
        <v>1778</v>
      </c>
      <c r="D35" s="20">
        <v>680</v>
      </c>
      <c r="E35" s="22">
        <v>566</v>
      </c>
      <c r="F35" s="22">
        <v>24</v>
      </c>
      <c r="G35" s="22">
        <v>420</v>
      </c>
      <c r="H35" s="23">
        <v>7</v>
      </c>
      <c r="I35" s="22">
        <v>329</v>
      </c>
      <c r="J35" s="107">
        <v>106</v>
      </c>
      <c r="K35" s="30"/>
      <c r="L35" s="110">
        <v>553</v>
      </c>
      <c r="M35" s="22">
        <v>363</v>
      </c>
      <c r="N35" s="20">
        <v>26</v>
      </c>
      <c r="O35" s="380">
        <v>150</v>
      </c>
      <c r="P35" s="379">
        <f>SUM(C35:O35)</f>
        <v>5002</v>
      </c>
      <c r="Q35" s="49"/>
      <c r="R35" s="110">
        <v>55</v>
      </c>
      <c r="S35" s="22">
        <v>7</v>
      </c>
      <c r="T35" s="107">
        <v>200</v>
      </c>
      <c r="U35" s="50"/>
      <c r="V35" s="120">
        <v>263</v>
      </c>
      <c r="W35" s="414">
        <f>SUM(R35:V35)</f>
        <v>525</v>
      </c>
      <c r="X35" s="57"/>
      <c r="Y35" s="1588">
        <v>4736</v>
      </c>
      <c r="Z35" s="2356"/>
      <c r="AA35" s="2371"/>
      <c r="AB35" s="2371"/>
      <c r="AC35" s="2377"/>
      <c r="AD35" s="2294"/>
      <c r="AE35" s="1006"/>
      <c r="AF35" s="1005">
        <v>4478</v>
      </c>
      <c r="AG35" s="1689">
        <v>4708</v>
      </c>
      <c r="AH35" s="1937">
        <f>W35-V35-(IF(AND(Motpart!$Y$11="",Motpart!$Z$11=""),0,IF(AND(Motpart!$Y$11=0,Motpart!$Z$11=0),0,((T35/$T$37)*(Motpart!$Y$11+Motpart!$Z$11)))))</f>
        <v>259.67025089605733</v>
      </c>
    </row>
    <row r="36" spans="1:34">
      <c r="A36" s="592" t="s">
        <v>238</v>
      </c>
      <c r="B36" s="892" t="s">
        <v>74</v>
      </c>
      <c r="C36" s="19">
        <v>1620</v>
      </c>
      <c r="D36" s="20">
        <v>618</v>
      </c>
      <c r="E36" s="22">
        <v>87</v>
      </c>
      <c r="F36" s="22">
        <v>64</v>
      </c>
      <c r="G36" s="22">
        <v>189</v>
      </c>
      <c r="H36" s="23">
        <v>9</v>
      </c>
      <c r="I36" s="22">
        <v>96</v>
      </c>
      <c r="J36" s="107">
        <v>22</v>
      </c>
      <c r="K36" s="30"/>
      <c r="L36" s="110">
        <v>194</v>
      </c>
      <c r="M36" s="22">
        <v>251</v>
      </c>
      <c r="N36" s="20">
        <v>15</v>
      </c>
      <c r="O36" s="380">
        <v>95</v>
      </c>
      <c r="P36" s="379">
        <f>SUM(C36:O36)</f>
        <v>3260</v>
      </c>
      <c r="Q36" s="49"/>
      <c r="R36" s="110">
        <v>249</v>
      </c>
      <c r="S36" s="22">
        <v>2</v>
      </c>
      <c r="T36" s="107">
        <v>180</v>
      </c>
      <c r="U36" s="50"/>
      <c r="V36" s="120">
        <v>255</v>
      </c>
      <c r="W36" s="414">
        <f>SUM(R36:V36)</f>
        <v>686</v>
      </c>
      <c r="X36" s="57"/>
      <c r="Y36" s="1588">
        <v>3004</v>
      </c>
      <c r="Z36" s="1748">
        <f>(P36-W36)*1000000/invanare</f>
        <v>254.34174400177386</v>
      </c>
      <c r="AA36" s="2342">
        <f>Y36*1000000/inv7_15</f>
        <v>2833.6521663666995</v>
      </c>
      <c r="AB36" s="2342">
        <v>2718</v>
      </c>
      <c r="AC36" s="2349">
        <f>IF(ISERROR((AA36-AB36)/AB36)," ",((AA36-AB36)/AB36))</f>
        <v>4.2550465918579645E-2</v>
      </c>
      <c r="AD36" s="2372" t="str">
        <f>IF(AA36="","Belopp saknas",IF(OR(AC36&gt;30%,AC36&lt;-10%),"Kommentera förändringen",""))</f>
        <v/>
      </c>
      <c r="AE36" s="2345"/>
      <c r="AF36" s="1005">
        <v>2576</v>
      </c>
      <c r="AG36" s="1689">
        <v>2934</v>
      </c>
      <c r="AH36" s="1937">
        <f>W36-V36-(IF(AND(Motpart!$Y$11="",Motpart!$Z$11=""),0,IF(AND(Motpart!$Y$11=0,Motpart!$Z$11=0),0,((T36/$T$37)*(Motpart!$Y$11+Motpart!$Z$11)))))</f>
        <v>428.90322580645159</v>
      </c>
    </row>
    <row r="37" spans="1:34">
      <c r="A37" s="592" t="s">
        <v>239</v>
      </c>
      <c r="B37" s="892" t="s">
        <v>75</v>
      </c>
      <c r="C37" s="374">
        <f t="shared" ref="C37:M37" si="5">SUM(C33:C36)</f>
        <v>4523</v>
      </c>
      <c r="D37" s="25">
        <f t="shared" si="5"/>
        <v>1726</v>
      </c>
      <c r="E37" s="374">
        <f t="shared" si="5"/>
        <v>878</v>
      </c>
      <c r="F37" s="374">
        <f t="shared" si="5"/>
        <v>227</v>
      </c>
      <c r="G37" s="374">
        <f t="shared" si="5"/>
        <v>1463</v>
      </c>
      <c r="H37" s="25">
        <f t="shared" si="5"/>
        <v>1596</v>
      </c>
      <c r="I37" s="374">
        <f t="shared" si="5"/>
        <v>690</v>
      </c>
      <c r="J37" s="111">
        <f t="shared" si="5"/>
        <v>222</v>
      </c>
      <c r="K37" s="151"/>
      <c r="L37" s="381">
        <f>SUM(L33:L36)</f>
        <v>1301</v>
      </c>
      <c r="M37" s="374">
        <f t="shared" si="5"/>
        <v>968</v>
      </c>
      <c r="N37" s="25">
        <f t="shared" ref="N37:W37" si="6">SUM(N33:N36)</f>
        <v>58</v>
      </c>
      <c r="O37" s="25">
        <f t="shared" si="6"/>
        <v>351</v>
      </c>
      <c r="P37" s="111">
        <f t="shared" si="6"/>
        <v>14003</v>
      </c>
      <c r="Q37" s="49"/>
      <c r="R37" s="381">
        <f t="shared" si="6"/>
        <v>421</v>
      </c>
      <c r="S37" s="374">
        <f t="shared" si="6"/>
        <v>69</v>
      </c>
      <c r="T37" s="111">
        <f t="shared" si="6"/>
        <v>1116</v>
      </c>
      <c r="U37" s="49"/>
      <c r="V37" s="123">
        <f t="shared" si="6"/>
        <v>893</v>
      </c>
      <c r="W37" s="124">
        <f t="shared" si="6"/>
        <v>2499</v>
      </c>
      <c r="X37" s="57"/>
      <c r="Y37" s="2357">
        <v>13100</v>
      </c>
      <c r="Z37" s="2394">
        <f>(P37-W37)*1000000/invanare</f>
        <v>1136.7317105658146</v>
      </c>
      <c r="AA37" s="2373">
        <f>Y37*1000000/invanare</f>
        <v>1294.4354492708771</v>
      </c>
      <c r="AB37" s="2373">
        <v>1281</v>
      </c>
      <c r="AC37" s="2316">
        <f>IF(ISERROR((AA37-AB37)/AB37)," ",((AA37-AB37)/AB37))</f>
        <v>1.0488250796937661E-2</v>
      </c>
      <c r="AD37" s="2372" t="str">
        <f>IF(AA37="","Belopp saknas",IF(OR(AC37&gt;25%,AC37&lt;-15%),"Kommentera förändringen",""))</f>
        <v/>
      </c>
      <c r="AE37" s="2345"/>
      <c r="AF37" s="1005">
        <v>11507</v>
      </c>
      <c r="AG37" s="1689">
        <v>11290</v>
      </c>
      <c r="AH37" s="1937">
        <f>W37-V37-SUM(Motpart!Y11:Z11)</f>
        <v>1593</v>
      </c>
    </row>
    <row r="38" spans="1:34" ht="9" customHeight="1">
      <c r="A38" s="897"/>
      <c r="B38" s="898" t="s">
        <v>76</v>
      </c>
      <c r="C38" s="955"/>
      <c r="D38" s="956"/>
      <c r="E38" s="957"/>
      <c r="F38" s="957"/>
      <c r="G38" s="957"/>
      <c r="H38" s="956"/>
      <c r="I38" s="957"/>
      <c r="J38" s="958"/>
      <c r="K38" s="30"/>
      <c r="L38" s="974"/>
      <c r="M38" s="957"/>
      <c r="N38" s="956"/>
      <c r="O38" s="956"/>
      <c r="P38" s="958"/>
      <c r="Q38" s="50"/>
      <c r="R38" s="974"/>
      <c r="S38" s="957"/>
      <c r="T38" s="958"/>
      <c r="U38" s="50"/>
      <c r="V38" s="991"/>
      <c r="W38" s="992"/>
      <c r="X38" s="30"/>
      <c r="Y38" s="2358"/>
      <c r="Z38" s="2327"/>
      <c r="AA38" s="2328"/>
      <c r="AB38" s="2329"/>
      <c r="AC38" s="2323"/>
      <c r="AD38" s="2347"/>
      <c r="AE38" s="2345"/>
      <c r="AF38" s="1005">
        <f t="shared" ref="AF38" si="7">P38-W38</f>
        <v>0</v>
      </c>
      <c r="AG38" s="1689">
        <f t="shared" ref="AG38:AG62" si="8">P38-F38-H38-V38</f>
        <v>0</v>
      </c>
      <c r="AH38" s="1937"/>
    </row>
    <row r="39" spans="1:34" ht="11.25" customHeight="1">
      <c r="A39" s="592" t="s">
        <v>240</v>
      </c>
      <c r="B39" s="895" t="s">
        <v>77</v>
      </c>
      <c r="C39" s="19">
        <v>337</v>
      </c>
      <c r="D39" s="20">
        <v>129</v>
      </c>
      <c r="E39" s="19">
        <v>72</v>
      </c>
      <c r="F39" s="19">
        <v>63</v>
      </c>
      <c r="G39" s="19">
        <v>150</v>
      </c>
      <c r="H39" s="20">
        <v>1607</v>
      </c>
      <c r="I39" s="19">
        <v>50</v>
      </c>
      <c r="J39" s="106">
        <v>26</v>
      </c>
      <c r="K39" s="30"/>
      <c r="L39" s="109">
        <v>227</v>
      </c>
      <c r="M39" s="19">
        <v>110</v>
      </c>
      <c r="N39" s="20">
        <v>8</v>
      </c>
      <c r="O39" s="380">
        <v>30</v>
      </c>
      <c r="P39" s="379">
        <f>SUM(C39:O39)</f>
        <v>2809</v>
      </c>
      <c r="Q39" s="49"/>
      <c r="R39" s="109">
        <v>15</v>
      </c>
      <c r="S39" s="19">
        <v>23</v>
      </c>
      <c r="T39" s="106">
        <v>173</v>
      </c>
      <c r="U39" s="50"/>
      <c r="V39" s="119">
        <v>87</v>
      </c>
      <c r="W39" s="414">
        <f>SUM(R39:V39)</f>
        <v>298</v>
      </c>
      <c r="X39" s="57"/>
      <c r="Y39" s="1588">
        <v>2720</v>
      </c>
      <c r="Z39" s="2370"/>
      <c r="AA39" s="2343"/>
      <c r="AB39" s="2343"/>
      <c r="AC39" s="2353"/>
      <c r="AD39" s="2347"/>
      <c r="AE39" s="2345"/>
      <c r="AF39" s="1005">
        <v>2511</v>
      </c>
      <c r="AG39" s="1689">
        <v>1051</v>
      </c>
      <c r="AH39" s="1937">
        <f>W39-V39-(IF(AND(Motpart!$Y$12="",Motpart!$Z$12=""),0,IF(AND(Motpart!$Y$12=0,Motpart!$Z$12=0),0,((T39/$T$42)*(Motpart!$Y$12+Motpart!$Z$12)))))</f>
        <v>208.41598207617625</v>
      </c>
    </row>
    <row r="40" spans="1:34">
      <c r="A40" s="592" t="s">
        <v>241</v>
      </c>
      <c r="B40" s="892" t="s">
        <v>78</v>
      </c>
      <c r="C40" s="19">
        <v>1847</v>
      </c>
      <c r="D40" s="20">
        <v>709</v>
      </c>
      <c r="E40" s="22">
        <v>1268</v>
      </c>
      <c r="F40" s="22">
        <v>505</v>
      </c>
      <c r="G40" s="22">
        <v>852</v>
      </c>
      <c r="H40" s="23">
        <v>320</v>
      </c>
      <c r="I40" s="22">
        <v>1316</v>
      </c>
      <c r="J40" s="107">
        <v>1077</v>
      </c>
      <c r="K40" s="30"/>
      <c r="L40" s="110">
        <v>3972</v>
      </c>
      <c r="M40" s="22">
        <v>971</v>
      </c>
      <c r="N40" s="20">
        <v>56</v>
      </c>
      <c r="O40" s="380">
        <v>332</v>
      </c>
      <c r="P40" s="379">
        <f>SUM(C40:O40)</f>
        <v>13225</v>
      </c>
      <c r="Q40" s="49"/>
      <c r="R40" s="110">
        <v>833</v>
      </c>
      <c r="S40" s="22">
        <v>380</v>
      </c>
      <c r="T40" s="107">
        <v>1000</v>
      </c>
      <c r="U40" s="50"/>
      <c r="V40" s="120">
        <v>1350</v>
      </c>
      <c r="W40" s="414">
        <f>SUM(R40:V40)</f>
        <v>3563</v>
      </c>
      <c r="X40" s="57"/>
      <c r="Y40" s="1588">
        <v>11857</v>
      </c>
      <c r="Z40" s="2370"/>
      <c r="AA40" s="2343"/>
      <c r="AB40" s="2343"/>
      <c r="AC40" s="2353"/>
      <c r="AD40" s="2348"/>
      <c r="AE40" s="2345"/>
      <c r="AF40" s="1005">
        <v>9662</v>
      </c>
      <c r="AG40" s="1689">
        <v>11050</v>
      </c>
      <c r="AH40" s="1937">
        <f>W40-V40-(IF(AND(Motpart!$Y$12="",Motpart!$Z$12=""),0,IF(AND(Motpart!$Y$12=0,Motpart!$Z$12=0),0,((T40/$T$42)*(Motpart!$Y$12+Motpart!$Z$12)))))</f>
        <v>2198.0634802091113</v>
      </c>
    </row>
    <row r="41" spans="1:34">
      <c r="A41" s="592" t="s">
        <v>242</v>
      </c>
      <c r="B41" s="892" t="s">
        <v>79</v>
      </c>
      <c r="C41" s="19">
        <v>1179</v>
      </c>
      <c r="D41" s="20">
        <v>454</v>
      </c>
      <c r="E41" s="22">
        <v>141</v>
      </c>
      <c r="F41" s="22">
        <v>166</v>
      </c>
      <c r="G41" s="22">
        <v>198</v>
      </c>
      <c r="H41" s="23">
        <v>100</v>
      </c>
      <c r="I41" s="22">
        <v>113</v>
      </c>
      <c r="J41" s="107">
        <v>17</v>
      </c>
      <c r="K41" s="30"/>
      <c r="L41" s="110">
        <v>258</v>
      </c>
      <c r="M41" s="22">
        <v>277</v>
      </c>
      <c r="N41" s="20">
        <v>11</v>
      </c>
      <c r="O41" s="380">
        <v>77</v>
      </c>
      <c r="P41" s="379">
        <f>SUM(C41:O41)</f>
        <v>2991</v>
      </c>
      <c r="Q41" s="49"/>
      <c r="R41" s="110">
        <v>28</v>
      </c>
      <c r="S41" s="22">
        <v>6</v>
      </c>
      <c r="T41" s="107">
        <v>166</v>
      </c>
      <c r="U41" s="50"/>
      <c r="V41" s="120">
        <v>285</v>
      </c>
      <c r="W41" s="414">
        <f>SUM(R41:V41)</f>
        <v>485</v>
      </c>
      <c r="X41" s="57"/>
      <c r="Y41" s="1588">
        <v>2704</v>
      </c>
      <c r="Z41" s="2374"/>
      <c r="AA41" s="2375"/>
      <c r="AB41" s="2375"/>
      <c r="AC41" s="2376"/>
      <c r="AD41" s="2347"/>
      <c r="AE41" s="2345"/>
      <c r="AF41" s="1005">
        <v>2506</v>
      </c>
      <c r="AG41" s="1689">
        <v>2439</v>
      </c>
      <c r="AH41" s="1937">
        <f>W41-V41-(IF(AND(Motpart!$Y$12="",Motpart!$Z$12=""),0,IF(AND(Motpart!$Y$12=0,Motpart!$Z$12=0),0,((T41/$T$42)*(Motpart!$Y$12+Motpart!$Z$12)))))</f>
        <v>197.52053771471248</v>
      </c>
    </row>
    <row r="42" spans="1:34">
      <c r="A42" s="592" t="s">
        <v>243</v>
      </c>
      <c r="B42" s="892" t="s">
        <v>80</v>
      </c>
      <c r="C42" s="374">
        <f t="shared" ref="C42:W42" si="9">SUM(C39:C41)</f>
        <v>3363</v>
      </c>
      <c r="D42" s="25">
        <f t="shared" si="9"/>
        <v>1292</v>
      </c>
      <c r="E42" s="374">
        <f t="shared" si="9"/>
        <v>1481</v>
      </c>
      <c r="F42" s="374">
        <f t="shared" si="9"/>
        <v>734</v>
      </c>
      <c r="G42" s="374">
        <f t="shared" si="9"/>
        <v>1200</v>
      </c>
      <c r="H42" s="25">
        <f t="shared" si="9"/>
        <v>2027</v>
      </c>
      <c r="I42" s="374">
        <f t="shared" si="9"/>
        <v>1479</v>
      </c>
      <c r="J42" s="111">
        <f t="shared" si="9"/>
        <v>1120</v>
      </c>
      <c r="K42" s="151"/>
      <c r="L42" s="381">
        <f>SUM(L39:L41)</f>
        <v>4457</v>
      </c>
      <c r="M42" s="374">
        <f t="shared" si="9"/>
        <v>1358</v>
      </c>
      <c r="N42" s="25">
        <f t="shared" si="9"/>
        <v>75</v>
      </c>
      <c r="O42" s="25">
        <f t="shared" si="9"/>
        <v>439</v>
      </c>
      <c r="P42" s="379">
        <f>SUM(C42:O42)</f>
        <v>19025</v>
      </c>
      <c r="Q42" s="49"/>
      <c r="R42" s="381">
        <f t="shared" si="9"/>
        <v>876</v>
      </c>
      <c r="S42" s="374">
        <f t="shared" si="9"/>
        <v>409</v>
      </c>
      <c r="T42" s="111">
        <f t="shared" si="9"/>
        <v>1339</v>
      </c>
      <c r="U42" s="49"/>
      <c r="V42" s="123">
        <f t="shared" si="9"/>
        <v>1722</v>
      </c>
      <c r="W42" s="124">
        <f t="shared" si="9"/>
        <v>4346</v>
      </c>
      <c r="X42" s="57"/>
      <c r="Y42" s="2357">
        <v>17281</v>
      </c>
      <c r="Z42" s="1008">
        <f>(P42-W42)*1000000/invanare</f>
        <v>1450.4593862478782</v>
      </c>
      <c r="AA42" s="1025">
        <f>Y42*1000000/invanare</f>
        <v>1707.5678625076357</v>
      </c>
      <c r="AB42" s="1025">
        <v>1679</v>
      </c>
      <c r="AC42" s="2344">
        <f>IF(ISERROR((AA42-AB42)/AB42)," ",((AA42-AB42)/AB42))</f>
        <v>1.7014807925929548E-2</v>
      </c>
      <c r="AD42" s="2346" t="str">
        <f>IF(AA42="","Belopp saknas",IF(OR(AC42&gt;25%,AC42&lt;-15%),"Kommentera förändringen",""))</f>
        <v/>
      </c>
      <c r="AE42" s="2345"/>
      <c r="AF42" s="1005">
        <v>14678</v>
      </c>
      <c r="AG42" s="1689">
        <v>14540</v>
      </c>
      <c r="AH42" s="1937">
        <f>W42-V42-SUM(Motpart!Y12:Z12)</f>
        <v>2604</v>
      </c>
    </row>
    <row r="43" spans="1:34" ht="12.75" customHeight="1" thickBot="1">
      <c r="A43" s="596" t="s">
        <v>244</v>
      </c>
      <c r="B43" s="899" t="s">
        <v>81</v>
      </c>
      <c r="C43" s="386">
        <f>SUM(C37,C42)</f>
        <v>7886</v>
      </c>
      <c r="D43" s="387">
        <f t="shared" ref="D43:P43" si="10">SUM(D37,D42)</f>
        <v>3018</v>
      </c>
      <c r="E43" s="386">
        <f t="shared" si="10"/>
        <v>2359</v>
      </c>
      <c r="F43" s="386">
        <f t="shared" si="10"/>
        <v>961</v>
      </c>
      <c r="G43" s="386">
        <f t="shared" si="10"/>
        <v>2663</v>
      </c>
      <c r="H43" s="387">
        <f t="shared" si="10"/>
        <v>3623</v>
      </c>
      <c r="I43" s="386">
        <f t="shared" si="10"/>
        <v>2169</v>
      </c>
      <c r="J43" s="388">
        <f t="shared" si="10"/>
        <v>1342</v>
      </c>
      <c r="K43" s="151"/>
      <c r="L43" s="389">
        <f>SUM(L37,L42)</f>
        <v>5758</v>
      </c>
      <c r="M43" s="386">
        <f t="shared" si="10"/>
        <v>2326</v>
      </c>
      <c r="N43" s="387">
        <f t="shared" si="10"/>
        <v>133</v>
      </c>
      <c r="O43" s="387">
        <f t="shared" si="10"/>
        <v>790</v>
      </c>
      <c r="P43" s="388">
        <f t="shared" si="10"/>
        <v>33028</v>
      </c>
      <c r="Q43" s="49"/>
      <c r="R43" s="389">
        <f>SUM(R37,R42)</f>
        <v>1297</v>
      </c>
      <c r="S43" s="386">
        <f>SUM(S37,S42)</f>
        <v>478</v>
      </c>
      <c r="T43" s="388">
        <f>SUM(T37,T42)</f>
        <v>2455</v>
      </c>
      <c r="U43" s="49"/>
      <c r="V43" s="416">
        <f>SUM(V37,V42)</f>
        <v>2615</v>
      </c>
      <c r="W43" s="415">
        <f>SUM(W37,W42)</f>
        <v>6845</v>
      </c>
      <c r="X43" s="57"/>
      <c r="Y43" s="2322">
        <v>30381</v>
      </c>
      <c r="Z43" s="2330"/>
      <c r="AA43" s="2331"/>
      <c r="AB43" s="2332"/>
      <c r="AC43" s="2333"/>
      <c r="AD43" s="2350"/>
      <c r="AE43" s="1695"/>
      <c r="AF43" s="1035">
        <v>26185</v>
      </c>
      <c r="AG43" s="1692">
        <v>25830</v>
      </c>
      <c r="AH43" s="1939">
        <f>AH37+AH42</f>
        <v>4197</v>
      </c>
    </row>
    <row r="44" spans="1:34" ht="48" customHeight="1">
      <c r="A44" s="897"/>
      <c r="B44" s="900" t="s">
        <v>82</v>
      </c>
      <c r="C44" s="1014"/>
      <c r="D44" s="1015"/>
      <c r="E44" s="1016"/>
      <c r="F44" s="1016"/>
      <c r="G44" s="1016"/>
      <c r="H44" s="1015"/>
      <c r="I44" s="1016"/>
      <c r="J44" s="1017"/>
      <c r="K44" s="31"/>
      <c r="L44" s="487"/>
      <c r="M44" s="488"/>
      <c r="N44" s="481"/>
      <c r="O44" s="481"/>
      <c r="P44" s="483"/>
      <c r="Q44" s="213"/>
      <c r="R44" s="487"/>
      <c r="S44" s="482"/>
      <c r="T44" s="483"/>
      <c r="U44" s="213"/>
      <c r="V44" s="491"/>
      <c r="W44" s="492"/>
      <c r="X44" s="31"/>
      <c r="Y44" s="2361"/>
      <c r="Z44" s="2395"/>
      <c r="AA44" s="482"/>
      <c r="AB44" s="482"/>
      <c r="AC44" s="2380"/>
      <c r="AD44" s="2153"/>
      <c r="AE44" s="1006"/>
      <c r="AF44" s="1700"/>
      <c r="AG44" s="1691"/>
      <c r="AH44" s="1940"/>
    </row>
    <row r="45" spans="1:34" ht="39.75" customHeight="1">
      <c r="A45" s="1766" t="s">
        <v>398</v>
      </c>
      <c r="B45" s="901" t="s">
        <v>566</v>
      </c>
      <c r="C45" s="1018"/>
      <c r="D45" s="1019"/>
      <c r="E45" s="1020"/>
      <c r="F45" s="1020"/>
      <c r="G45" s="1020"/>
      <c r="H45" s="1019"/>
      <c r="I45" s="1020"/>
      <c r="J45" s="1021"/>
      <c r="K45" s="31"/>
      <c r="L45" s="489"/>
      <c r="M45" s="490"/>
      <c r="N45" s="484"/>
      <c r="O45" s="484"/>
      <c r="P45" s="486"/>
      <c r="Q45" s="213"/>
      <c r="R45" s="489"/>
      <c r="S45" s="485"/>
      <c r="T45" s="486"/>
      <c r="U45" s="213"/>
      <c r="V45" s="493"/>
      <c r="W45" s="494"/>
      <c r="X45" s="31"/>
      <c r="Y45" s="2354"/>
      <c r="Z45" s="2396"/>
      <c r="AA45" s="861"/>
      <c r="AB45" s="861"/>
      <c r="AC45" s="2381"/>
      <c r="AD45" s="2153"/>
      <c r="AE45" s="1006"/>
      <c r="AF45" s="1027"/>
      <c r="AG45" s="1690"/>
      <c r="AH45" s="1941"/>
    </row>
    <row r="46" spans="1:34">
      <c r="A46" s="592" t="s">
        <v>245</v>
      </c>
      <c r="B46" s="895" t="s">
        <v>83</v>
      </c>
      <c r="C46" s="19">
        <v>201</v>
      </c>
      <c r="D46" s="20">
        <v>77</v>
      </c>
      <c r="E46" s="19">
        <v>12</v>
      </c>
      <c r="F46" s="19">
        <v>14</v>
      </c>
      <c r="G46" s="19">
        <v>19</v>
      </c>
      <c r="H46" s="20">
        <v>0</v>
      </c>
      <c r="I46" s="19">
        <v>34</v>
      </c>
      <c r="J46" s="106">
        <v>2</v>
      </c>
      <c r="K46" s="30"/>
      <c r="L46" s="109">
        <v>45</v>
      </c>
      <c r="M46" s="19">
        <v>81</v>
      </c>
      <c r="N46" s="20">
        <v>3</v>
      </c>
      <c r="O46" s="380">
        <v>13</v>
      </c>
      <c r="P46" s="379">
        <f>SUM(C46:O46)</f>
        <v>501</v>
      </c>
      <c r="Q46" s="49"/>
      <c r="R46" s="109">
        <v>1</v>
      </c>
      <c r="S46" s="19">
        <v>4</v>
      </c>
      <c r="T46" s="106">
        <v>17</v>
      </c>
      <c r="U46" s="50"/>
      <c r="V46" s="119">
        <v>70</v>
      </c>
      <c r="W46" s="414">
        <f t="shared" ref="W46:W51" si="11">SUM(R46:V46)</f>
        <v>92</v>
      </c>
      <c r="X46" s="57"/>
      <c r="Y46" s="2357">
        <v>428</v>
      </c>
      <c r="Z46" s="2397"/>
      <c r="AA46" s="2329"/>
      <c r="AB46" s="2329"/>
      <c r="AC46" s="2311"/>
      <c r="AD46" s="2153"/>
      <c r="AE46" s="1006"/>
      <c r="AF46" s="1005">
        <v>407</v>
      </c>
      <c r="AG46" s="1689">
        <v>414</v>
      </c>
      <c r="AH46" s="1937">
        <f>W46-V46-(IF(AND(Motpart!$Y$16="",Motpart!$Z$16=""),0,IF(AND(Motpart!$Y$16=0,Motpart!$Z$16=0),0,((T46/($T$46+$T$49))*(Motpart!$Y$16+Motpart!$Z$16)))))</f>
        <v>20.454545454545453</v>
      </c>
    </row>
    <row r="47" spans="1:34">
      <c r="A47" s="592" t="s">
        <v>246</v>
      </c>
      <c r="B47" s="892" t="s">
        <v>84</v>
      </c>
      <c r="C47" s="19">
        <v>31844</v>
      </c>
      <c r="D47" s="20">
        <v>12236</v>
      </c>
      <c r="E47" s="22">
        <v>2003</v>
      </c>
      <c r="F47" s="22">
        <v>14829</v>
      </c>
      <c r="G47" s="22">
        <v>1958</v>
      </c>
      <c r="H47" s="23">
        <v>10</v>
      </c>
      <c r="I47" s="22">
        <v>2169</v>
      </c>
      <c r="J47" s="107">
        <v>361</v>
      </c>
      <c r="K47" s="30"/>
      <c r="L47" s="110">
        <v>4410</v>
      </c>
      <c r="M47" s="22">
        <v>11544</v>
      </c>
      <c r="N47" s="20">
        <v>361</v>
      </c>
      <c r="O47" s="380">
        <v>1886</v>
      </c>
      <c r="P47" s="379">
        <f>SUM(C47:O47)</f>
        <v>83611</v>
      </c>
      <c r="Q47" s="49"/>
      <c r="R47" s="2001">
        <v>4483</v>
      </c>
      <c r="S47" s="2002">
        <v>47</v>
      </c>
      <c r="T47" s="232">
        <v>5699</v>
      </c>
      <c r="U47" s="50"/>
      <c r="V47" s="120">
        <v>8264</v>
      </c>
      <c r="W47" s="414">
        <f t="shared" si="11"/>
        <v>18493</v>
      </c>
      <c r="X47" s="57"/>
      <c r="Y47" s="2357">
        <v>74993</v>
      </c>
      <c r="Z47" s="2336"/>
      <c r="AA47" s="2339"/>
      <c r="AB47" s="2339"/>
      <c r="AC47" s="2365"/>
      <c r="AD47" s="2309" t="str">
        <f>IF(H47&gt;F47,"Annan utförare:Köp av verks.i RS!","")</f>
        <v/>
      </c>
      <c r="AE47" s="1006"/>
      <c r="AF47" s="1005">
        <v>65118</v>
      </c>
      <c r="AG47" s="1689">
        <v>60508</v>
      </c>
      <c r="AH47" s="1937">
        <f>W47-V47-SUM(Motpart!Y13:Z13)</f>
        <v>9875</v>
      </c>
    </row>
    <row r="48" spans="1:34">
      <c r="A48" s="592" t="s">
        <v>247</v>
      </c>
      <c r="B48" s="892" t="s">
        <v>85</v>
      </c>
      <c r="C48" s="22">
        <v>494</v>
      </c>
      <c r="D48" s="20">
        <v>188</v>
      </c>
      <c r="E48" s="22">
        <v>10</v>
      </c>
      <c r="F48" s="22">
        <v>657</v>
      </c>
      <c r="G48" s="22">
        <v>59</v>
      </c>
      <c r="H48" s="23">
        <v>9</v>
      </c>
      <c r="I48" s="26">
        <v>6</v>
      </c>
      <c r="J48" s="107">
        <v>1</v>
      </c>
      <c r="K48" s="30"/>
      <c r="L48" s="110">
        <v>15</v>
      </c>
      <c r="M48" s="22">
        <v>153</v>
      </c>
      <c r="N48" s="20">
        <v>3</v>
      </c>
      <c r="O48" s="380">
        <v>24</v>
      </c>
      <c r="P48" s="379">
        <f>SUM(C48:O48)</f>
        <v>1619</v>
      </c>
      <c r="Q48" s="49"/>
      <c r="R48" s="2001">
        <v>101</v>
      </c>
      <c r="S48" s="2002">
        <v>0</v>
      </c>
      <c r="T48" s="232">
        <v>69</v>
      </c>
      <c r="U48" s="50"/>
      <c r="V48" s="120">
        <v>147</v>
      </c>
      <c r="W48" s="414">
        <f t="shared" si="11"/>
        <v>317</v>
      </c>
      <c r="X48" s="57"/>
      <c r="Y48" s="1588">
        <v>1465</v>
      </c>
      <c r="Z48" s="2336"/>
      <c r="AA48" s="2351"/>
      <c r="AB48" s="2339"/>
      <c r="AC48" s="2365"/>
      <c r="AD48" s="2309" t="str">
        <f>IF('Verks int o kostn'!I40&gt;H48,"Kontrollera vårdnadsbidraget",IF(AND(C48&gt;5000,R48&lt;50),"Kontrollera Taxor o avgifter",""))</f>
        <v/>
      </c>
      <c r="AE48" s="1022">
        <f>(SUM(I51:L51))*1000/invanare</f>
        <v>0.88268640216311034</v>
      </c>
      <c r="AF48" s="1005">
        <v>1302</v>
      </c>
      <c r="AG48" s="1689">
        <v>806</v>
      </c>
      <c r="AH48" s="1937">
        <f>W48-V48-SUM(Motpart!Y14:Z14)</f>
        <v>163</v>
      </c>
    </row>
    <row r="49" spans="1:34">
      <c r="A49" s="592" t="s">
        <v>248</v>
      </c>
      <c r="B49" s="895" t="s">
        <v>86</v>
      </c>
      <c r="C49" s="19">
        <v>131</v>
      </c>
      <c r="D49" s="20">
        <v>51</v>
      </c>
      <c r="E49" s="19">
        <v>12</v>
      </c>
      <c r="F49" s="19">
        <v>61</v>
      </c>
      <c r="G49" s="19">
        <v>7</v>
      </c>
      <c r="H49" s="20">
        <v>0</v>
      </c>
      <c r="I49" s="19">
        <v>2</v>
      </c>
      <c r="J49" s="106">
        <v>0</v>
      </c>
      <c r="K49" s="30"/>
      <c r="L49" s="109">
        <v>15</v>
      </c>
      <c r="M49" s="19">
        <v>72</v>
      </c>
      <c r="N49" s="20">
        <v>1</v>
      </c>
      <c r="O49" s="380">
        <v>9</v>
      </c>
      <c r="P49" s="379">
        <f>SUM(C49:O49)</f>
        <v>361</v>
      </c>
      <c r="Q49" s="49"/>
      <c r="R49" s="2003">
        <v>37</v>
      </c>
      <c r="S49" s="2004">
        <v>0</v>
      </c>
      <c r="T49" s="235">
        <v>16</v>
      </c>
      <c r="U49" s="50"/>
      <c r="V49" s="119">
        <v>64</v>
      </c>
      <c r="W49" s="414">
        <f t="shared" si="11"/>
        <v>117</v>
      </c>
      <c r="X49" s="57"/>
      <c r="Y49" s="1588">
        <v>296</v>
      </c>
      <c r="Z49" s="2336"/>
      <c r="AA49" s="2351"/>
      <c r="AB49" s="2339"/>
      <c r="AC49" s="2365"/>
      <c r="AD49" s="2309"/>
      <c r="AE49" s="1022">
        <f>(R51)*1000/invanare</f>
        <v>0.73585196875726888</v>
      </c>
      <c r="AF49" s="1005">
        <v>245</v>
      </c>
      <c r="AG49" s="1689">
        <v>237</v>
      </c>
      <c r="AH49" s="1937">
        <f>W49-V49-(IF(AND(Motpart!$Y$16="",Motpart!$Z$16=""),0,IF(AND(Motpart!$Y$16=0,Motpart!$Z$16=0),0,((T49/($T$49+$T$46))*(Motpart!$Y$16+Motpart!$Z$16)))))</f>
        <v>51.545454545454547</v>
      </c>
    </row>
    <row r="50" spans="1:34">
      <c r="A50" s="592" t="s">
        <v>249</v>
      </c>
      <c r="B50" s="892" t="s">
        <v>87</v>
      </c>
      <c r="C50" s="19">
        <v>8500</v>
      </c>
      <c r="D50" s="20">
        <v>3271</v>
      </c>
      <c r="E50" s="22">
        <v>360</v>
      </c>
      <c r="F50" s="22">
        <v>2250</v>
      </c>
      <c r="G50" s="22">
        <v>434</v>
      </c>
      <c r="H50" s="23">
        <v>2</v>
      </c>
      <c r="I50" s="26">
        <v>571</v>
      </c>
      <c r="J50" s="107">
        <v>63</v>
      </c>
      <c r="K50" s="30"/>
      <c r="L50" s="110">
        <v>1239</v>
      </c>
      <c r="M50" s="22">
        <v>3663</v>
      </c>
      <c r="N50" s="20">
        <v>87</v>
      </c>
      <c r="O50" s="380">
        <v>520</v>
      </c>
      <c r="P50" s="379">
        <f>SUM(C50:O50)</f>
        <v>20960</v>
      </c>
      <c r="Q50" s="49"/>
      <c r="R50" s="2001">
        <v>2825</v>
      </c>
      <c r="S50" s="2002">
        <v>3</v>
      </c>
      <c r="T50" s="232">
        <v>1467</v>
      </c>
      <c r="U50" s="50"/>
      <c r="V50" s="120">
        <v>2686</v>
      </c>
      <c r="W50" s="414">
        <f t="shared" si="11"/>
        <v>6981</v>
      </c>
      <c r="X50" s="57"/>
      <c r="Y50" s="1588">
        <v>18125</v>
      </c>
      <c r="Z50" s="2337"/>
      <c r="AA50" s="2352"/>
      <c r="AB50" s="2340"/>
      <c r="AC50" s="2366"/>
      <c r="AD50" s="2296"/>
      <c r="AE50" s="1006"/>
      <c r="AF50" s="1005">
        <v>13978</v>
      </c>
      <c r="AG50" s="1689">
        <v>16021</v>
      </c>
      <c r="AH50" s="1937">
        <f>W50-V50-SUM(Motpart!Y15:Z15)</f>
        <v>4147</v>
      </c>
    </row>
    <row r="51" spans="1:34">
      <c r="A51" s="592" t="s">
        <v>250</v>
      </c>
      <c r="B51" s="903" t="s">
        <v>808</v>
      </c>
      <c r="C51" s="374">
        <f t="shared" ref="C51:M51" si="12">SUM(C46:C50)</f>
        <v>41170</v>
      </c>
      <c r="D51" s="25">
        <f t="shared" si="12"/>
        <v>15823</v>
      </c>
      <c r="E51" s="374">
        <f t="shared" si="12"/>
        <v>2397</v>
      </c>
      <c r="F51" s="374">
        <f t="shared" si="12"/>
        <v>17811</v>
      </c>
      <c r="G51" s="374">
        <f t="shared" si="12"/>
        <v>2477</v>
      </c>
      <c r="H51" s="25">
        <f t="shared" si="12"/>
        <v>21</v>
      </c>
      <c r="I51" s="374">
        <f t="shared" si="12"/>
        <v>2782</v>
      </c>
      <c r="J51" s="111">
        <f t="shared" si="12"/>
        <v>427</v>
      </c>
      <c r="K51" s="151"/>
      <c r="L51" s="381">
        <f>SUM(L46:L50)</f>
        <v>5724</v>
      </c>
      <c r="M51" s="374">
        <f t="shared" si="12"/>
        <v>15513</v>
      </c>
      <c r="N51" s="25">
        <f t="shared" ref="N51:V51" si="13">SUM(N46:N50)</f>
        <v>455</v>
      </c>
      <c r="O51" s="25">
        <f t="shared" si="13"/>
        <v>2452</v>
      </c>
      <c r="P51" s="111">
        <f t="shared" si="13"/>
        <v>107052</v>
      </c>
      <c r="Q51" s="49"/>
      <c r="R51" s="381">
        <f t="shared" si="13"/>
        <v>7447</v>
      </c>
      <c r="S51" s="374">
        <f t="shared" si="13"/>
        <v>54</v>
      </c>
      <c r="T51" s="111">
        <f>SUM(T46:T50)</f>
        <v>7268</v>
      </c>
      <c r="U51" s="49"/>
      <c r="V51" s="123">
        <f t="shared" si="13"/>
        <v>11231</v>
      </c>
      <c r="W51" s="414">
        <f t="shared" si="11"/>
        <v>26000</v>
      </c>
      <c r="X51" s="57"/>
      <c r="Y51" s="1005">
        <v>95306</v>
      </c>
      <c r="Z51" s="2394">
        <f>(P51-W51)*1000000/invanare</f>
        <v>8008.8993919315371</v>
      </c>
      <c r="AA51" s="2379">
        <f>Y51*1000000/invanare</f>
        <v>9417.3637349778783</v>
      </c>
      <c r="AB51" s="2379">
        <v>9115</v>
      </c>
      <c r="AC51" s="2316">
        <f>IF(ISERROR((AA51-AB51)/AB51)," ",((AA51-AB51)/AB51))</f>
        <v>3.3172104769926304E-2</v>
      </c>
      <c r="AD51" s="2310" t="str">
        <f>IF(AA51="","Belopp saknas",IF(T51-SUM(Motpart!Y13:Z16,Motpart!AB13:AC16)&lt;SUM(AB45:AC45),"Är alla riktade statsbidrag för förskola med i kol T?",IF(OR(AC51&gt;20%,AC51&lt;-5%),"Kontrollera förändringen","")))</f>
        <v/>
      </c>
      <c r="AE51" s="1007">
        <f>IF(ISERROR(F51/(AA51/1000*invanare)),"",(F51/(AA51/100000*invanare)))</f>
        <v>1.8688225295364406E-2</v>
      </c>
      <c r="AF51" s="1005">
        <v>81049</v>
      </c>
      <c r="AG51" s="1689">
        <v>77986</v>
      </c>
      <c r="AH51" s="1937">
        <f>W51-V51-SUM(Motpart!Y13:Z16)</f>
        <v>14257</v>
      </c>
    </row>
    <row r="52" spans="1:34" ht="44.25" customHeight="1">
      <c r="A52" s="902"/>
      <c r="B52" s="900" t="s">
        <v>88</v>
      </c>
      <c r="C52" s="480"/>
      <c r="D52" s="479"/>
      <c r="E52" s="477"/>
      <c r="F52" s="477"/>
      <c r="G52" s="477"/>
      <c r="H52" s="479"/>
      <c r="I52" s="477"/>
      <c r="J52" s="478"/>
      <c r="K52" s="30"/>
      <c r="L52" s="476"/>
      <c r="M52" s="477"/>
      <c r="N52" s="479"/>
      <c r="O52" s="495"/>
      <c r="P52" s="478"/>
      <c r="Q52" s="50"/>
      <c r="R52" s="476"/>
      <c r="S52" s="477"/>
      <c r="T52" s="478"/>
      <c r="U52" s="50"/>
      <c r="V52" s="474"/>
      <c r="W52" s="475"/>
      <c r="X52" s="30"/>
      <c r="Y52" s="2433"/>
      <c r="Z52" s="2427"/>
      <c r="AA52" s="2427"/>
      <c r="AB52" s="2427"/>
      <c r="AC52" s="2428"/>
      <c r="AD52" s="2297"/>
      <c r="AE52" s="1006">
        <f>IF(ISERROR(F51/(AA51/1000*invanare)),"",(SUM(Motpart!D13:D16,Motpart!F13:F16)/(AA51/100000*invanare)))</f>
        <v>1.8055526409669908E-2</v>
      </c>
      <c r="AF52" s="1587"/>
      <c r="AG52" s="1693"/>
      <c r="AH52" s="1942"/>
    </row>
    <row r="53" spans="1:34">
      <c r="A53" s="592" t="s">
        <v>405</v>
      </c>
      <c r="B53" s="884" t="s">
        <v>495</v>
      </c>
      <c r="C53" s="19">
        <v>3000</v>
      </c>
      <c r="D53" s="20">
        <v>1148</v>
      </c>
      <c r="E53" s="19">
        <v>188</v>
      </c>
      <c r="F53" s="19">
        <v>883</v>
      </c>
      <c r="G53" s="19">
        <v>309</v>
      </c>
      <c r="H53" s="20">
        <v>1</v>
      </c>
      <c r="I53" s="19">
        <v>272</v>
      </c>
      <c r="J53" s="106">
        <v>40</v>
      </c>
      <c r="K53" s="30"/>
      <c r="L53" s="109">
        <v>647</v>
      </c>
      <c r="M53" s="19">
        <v>1369</v>
      </c>
      <c r="N53" s="20">
        <v>36</v>
      </c>
      <c r="O53" s="380">
        <v>192</v>
      </c>
      <c r="P53" s="379">
        <f>SUM(C53:O53)</f>
        <v>8085</v>
      </c>
      <c r="Q53" s="49"/>
      <c r="R53" s="109">
        <v>1</v>
      </c>
      <c r="S53" s="19">
        <v>2</v>
      </c>
      <c r="T53" s="106">
        <v>376</v>
      </c>
      <c r="U53" s="50"/>
      <c r="V53" s="119">
        <v>1009</v>
      </c>
      <c r="W53" s="414">
        <f>SUM(R53:V53)</f>
        <v>1388</v>
      </c>
      <c r="X53" s="57"/>
      <c r="Y53" s="1005">
        <v>7032</v>
      </c>
      <c r="Z53" s="2430"/>
      <c r="AA53" s="2423"/>
      <c r="AB53" s="2425"/>
      <c r="AC53" s="2311"/>
      <c r="AD53" s="2295" t="str">
        <f>IF(R53&gt;100,"Varför avgifter?","")</f>
        <v/>
      </c>
      <c r="AE53" s="1006"/>
      <c r="AF53" s="1027">
        <v>6696</v>
      </c>
      <c r="AG53" s="1690">
        <v>6192</v>
      </c>
      <c r="AH53" s="1941">
        <f>W53-V53-SUM(Motpart!Y17:Z17)</f>
        <v>336</v>
      </c>
    </row>
    <row r="54" spans="1:34">
      <c r="A54" s="592" t="s">
        <v>494</v>
      </c>
      <c r="B54" s="882" t="s">
        <v>387</v>
      </c>
      <c r="C54" s="19">
        <v>48054</v>
      </c>
      <c r="D54" s="20">
        <v>18448</v>
      </c>
      <c r="E54" s="22">
        <v>4159</v>
      </c>
      <c r="F54" s="22">
        <v>16592</v>
      </c>
      <c r="G54" s="22">
        <v>7907</v>
      </c>
      <c r="H54" s="23">
        <v>47</v>
      </c>
      <c r="I54" s="22">
        <v>3429</v>
      </c>
      <c r="J54" s="107">
        <v>999</v>
      </c>
      <c r="K54" s="30"/>
      <c r="L54" s="110">
        <v>8781</v>
      </c>
      <c r="M54" s="22">
        <v>19654</v>
      </c>
      <c r="N54" s="20">
        <v>571</v>
      </c>
      <c r="O54" s="380">
        <v>3247</v>
      </c>
      <c r="P54" s="379">
        <f>SUM(C54:O54)</f>
        <v>131888</v>
      </c>
      <c r="Q54" s="49"/>
      <c r="R54" s="110">
        <v>41</v>
      </c>
      <c r="S54" s="22">
        <v>37</v>
      </c>
      <c r="T54" s="107">
        <v>11691</v>
      </c>
      <c r="U54" s="50"/>
      <c r="V54" s="120">
        <v>15097</v>
      </c>
      <c r="W54" s="414">
        <f>SUM(R54:V54)</f>
        <v>26866</v>
      </c>
      <c r="X54" s="57"/>
      <c r="Y54" s="1027">
        <v>115457</v>
      </c>
      <c r="Z54" s="2430"/>
      <c r="AA54" s="2423"/>
      <c r="AB54" s="2425"/>
      <c r="AC54" s="2311"/>
      <c r="AD54" s="2153"/>
      <c r="AE54" s="1006"/>
      <c r="AF54" s="1005">
        <v>105022</v>
      </c>
      <c r="AG54" s="1689">
        <v>100151</v>
      </c>
      <c r="AH54" s="1941">
        <f>W54-V54-SUM(Motpart!Y18:Z18)</f>
        <v>10435</v>
      </c>
    </row>
    <row r="55" spans="1:34">
      <c r="A55" s="592" t="s">
        <v>251</v>
      </c>
      <c r="B55" s="903" t="s">
        <v>641</v>
      </c>
      <c r="C55" s="19">
        <v>2413</v>
      </c>
      <c r="D55" s="20">
        <v>924</v>
      </c>
      <c r="E55" s="22">
        <v>96</v>
      </c>
      <c r="F55" s="22">
        <v>559</v>
      </c>
      <c r="G55" s="22">
        <v>582</v>
      </c>
      <c r="H55" s="23">
        <v>1</v>
      </c>
      <c r="I55" s="22">
        <v>90</v>
      </c>
      <c r="J55" s="107">
        <v>15</v>
      </c>
      <c r="K55" s="30"/>
      <c r="L55" s="110">
        <v>237</v>
      </c>
      <c r="M55" s="22">
        <v>754</v>
      </c>
      <c r="N55" s="20">
        <v>25</v>
      </c>
      <c r="O55" s="380">
        <v>144</v>
      </c>
      <c r="P55" s="379">
        <f>SUM(C55:O55)</f>
        <v>5840</v>
      </c>
      <c r="Q55" s="49"/>
      <c r="R55" s="110">
        <v>5</v>
      </c>
      <c r="S55" s="22">
        <v>0</v>
      </c>
      <c r="T55" s="107">
        <v>452</v>
      </c>
      <c r="U55" s="50"/>
      <c r="V55" s="120">
        <v>596</v>
      </c>
      <c r="W55" s="414">
        <f>SUM(R55:V55)</f>
        <v>1053</v>
      </c>
      <c r="X55" s="57"/>
      <c r="Y55" s="1027">
        <v>4942</v>
      </c>
      <c r="Z55" s="2430"/>
      <c r="AA55" s="2423"/>
      <c r="AB55" s="2425"/>
      <c r="AC55" s="2311"/>
      <c r="AD55" s="2153"/>
      <c r="AE55" s="1006"/>
      <c r="AF55" s="1005">
        <v>4787</v>
      </c>
      <c r="AG55" s="1689">
        <v>4684</v>
      </c>
      <c r="AH55" s="1941">
        <f>W55-V55-SUM(Motpart!Y19:Z19)</f>
        <v>155</v>
      </c>
    </row>
    <row r="56" spans="1:34">
      <c r="A56" s="592" t="s">
        <v>252</v>
      </c>
      <c r="B56" s="892" t="s">
        <v>89</v>
      </c>
      <c r="C56" s="19">
        <v>13412</v>
      </c>
      <c r="D56" s="20">
        <v>5141</v>
      </c>
      <c r="E56" s="22">
        <v>1476</v>
      </c>
      <c r="F56" s="22">
        <v>19217</v>
      </c>
      <c r="G56" s="22">
        <v>3384</v>
      </c>
      <c r="H56" s="23">
        <v>271</v>
      </c>
      <c r="I56" s="22">
        <v>1133</v>
      </c>
      <c r="J56" s="107">
        <v>359</v>
      </c>
      <c r="K56" s="30"/>
      <c r="L56" s="110">
        <v>2840</v>
      </c>
      <c r="M56" s="22">
        <v>5105</v>
      </c>
      <c r="N56" s="20">
        <v>200</v>
      </c>
      <c r="O56" s="380">
        <v>871</v>
      </c>
      <c r="P56" s="379">
        <f>SUM(C56:O56)</f>
        <v>53409</v>
      </c>
      <c r="Q56" s="49"/>
      <c r="R56" s="110">
        <v>59</v>
      </c>
      <c r="S56" s="22">
        <v>33</v>
      </c>
      <c r="T56" s="107">
        <v>11759</v>
      </c>
      <c r="U56" s="50"/>
      <c r="V56" s="120">
        <v>3601</v>
      </c>
      <c r="W56" s="414">
        <f>SUM(R56:V56)</f>
        <v>15452</v>
      </c>
      <c r="X56" s="57"/>
      <c r="Y56" s="1027">
        <v>42867</v>
      </c>
      <c r="Z56" s="2431"/>
      <c r="AA56" s="2424"/>
      <c r="AB56" s="1023"/>
      <c r="AC56" s="2311"/>
      <c r="AD56" s="2153"/>
      <c r="AE56" s="1006"/>
      <c r="AF56" s="1005">
        <v>37956</v>
      </c>
      <c r="AG56" s="1689">
        <v>30319</v>
      </c>
      <c r="AH56" s="1941">
        <f>W56-V56-SUM(Motpart!Y20:Z20)</f>
        <v>4909</v>
      </c>
    </row>
    <row r="57" spans="1:34">
      <c r="A57" s="592" t="s">
        <v>253</v>
      </c>
      <c r="B57" s="892" t="s">
        <v>90</v>
      </c>
      <c r="C57" s="19">
        <v>1159</v>
      </c>
      <c r="D57" s="20">
        <v>446</v>
      </c>
      <c r="E57" s="22">
        <v>57</v>
      </c>
      <c r="F57" s="22">
        <v>982</v>
      </c>
      <c r="G57" s="22">
        <v>310</v>
      </c>
      <c r="H57" s="23">
        <v>2</v>
      </c>
      <c r="I57" s="22">
        <v>60</v>
      </c>
      <c r="J57" s="107">
        <v>10</v>
      </c>
      <c r="K57" s="30"/>
      <c r="L57" s="110">
        <v>171</v>
      </c>
      <c r="M57" s="22">
        <v>273</v>
      </c>
      <c r="N57" s="20">
        <v>14</v>
      </c>
      <c r="O57" s="380">
        <v>68</v>
      </c>
      <c r="P57" s="379">
        <f>SUM(C57:O57)</f>
        <v>3552</v>
      </c>
      <c r="Q57" s="49"/>
      <c r="R57" s="110">
        <v>4</v>
      </c>
      <c r="S57" s="22">
        <v>1</v>
      </c>
      <c r="T57" s="107">
        <v>648</v>
      </c>
      <c r="U57" s="50"/>
      <c r="V57" s="120">
        <v>166</v>
      </c>
      <c r="W57" s="414">
        <f>SUM(R57:V57)</f>
        <v>819</v>
      </c>
      <c r="X57" s="57"/>
      <c r="Y57" s="1027">
        <v>2847</v>
      </c>
      <c r="Z57" s="2431"/>
      <c r="AA57" s="2328"/>
      <c r="AB57" s="1023"/>
      <c r="AC57" s="2311"/>
      <c r="AD57" s="2153"/>
      <c r="AE57" s="1006"/>
      <c r="AF57" s="1005">
        <v>2732</v>
      </c>
      <c r="AG57" s="1689">
        <v>2401</v>
      </c>
      <c r="AH57" s="1941">
        <f>W57-V57-SUM(Motpart!Y21:Z21)</f>
        <v>116</v>
      </c>
    </row>
    <row r="58" spans="1:34">
      <c r="A58" s="592" t="s">
        <v>254</v>
      </c>
      <c r="B58" s="892" t="s">
        <v>91</v>
      </c>
      <c r="C58" s="374">
        <f t="shared" ref="C58:J58" si="14">SUM(C53:C57)</f>
        <v>68038</v>
      </c>
      <c r="D58" s="25">
        <f t="shared" si="14"/>
        <v>26107</v>
      </c>
      <c r="E58" s="374">
        <f t="shared" si="14"/>
        <v>5976</v>
      </c>
      <c r="F58" s="374">
        <f t="shared" si="14"/>
        <v>38233</v>
      </c>
      <c r="G58" s="374">
        <f t="shared" si="14"/>
        <v>12492</v>
      </c>
      <c r="H58" s="25">
        <f t="shared" si="14"/>
        <v>322</v>
      </c>
      <c r="I58" s="374">
        <f t="shared" si="14"/>
        <v>4984</v>
      </c>
      <c r="J58" s="111">
        <f t="shared" si="14"/>
        <v>1423</v>
      </c>
      <c r="K58" s="151"/>
      <c r="L58" s="381">
        <f>SUM(L53:L57)</f>
        <v>12676</v>
      </c>
      <c r="M58" s="374">
        <f>SUM(M53:M57)</f>
        <v>27155</v>
      </c>
      <c r="N58" s="25">
        <f>SUM(N53:N57)</f>
        <v>846</v>
      </c>
      <c r="O58" s="25">
        <f>SUM(O53:O57)</f>
        <v>4522</v>
      </c>
      <c r="P58" s="111">
        <f>SUM(P53:P57)</f>
        <v>202774</v>
      </c>
      <c r="Q58" s="49"/>
      <c r="R58" s="381">
        <f>SUM(R53:R57)</f>
        <v>110</v>
      </c>
      <c r="S58" s="374">
        <f>SUM(S53:S57)</f>
        <v>73</v>
      </c>
      <c r="T58" s="111">
        <f>SUM(T53:T57)</f>
        <v>24926</v>
      </c>
      <c r="U58" s="49"/>
      <c r="V58" s="123">
        <f>SUM(V53:V57)</f>
        <v>20469</v>
      </c>
      <c r="W58" s="124">
        <f>SUM(W53:W57)</f>
        <v>45578</v>
      </c>
      <c r="X58" s="57"/>
      <c r="Y58" s="1747">
        <v>173145</v>
      </c>
      <c r="Z58" s="998"/>
      <c r="AA58" s="2328"/>
      <c r="AB58" s="2329"/>
      <c r="AC58" s="2311"/>
      <c r="AD58" s="2153"/>
      <c r="AE58" s="1006"/>
      <c r="AF58" s="1005">
        <v>157193</v>
      </c>
      <c r="AG58" s="1689">
        <v>143747</v>
      </c>
      <c r="AH58" s="1937">
        <f>W58-V58-SUM(Motpart!Y17:Z21)</f>
        <v>15951</v>
      </c>
    </row>
    <row r="59" spans="1:34" ht="13.5" customHeight="1">
      <c r="A59" s="904"/>
      <c r="B59" s="905" t="s">
        <v>92</v>
      </c>
      <c r="C59" s="497"/>
      <c r="D59" s="498"/>
      <c r="E59" s="499"/>
      <c r="F59" s="500"/>
      <c r="G59" s="499"/>
      <c r="H59" s="501"/>
      <c r="I59" s="499"/>
      <c r="J59" s="502"/>
      <c r="K59" s="31"/>
      <c r="L59" s="503"/>
      <c r="M59" s="499"/>
      <c r="N59" s="498"/>
      <c r="O59" s="498"/>
      <c r="P59" s="502"/>
      <c r="Q59" s="213"/>
      <c r="R59" s="503"/>
      <c r="S59" s="499"/>
      <c r="T59" s="502"/>
      <c r="U59" s="213"/>
      <c r="V59" s="504"/>
      <c r="W59" s="505"/>
      <c r="X59" s="31"/>
      <c r="Y59" s="2382"/>
      <c r="Z59" s="2420"/>
      <c r="AA59" s="2421"/>
      <c r="AB59" s="2421"/>
      <c r="AC59" s="2429"/>
      <c r="AD59" s="2297"/>
      <c r="AE59" s="1006"/>
      <c r="AF59" s="1005"/>
      <c r="AG59" s="1689"/>
      <c r="AH59" s="1937"/>
    </row>
    <row r="60" spans="1:34">
      <c r="A60" s="601" t="s">
        <v>502</v>
      </c>
      <c r="B60" s="906" t="s">
        <v>388</v>
      </c>
      <c r="C60" s="496">
        <v>455</v>
      </c>
      <c r="D60" s="20">
        <v>172</v>
      </c>
      <c r="E60" s="19">
        <v>27</v>
      </c>
      <c r="F60" s="19">
        <v>359</v>
      </c>
      <c r="G60" s="19">
        <v>41</v>
      </c>
      <c r="H60" s="20">
        <v>1</v>
      </c>
      <c r="I60" s="19">
        <v>34</v>
      </c>
      <c r="J60" s="106">
        <v>6</v>
      </c>
      <c r="K60" s="30"/>
      <c r="L60" s="109">
        <v>58</v>
      </c>
      <c r="M60" s="19">
        <v>70</v>
      </c>
      <c r="N60" s="20">
        <v>7</v>
      </c>
      <c r="O60" s="380">
        <v>24</v>
      </c>
      <c r="P60" s="379">
        <f>SUM(C60:O60)</f>
        <v>1254</v>
      </c>
      <c r="Q60" s="49"/>
      <c r="R60" s="109">
        <v>1</v>
      </c>
      <c r="S60" s="19">
        <v>1</v>
      </c>
      <c r="T60" s="106">
        <v>138</v>
      </c>
      <c r="U60" s="50"/>
      <c r="V60" s="119">
        <v>43</v>
      </c>
      <c r="W60" s="414">
        <f t="shared" ref="W60:W66" si="15">SUM(R60:V60)</f>
        <v>183</v>
      </c>
      <c r="X60" s="57"/>
      <c r="Y60" s="1027">
        <v>1164</v>
      </c>
      <c r="Z60" s="998"/>
      <c r="AA60" s="2328"/>
      <c r="AB60" s="2329"/>
      <c r="AC60" s="2311"/>
      <c r="AD60" s="2153"/>
      <c r="AE60" s="1006"/>
      <c r="AF60" s="1005">
        <v>1070</v>
      </c>
      <c r="AG60" s="1689">
        <v>849</v>
      </c>
      <c r="AH60" s="1937">
        <f>W60-V60-SUM(Motpart!Y22:Z22)</f>
        <v>95</v>
      </c>
    </row>
    <row r="61" spans="1:34">
      <c r="A61" s="594" t="s">
        <v>503</v>
      </c>
      <c r="B61" s="907" t="s">
        <v>389</v>
      </c>
      <c r="C61" s="21">
        <v>1361</v>
      </c>
      <c r="D61" s="20">
        <v>516</v>
      </c>
      <c r="E61" s="19">
        <v>106</v>
      </c>
      <c r="F61" s="19">
        <v>1713</v>
      </c>
      <c r="G61" s="19">
        <v>222</v>
      </c>
      <c r="H61" s="20">
        <v>7</v>
      </c>
      <c r="I61" s="19">
        <v>119</v>
      </c>
      <c r="J61" s="106">
        <v>15</v>
      </c>
      <c r="K61" s="506"/>
      <c r="L61" s="109">
        <v>200</v>
      </c>
      <c r="M61" s="19">
        <v>388</v>
      </c>
      <c r="N61" s="20">
        <v>19</v>
      </c>
      <c r="O61" s="380">
        <v>81</v>
      </c>
      <c r="P61" s="379">
        <f>SUM(C61:O61)</f>
        <v>4747</v>
      </c>
      <c r="Q61" s="49"/>
      <c r="R61" s="110">
        <v>23</v>
      </c>
      <c r="S61" s="22">
        <v>2</v>
      </c>
      <c r="T61" s="107">
        <v>1534</v>
      </c>
      <c r="U61" s="50"/>
      <c r="V61" s="120">
        <v>282</v>
      </c>
      <c r="W61" s="414">
        <f t="shared" si="15"/>
        <v>1841</v>
      </c>
      <c r="X61" s="57"/>
      <c r="Y61" s="1027">
        <v>4237</v>
      </c>
      <c r="Z61" s="997"/>
      <c r="AA61" s="2328"/>
      <c r="AB61" s="2329"/>
      <c r="AC61" s="2311"/>
      <c r="AD61" s="2309"/>
      <c r="AE61" s="1006"/>
      <c r="AF61" s="1005">
        <v>2907</v>
      </c>
      <c r="AG61" s="1689">
        <v>2745</v>
      </c>
      <c r="AH61" s="1937">
        <f>W61-V61-SUM(Motpart!Y23:Z23)</f>
        <v>1331</v>
      </c>
    </row>
    <row r="62" spans="1:34" ht="13.5" customHeight="1">
      <c r="A62" s="897"/>
      <c r="B62" s="900" t="s">
        <v>21</v>
      </c>
      <c r="C62" s="480"/>
      <c r="D62" s="479"/>
      <c r="E62" s="477"/>
      <c r="F62" s="500"/>
      <c r="G62" s="477"/>
      <c r="H62" s="501"/>
      <c r="I62" s="477"/>
      <c r="J62" s="478"/>
      <c r="K62" s="506"/>
      <c r="L62" s="476"/>
      <c r="M62" s="477"/>
      <c r="N62" s="479"/>
      <c r="O62" s="479"/>
      <c r="P62" s="478"/>
      <c r="Q62" s="50"/>
      <c r="R62" s="476"/>
      <c r="S62" s="477"/>
      <c r="T62" s="478"/>
      <c r="U62" s="50"/>
      <c r="V62" s="474"/>
      <c r="W62" s="475"/>
      <c r="X62" s="30"/>
      <c r="Y62" s="1586"/>
      <c r="Z62" s="2432"/>
      <c r="AA62" s="2339"/>
      <c r="AB62" s="2339"/>
      <c r="AC62" s="2365"/>
      <c r="AD62" s="2309"/>
      <c r="AE62" s="1006"/>
      <c r="AF62" s="1005"/>
      <c r="AG62" s="1689">
        <f t="shared" si="8"/>
        <v>0</v>
      </c>
      <c r="AH62" s="1937"/>
    </row>
    <row r="63" spans="1:34">
      <c r="A63" s="592" t="s">
        <v>255</v>
      </c>
      <c r="B63" s="911" t="s">
        <v>982</v>
      </c>
      <c r="C63" s="19">
        <v>142</v>
      </c>
      <c r="D63" s="20">
        <v>53</v>
      </c>
      <c r="E63" s="19">
        <v>6</v>
      </c>
      <c r="F63" s="19">
        <v>28</v>
      </c>
      <c r="G63" s="19">
        <v>12</v>
      </c>
      <c r="H63" s="20">
        <v>0</v>
      </c>
      <c r="I63" s="19">
        <v>8</v>
      </c>
      <c r="J63" s="106">
        <v>1</v>
      </c>
      <c r="K63" s="30"/>
      <c r="L63" s="109">
        <v>18</v>
      </c>
      <c r="M63" s="19">
        <v>22</v>
      </c>
      <c r="N63" s="20">
        <v>2</v>
      </c>
      <c r="O63" s="380">
        <v>8</v>
      </c>
      <c r="P63" s="379">
        <f>SUM(C63:O63)</f>
        <v>300</v>
      </c>
      <c r="Q63" s="49"/>
      <c r="R63" s="109">
        <v>0</v>
      </c>
      <c r="S63" s="19">
        <v>0</v>
      </c>
      <c r="T63" s="106">
        <v>25</v>
      </c>
      <c r="U63" s="50"/>
      <c r="V63" s="119">
        <v>14</v>
      </c>
      <c r="W63" s="414">
        <f t="shared" si="15"/>
        <v>39</v>
      </c>
      <c r="X63" s="57"/>
      <c r="Y63" s="1005">
        <v>274</v>
      </c>
      <c r="Z63" s="2351"/>
      <c r="AA63" s="2339"/>
      <c r="AB63" s="2339"/>
      <c r="AC63" s="2365"/>
      <c r="AD63" s="2309"/>
      <c r="AE63" s="1006"/>
      <c r="AF63" s="1005">
        <v>262</v>
      </c>
      <c r="AG63" s="1689">
        <v>258</v>
      </c>
      <c r="AH63" s="1937">
        <f>W63-V63-SUM(Motpart!Y24:Z24)</f>
        <v>12</v>
      </c>
    </row>
    <row r="64" spans="1:34">
      <c r="A64" s="592" t="s">
        <v>256</v>
      </c>
      <c r="B64" s="892" t="s">
        <v>93</v>
      </c>
      <c r="C64" s="19">
        <v>254</v>
      </c>
      <c r="D64" s="20">
        <v>97</v>
      </c>
      <c r="E64" s="22">
        <v>34</v>
      </c>
      <c r="F64" s="22">
        <v>106</v>
      </c>
      <c r="G64" s="22">
        <v>138</v>
      </c>
      <c r="H64" s="23">
        <v>51</v>
      </c>
      <c r="I64" s="22">
        <v>65</v>
      </c>
      <c r="J64" s="107">
        <v>12</v>
      </c>
      <c r="K64" s="30"/>
      <c r="L64" s="110">
        <v>83</v>
      </c>
      <c r="M64" s="22">
        <v>47</v>
      </c>
      <c r="N64" s="20">
        <v>4</v>
      </c>
      <c r="O64" s="380">
        <v>22</v>
      </c>
      <c r="P64" s="379">
        <f>SUM(C64:O64)</f>
        <v>913</v>
      </c>
      <c r="Q64" s="49"/>
      <c r="R64" s="110">
        <v>2</v>
      </c>
      <c r="S64" s="22">
        <v>10</v>
      </c>
      <c r="T64" s="107">
        <v>458</v>
      </c>
      <c r="U64" s="50"/>
      <c r="V64" s="120">
        <v>22</v>
      </c>
      <c r="W64" s="414">
        <f t="shared" si="15"/>
        <v>492</v>
      </c>
      <c r="X64" s="57"/>
      <c r="Y64" s="1027">
        <v>868</v>
      </c>
      <c r="Z64" s="2351"/>
      <c r="AA64" s="2339"/>
      <c r="AB64" s="2339"/>
      <c r="AC64" s="2365"/>
      <c r="AD64" s="2309"/>
      <c r="AE64" s="1006"/>
      <c r="AF64" s="1005">
        <v>420</v>
      </c>
      <c r="AG64" s="1689">
        <v>733</v>
      </c>
      <c r="AH64" s="1937">
        <f>W64-V64-(IF(AND(Motpart!$Y$25="",Motpart!$Z$25=""),0,IF(AND(Motpart!$Y$25=0,Motpart!$Z$25=0),0,((T64/($T$64+$T$65+$T$66))*(Motpart!$Y$25+Motpart!$Z$25)))))</f>
        <v>439.49920085242411</v>
      </c>
    </row>
    <row r="65" spans="1:34">
      <c r="A65" s="592" t="s">
        <v>257</v>
      </c>
      <c r="B65" s="892" t="s">
        <v>98</v>
      </c>
      <c r="C65" s="19">
        <v>1422</v>
      </c>
      <c r="D65" s="20">
        <v>535</v>
      </c>
      <c r="E65" s="22">
        <v>76</v>
      </c>
      <c r="F65" s="22">
        <v>1160</v>
      </c>
      <c r="G65" s="22">
        <v>118</v>
      </c>
      <c r="H65" s="23">
        <v>2</v>
      </c>
      <c r="I65" s="22">
        <v>107</v>
      </c>
      <c r="J65" s="107">
        <v>12</v>
      </c>
      <c r="K65" s="30"/>
      <c r="L65" s="110">
        <v>144</v>
      </c>
      <c r="M65" s="22">
        <v>224</v>
      </c>
      <c r="N65" s="20">
        <v>20</v>
      </c>
      <c r="O65" s="380">
        <v>72</v>
      </c>
      <c r="P65" s="379">
        <f>SUM(C65:O65)</f>
        <v>3892</v>
      </c>
      <c r="Q65" s="49"/>
      <c r="R65" s="110">
        <v>4</v>
      </c>
      <c r="S65" s="22">
        <v>0</v>
      </c>
      <c r="T65" s="107">
        <v>1239</v>
      </c>
      <c r="U65" s="50"/>
      <c r="V65" s="120">
        <v>320</v>
      </c>
      <c r="W65" s="414">
        <f t="shared" si="15"/>
        <v>1563</v>
      </c>
      <c r="X65" s="57"/>
      <c r="Y65" s="1027">
        <v>3475</v>
      </c>
      <c r="Z65" s="2351"/>
      <c r="AA65" s="2339"/>
      <c r="AB65" s="2339"/>
      <c r="AC65" s="2365"/>
      <c r="AD65" s="2309"/>
      <c r="AE65" s="1006"/>
      <c r="AF65" s="1005">
        <v>2330</v>
      </c>
      <c r="AG65" s="1689">
        <v>2411</v>
      </c>
      <c r="AH65" s="1937">
        <f>W65-V65-(IF(AND(Motpart!$Y$25="",Motpart!$Z$25=""),0,IF(AND(Motpart!$Y$25=0,Motpart!$Z$25=0),0,((T65/($T$64+$T$65+$T$66))*(Motpart!$Y$25+Motpart!$Z$25)))))</f>
        <v>1160.4880127863612</v>
      </c>
    </row>
    <row r="66" spans="1:34">
      <c r="A66" s="592" t="s">
        <v>258</v>
      </c>
      <c r="B66" s="903" t="s">
        <v>1063</v>
      </c>
      <c r="C66" s="19">
        <v>108</v>
      </c>
      <c r="D66" s="20">
        <v>41</v>
      </c>
      <c r="E66" s="22">
        <v>9</v>
      </c>
      <c r="F66" s="22">
        <v>15</v>
      </c>
      <c r="G66" s="22">
        <v>41</v>
      </c>
      <c r="H66" s="23">
        <v>1</v>
      </c>
      <c r="I66" s="22">
        <v>4</v>
      </c>
      <c r="J66" s="107">
        <v>1</v>
      </c>
      <c r="K66" s="30"/>
      <c r="L66" s="110">
        <v>25</v>
      </c>
      <c r="M66" s="22">
        <v>13</v>
      </c>
      <c r="N66" s="20">
        <v>1</v>
      </c>
      <c r="O66" s="380">
        <v>5</v>
      </c>
      <c r="P66" s="379">
        <f>SUM(C66:O66)</f>
        <v>264</v>
      </c>
      <c r="Q66" s="49"/>
      <c r="R66" s="110">
        <v>4</v>
      </c>
      <c r="S66" s="22">
        <v>0</v>
      </c>
      <c r="T66" s="107">
        <v>180</v>
      </c>
      <c r="U66" s="50"/>
      <c r="V66" s="120">
        <v>33</v>
      </c>
      <c r="W66" s="414">
        <f t="shared" si="15"/>
        <v>217</v>
      </c>
      <c r="X66" s="57"/>
      <c r="Y66" s="1027">
        <v>225</v>
      </c>
      <c r="Z66" s="2422"/>
      <c r="AA66" s="2355"/>
      <c r="AB66" s="2426"/>
      <c r="AC66" s="2318"/>
      <c r="AD66" s="2153"/>
      <c r="AE66" s="1006"/>
      <c r="AF66" s="1005">
        <v>45</v>
      </c>
      <c r="AG66" s="1689">
        <v>215</v>
      </c>
      <c r="AH66" s="1937">
        <f>W66-V66-(IF(AND(Motpart!$Y$25="",Motpart!$Z$25=""),0,IF(AND(Motpart!$Y$25=0,Motpart!$Z$25=0),0,((T66/($T$64+$T$65+$T$66))*(Motpart!$Y$25+Motpart!$Z$25)))))</f>
        <v>172.01278636121469</v>
      </c>
    </row>
    <row r="67" spans="1:34">
      <c r="A67" s="592" t="s">
        <v>259</v>
      </c>
      <c r="B67" s="892" t="s">
        <v>22</v>
      </c>
      <c r="C67" s="374">
        <f>SUM(C58,C60:C61,C63:C66)</f>
        <v>71780</v>
      </c>
      <c r="D67" s="25">
        <f t="shared" ref="D67:J67" si="16">SUM(D58,D60:D61,D63:D66)</f>
        <v>27521</v>
      </c>
      <c r="E67" s="532">
        <f t="shared" si="16"/>
        <v>6234</v>
      </c>
      <c r="F67" s="374">
        <f t="shared" si="16"/>
        <v>41614</v>
      </c>
      <c r="G67" s="374">
        <f t="shared" si="16"/>
        <v>13064</v>
      </c>
      <c r="H67" s="374">
        <f t="shared" si="16"/>
        <v>384</v>
      </c>
      <c r="I67" s="374">
        <f t="shared" si="16"/>
        <v>5321</v>
      </c>
      <c r="J67" s="111">
        <f t="shared" si="16"/>
        <v>1470</v>
      </c>
      <c r="K67" s="151"/>
      <c r="L67" s="381">
        <f>SUM(L58,L60:L61,L63:L66)</f>
        <v>13204</v>
      </c>
      <c r="M67" s="374">
        <f>SUM(M58,M60:M61,M63:M66)</f>
        <v>27919</v>
      </c>
      <c r="N67" s="25">
        <f>SUM(N58,N60:N61,N63:N66)</f>
        <v>899</v>
      </c>
      <c r="O67" s="384">
        <f>SUM(O58,O60:O61,O63:O66)</f>
        <v>4734</v>
      </c>
      <c r="P67" s="111">
        <f>SUM(P58,P60:P61,P63:P66)</f>
        <v>214144</v>
      </c>
      <c r="Q67" s="49"/>
      <c r="R67" s="381">
        <f>SUM(R58,R60:R61,R63:R66)</f>
        <v>144</v>
      </c>
      <c r="S67" s="374">
        <f>SUM(S58,S60:S61,S63:S66)</f>
        <v>86</v>
      </c>
      <c r="T67" s="111">
        <f>SUM(T58,T60:T61,T63:T66)</f>
        <v>28500</v>
      </c>
      <c r="U67" s="49"/>
      <c r="V67" s="123">
        <f>SUM(V58,V60:V61,V63:V66)</f>
        <v>21183</v>
      </c>
      <c r="W67" s="124">
        <f>SUM(W58,W60:W61,W63:W66)</f>
        <v>49913</v>
      </c>
      <c r="X67" s="57"/>
      <c r="Y67" s="1005">
        <v>183388</v>
      </c>
      <c r="Z67" s="2379">
        <f>(P67-W67)*1000000/invanare</f>
        <v>16227.971623603467</v>
      </c>
      <c r="AA67" s="2373">
        <f>Y67*1000000/invanare</f>
        <v>18120.910547396001</v>
      </c>
      <c r="AB67" s="2373">
        <v>17223</v>
      </c>
      <c r="AC67" s="2312">
        <f>IF(ISERROR((AA67-AB67)/AB67)," ",((AA67-AB67)/AB67))</f>
        <v>5.2134387005515925E-2</v>
      </c>
      <c r="AD67" s="2310" t="str">
        <f>IF(AA67="","Belopp saknas",IF(OR(AC67&gt;20%,AC67&lt;-5%),"Kommentera förändringen",""))</f>
        <v/>
      </c>
      <c r="AE67" s="1007">
        <f>IF(ISERROR(F67/(AA67/1000*invanare)),"",(F67/(AA67/100000*invanare)))</f>
        <v>2.2691779178572208E-2</v>
      </c>
      <c r="AF67" s="1005">
        <v>164227</v>
      </c>
      <c r="AG67" s="1689">
        <v>150958</v>
      </c>
      <c r="AH67" s="1937">
        <f>W67-V67-SUM(Motpart!Y17:Z25)</f>
        <v>19161</v>
      </c>
    </row>
    <row r="68" spans="1:34" ht="12.75" customHeight="1" thickBot="1">
      <c r="A68" s="596" t="s">
        <v>260</v>
      </c>
      <c r="B68" s="899" t="s">
        <v>99</v>
      </c>
      <c r="C68" s="386">
        <f t="shared" ref="C68:J68" si="17">SUM(C51,C67)</f>
        <v>112950</v>
      </c>
      <c r="D68" s="387">
        <f t="shared" si="17"/>
        <v>43344</v>
      </c>
      <c r="E68" s="386">
        <f t="shared" si="17"/>
        <v>8631</v>
      </c>
      <c r="F68" s="386">
        <f t="shared" si="17"/>
        <v>59425</v>
      </c>
      <c r="G68" s="386">
        <f t="shared" si="17"/>
        <v>15541</v>
      </c>
      <c r="H68" s="387">
        <f t="shared" si="17"/>
        <v>405</v>
      </c>
      <c r="I68" s="386">
        <f t="shared" si="17"/>
        <v>8103</v>
      </c>
      <c r="J68" s="388">
        <f t="shared" si="17"/>
        <v>1897</v>
      </c>
      <c r="K68" s="151"/>
      <c r="L68" s="389">
        <f>SUM(L51,L67)</f>
        <v>18928</v>
      </c>
      <c r="M68" s="386">
        <f>SUM(M51,M67)</f>
        <v>43432</v>
      </c>
      <c r="N68" s="387">
        <f>SUM(N51,N67)</f>
        <v>1354</v>
      </c>
      <c r="O68" s="387">
        <f>SUM(O51,O67)</f>
        <v>7186</v>
      </c>
      <c r="P68" s="388">
        <f>SUM(P51,P67)</f>
        <v>321196</v>
      </c>
      <c r="Q68" s="49"/>
      <c r="R68" s="389">
        <f>SUM(R51,R67)</f>
        <v>7591</v>
      </c>
      <c r="S68" s="386">
        <f>SUM(S51,S67)</f>
        <v>140</v>
      </c>
      <c r="T68" s="388">
        <f>SUM(T51,T67)</f>
        <v>35768</v>
      </c>
      <c r="U68" s="49"/>
      <c r="V68" s="416">
        <f>SUM(V51,V67)</f>
        <v>32414</v>
      </c>
      <c r="W68" s="415">
        <f>SUM(W51,W67)</f>
        <v>75913</v>
      </c>
      <c r="X68" s="57"/>
      <c r="Y68" s="2322">
        <v>278694</v>
      </c>
      <c r="Z68" s="1010"/>
      <c r="AA68" s="1011"/>
      <c r="AB68" s="1012"/>
      <c r="AC68" s="2313"/>
      <c r="AD68" s="2153"/>
      <c r="AE68" s="1695">
        <f>IF(ISERROR(F67/(AA67/1000*invanare)),"",(SUM(Motpart!D17:D25,Motpart!F17:F25)/(AA67/100000*invanare)))</f>
        <v>1.5336881366283509E-2</v>
      </c>
      <c r="AF68" s="1035">
        <v>245276</v>
      </c>
      <c r="AG68" s="1692">
        <v>228943</v>
      </c>
      <c r="AH68" s="1939">
        <f>SUM(AH51,AH58,AH60:AH61,AH63:AH66)</f>
        <v>33418</v>
      </c>
    </row>
    <row r="69" spans="1:34" ht="17.25" customHeight="1">
      <c r="A69" s="897"/>
      <c r="B69" s="900" t="s">
        <v>100</v>
      </c>
      <c r="C69" s="507"/>
      <c r="D69" s="508"/>
      <c r="E69" s="509"/>
      <c r="F69" s="509"/>
      <c r="G69" s="509"/>
      <c r="H69" s="508"/>
      <c r="I69" s="509"/>
      <c r="J69" s="510"/>
      <c r="K69" s="37"/>
      <c r="L69" s="511"/>
      <c r="M69" s="509"/>
      <c r="N69" s="508"/>
      <c r="O69" s="508"/>
      <c r="P69" s="512"/>
      <c r="Q69" s="51"/>
      <c r="R69" s="511"/>
      <c r="S69" s="509"/>
      <c r="T69" s="510"/>
      <c r="U69" s="51"/>
      <c r="V69" s="513"/>
      <c r="W69" s="514"/>
      <c r="X69" s="37"/>
      <c r="Y69" s="2384"/>
      <c r="Z69" s="2400"/>
      <c r="AA69" s="2403"/>
      <c r="AB69" s="2405"/>
      <c r="AC69" s="2399"/>
      <c r="AD69" s="2309"/>
      <c r="AE69" s="1006"/>
      <c r="AF69" s="1699"/>
      <c r="AG69" s="1701"/>
      <c r="AH69" s="1938"/>
    </row>
    <row r="70" spans="1:34">
      <c r="A70" s="592" t="s">
        <v>261</v>
      </c>
      <c r="B70" s="895" t="s">
        <v>101</v>
      </c>
      <c r="C70" s="19">
        <v>71</v>
      </c>
      <c r="D70" s="20">
        <v>28</v>
      </c>
      <c r="E70" s="19">
        <v>5</v>
      </c>
      <c r="F70" s="19">
        <v>47</v>
      </c>
      <c r="G70" s="19">
        <v>38</v>
      </c>
      <c r="H70" s="20">
        <v>0</v>
      </c>
      <c r="I70" s="19">
        <v>2</v>
      </c>
      <c r="J70" s="106">
        <v>1</v>
      </c>
      <c r="K70" s="30"/>
      <c r="L70" s="109">
        <v>10</v>
      </c>
      <c r="M70" s="19">
        <v>113</v>
      </c>
      <c r="N70" s="20">
        <v>0</v>
      </c>
      <c r="O70" s="380">
        <v>6</v>
      </c>
      <c r="P70" s="379">
        <f>SUM(C70:O70)</f>
        <v>321</v>
      </c>
      <c r="Q70" s="49"/>
      <c r="R70" s="109">
        <v>15</v>
      </c>
      <c r="S70" s="19">
        <v>0</v>
      </c>
      <c r="T70" s="106">
        <v>27</v>
      </c>
      <c r="U70" s="50"/>
      <c r="V70" s="119">
        <v>114</v>
      </c>
      <c r="W70" s="414">
        <f>SUM(R70:V70)</f>
        <v>156</v>
      </c>
      <c r="X70" s="57"/>
      <c r="Y70" s="2357">
        <v>200</v>
      </c>
      <c r="Z70" s="2401"/>
      <c r="AA70" s="2404"/>
      <c r="AB70" s="2404"/>
      <c r="AC70" s="2398"/>
      <c r="AD70" s="2309" t="str">
        <f>IF(P70&gt;50,"Har kommunen primärvård?Kommentera","")</f>
        <v>Har kommunen primärvård?Kommentera</v>
      </c>
      <c r="AE70" s="1006"/>
      <c r="AF70" s="1005">
        <v>167</v>
      </c>
      <c r="AG70" s="1689">
        <v>161</v>
      </c>
      <c r="AH70" s="1937">
        <f>W70-V70-(IF(AND(Motpart!$Y$26="",Motpart!$Z$26=""),0,IF(AND(Motpart!$Y$26=0,Motpart!$Z$26=0),0,((T70/($T$70+$T$71))*(Motpart!$Y$26+Motpart!$Z$26)))))</f>
        <v>35.392749244712988</v>
      </c>
    </row>
    <row r="71" spans="1:34" ht="21" customHeight="1">
      <c r="A71" s="592" t="s">
        <v>262</v>
      </c>
      <c r="B71" s="1996" t="s">
        <v>1226</v>
      </c>
      <c r="C71" s="22">
        <v>589</v>
      </c>
      <c r="D71" s="20">
        <v>234</v>
      </c>
      <c r="E71" s="22">
        <v>319</v>
      </c>
      <c r="F71" s="22">
        <v>244</v>
      </c>
      <c r="G71" s="22">
        <v>221</v>
      </c>
      <c r="H71" s="23">
        <v>1</v>
      </c>
      <c r="I71" s="22">
        <v>6</v>
      </c>
      <c r="J71" s="107">
        <v>24</v>
      </c>
      <c r="K71" s="30"/>
      <c r="L71" s="110">
        <v>110</v>
      </c>
      <c r="M71" s="22">
        <v>157</v>
      </c>
      <c r="N71" s="20">
        <v>0</v>
      </c>
      <c r="O71" s="380">
        <v>60</v>
      </c>
      <c r="P71" s="379">
        <f>SUM(C71:O71)</f>
        <v>1965</v>
      </c>
      <c r="Q71" s="49"/>
      <c r="R71" s="110">
        <v>50</v>
      </c>
      <c r="S71" s="22">
        <v>1</v>
      </c>
      <c r="T71" s="107">
        <v>304</v>
      </c>
      <c r="U71" s="50"/>
      <c r="V71" s="120">
        <v>132</v>
      </c>
      <c r="W71" s="1013">
        <f>SUM(R71:V71)</f>
        <v>487</v>
      </c>
      <c r="X71" s="57"/>
      <c r="Y71" s="2358">
        <v>1758</v>
      </c>
      <c r="Z71" s="2402"/>
      <c r="AA71" s="2404"/>
      <c r="AB71" s="2404"/>
      <c r="AC71" s="2398"/>
      <c r="AD71" s="2309" t="str">
        <f>IF(AND($P$71&gt;0,('Kn Information'!$B$3)="0188"),"",IF(AND($P$71&gt;0,('Kn Information'!$B$3)="0980"),"",IF(P71&gt;0,"Kommentera belopp","")))</f>
        <v>Kommentera belopp</v>
      </c>
      <c r="AE71" s="1006"/>
      <c r="AF71" s="1005">
        <v>1477</v>
      </c>
      <c r="AG71" s="1689">
        <v>1586</v>
      </c>
      <c r="AH71" s="1937">
        <f>W71-V71-(IF(AND(Motpart!$Y$26="",Motpart!$Z$26=""),0,IF(AND(Motpart!$Y$26=0,Motpart!$Z$26=0),0,((T71/($T$70+$T$71))*(Motpart!$Y$26+Motpart!$Z$26)))))</f>
        <v>280.607250755287</v>
      </c>
    </row>
    <row r="72" spans="1:34" ht="36" customHeight="1">
      <c r="A72" s="908"/>
      <c r="B72" s="1744" t="s">
        <v>103</v>
      </c>
      <c r="C72" s="480"/>
      <c r="D72" s="479"/>
      <c r="E72" s="477"/>
      <c r="F72" s="477"/>
      <c r="G72" s="477"/>
      <c r="H72" s="479"/>
      <c r="I72" s="477"/>
      <c r="J72" s="478"/>
      <c r="K72" s="30"/>
      <c r="L72" s="476"/>
      <c r="M72" s="477"/>
      <c r="N72" s="479"/>
      <c r="O72" s="479"/>
      <c r="P72" s="478"/>
      <c r="Q72" s="50"/>
      <c r="R72" s="476"/>
      <c r="S72" s="477"/>
      <c r="T72" s="478"/>
      <c r="U72" s="50"/>
      <c r="V72" s="474"/>
      <c r="W72" s="475"/>
      <c r="X72" s="30"/>
      <c r="Y72" s="1743"/>
      <c r="Z72" s="464"/>
      <c r="AA72" s="466"/>
      <c r="AB72" s="466"/>
      <c r="AC72" s="467"/>
      <c r="AD72" s="2309"/>
      <c r="AE72" s="1024">
        <f>IF(ISERROR((F73+F74)/((AA73+AA74)/1000*invanare)),"",((F73+F74)/((AA73+AA74)/100000*invanare)))</f>
        <v>1.7287718289509573E-2</v>
      </c>
      <c r="AF72" s="1005"/>
      <c r="AG72" s="1689"/>
      <c r="AH72" s="1937"/>
    </row>
    <row r="73" spans="1:34">
      <c r="A73" s="592" t="s">
        <v>448</v>
      </c>
      <c r="B73" s="903" t="s">
        <v>505</v>
      </c>
      <c r="C73" s="19">
        <v>54268</v>
      </c>
      <c r="D73" s="20">
        <v>20785</v>
      </c>
      <c r="E73" s="19">
        <v>3712</v>
      </c>
      <c r="F73" s="19">
        <v>20047</v>
      </c>
      <c r="G73" s="19">
        <v>4578</v>
      </c>
      <c r="H73" s="20">
        <v>1019</v>
      </c>
      <c r="I73" s="19">
        <v>4300</v>
      </c>
      <c r="J73" s="106">
        <v>568</v>
      </c>
      <c r="K73" s="30"/>
      <c r="L73" s="109">
        <v>5307</v>
      </c>
      <c r="M73" s="19">
        <v>15463</v>
      </c>
      <c r="N73" s="20">
        <v>582</v>
      </c>
      <c r="O73" s="380">
        <v>3116</v>
      </c>
      <c r="P73" s="379">
        <f>SUM(C73:O73)</f>
        <v>133745</v>
      </c>
      <c r="Q73" s="49"/>
      <c r="R73" s="2003">
        <v>4776</v>
      </c>
      <c r="S73" s="19">
        <v>4249</v>
      </c>
      <c r="T73" s="106">
        <v>7277</v>
      </c>
      <c r="U73" s="50"/>
      <c r="V73" s="119">
        <v>11842</v>
      </c>
      <c r="W73" s="414">
        <f>SUM(R73:V73)</f>
        <v>28144</v>
      </c>
      <c r="X73" s="57"/>
      <c r="Y73" s="1588">
        <v>121694</v>
      </c>
      <c r="Z73" s="2394">
        <f>(P73-W73)*1000000/invanare</f>
        <v>10434.631899118618</v>
      </c>
      <c r="AA73" s="2373">
        <f>Y73*1000000/invanare</f>
        <v>12024.811264394666</v>
      </c>
      <c r="AB73" s="2379">
        <v>11741</v>
      </c>
      <c r="AC73" s="2407">
        <f>IF(ISERROR((AA73-AB73)/AB73)," ",((AA73-AB73)/AB73))</f>
        <v>2.4172665394316162E-2</v>
      </c>
      <c r="AD73" s="2298" t="str">
        <f>IF(P73=0,"Belopp saknas",IF(AND(C73&gt;5000,R73&lt;50),"Kontrollera Taxor o avgifter",""))</f>
        <v/>
      </c>
      <c r="AE73" s="1007"/>
      <c r="AF73" s="1005">
        <v>105602</v>
      </c>
      <c r="AG73" s="1689">
        <v>100839</v>
      </c>
      <c r="AH73" s="1937">
        <f>W73-V73-SUM(Motpart!Y27:Z27)</f>
        <v>16091</v>
      </c>
    </row>
    <row r="74" spans="1:34" ht="18.75">
      <c r="A74" s="592" t="s">
        <v>447</v>
      </c>
      <c r="B74" s="909" t="s">
        <v>383</v>
      </c>
      <c r="C74" s="19">
        <v>5439</v>
      </c>
      <c r="D74" s="20">
        <v>2072</v>
      </c>
      <c r="E74" s="19">
        <v>292</v>
      </c>
      <c r="F74" s="19">
        <v>3405</v>
      </c>
      <c r="G74" s="19">
        <v>616</v>
      </c>
      <c r="H74" s="20">
        <v>430</v>
      </c>
      <c r="I74" s="19">
        <v>407</v>
      </c>
      <c r="J74" s="106">
        <v>32</v>
      </c>
      <c r="K74" s="30"/>
      <c r="L74" s="109">
        <v>397</v>
      </c>
      <c r="M74" s="19">
        <v>1493</v>
      </c>
      <c r="N74" s="20">
        <v>61</v>
      </c>
      <c r="O74" s="380">
        <v>305</v>
      </c>
      <c r="P74" s="379">
        <f>SUM(C74:O74)</f>
        <v>14949</v>
      </c>
      <c r="Q74" s="49"/>
      <c r="R74" s="2003">
        <v>266</v>
      </c>
      <c r="S74" s="19">
        <v>314</v>
      </c>
      <c r="T74" s="106">
        <v>768</v>
      </c>
      <c r="U74" s="50"/>
      <c r="V74" s="119">
        <v>943</v>
      </c>
      <c r="W74" s="414">
        <f>SUM(R74:V74)</f>
        <v>2291</v>
      </c>
      <c r="X74" s="57"/>
      <c r="Y74" s="2357">
        <v>13963</v>
      </c>
      <c r="Z74" s="2394">
        <f>(P74-W74)*1000000/invanare</f>
        <v>1250.7606043412795</v>
      </c>
      <c r="AA74" s="2373">
        <f>Y74*1000000/invanare</f>
        <v>1379.7100899365846</v>
      </c>
      <c r="AB74" s="2379">
        <v>1357</v>
      </c>
      <c r="AC74" s="2407">
        <f>IF(ISERROR((AA74-AB74)/AB74)," ",((AA74-AB74)/AB74))</f>
        <v>1.6735512112442601E-2</v>
      </c>
      <c r="AD74" s="2298" t="str">
        <f>IF(P74=0,"Belopp saknas",IF(AND(C74&gt;5000,R74&lt;50),"Kontrollera Taxor o avgifter",""))</f>
        <v/>
      </c>
      <c r="AE74" s="1022">
        <f>(Y77-Y76)*1000/invanare</f>
        <v>19.257741069828171</v>
      </c>
      <c r="AF74" s="1005">
        <v>12660</v>
      </c>
      <c r="AG74" s="1689">
        <v>10171</v>
      </c>
      <c r="AH74" s="1937">
        <f>W74-V74-SUM(Motpart!Y28:Z28)</f>
        <v>1303</v>
      </c>
    </row>
    <row r="75" spans="1:34">
      <c r="A75" s="592" t="s">
        <v>263</v>
      </c>
      <c r="B75" s="903" t="s">
        <v>384</v>
      </c>
      <c r="C75" s="2002">
        <v>24884</v>
      </c>
      <c r="D75" s="20">
        <v>9486</v>
      </c>
      <c r="E75" s="22">
        <v>845</v>
      </c>
      <c r="F75" s="2002">
        <v>11665</v>
      </c>
      <c r="G75" s="22">
        <v>1687</v>
      </c>
      <c r="H75" s="23">
        <v>4964</v>
      </c>
      <c r="I75" s="22">
        <v>1506</v>
      </c>
      <c r="J75" s="107">
        <v>115</v>
      </c>
      <c r="K75" s="30"/>
      <c r="L75" s="110">
        <v>1813</v>
      </c>
      <c r="M75" s="2002">
        <v>4627</v>
      </c>
      <c r="N75" s="2435">
        <v>258</v>
      </c>
      <c r="O75" s="380">
        <v>1270</v>
      </c>
      <c r="P75" s="379">
        <f>SUM(C75:O75)</f>
        <v>63120</v>
      </c>
      <c r="Q75" s="49"/>
      <c r="R75" s="2001">
        <v>118</v>
      </c>
      <c r="S75" s="22">
        <v>1189</v>
      </c>
      <c r="T75" s="107">
        <v>8245</v>
      </c>
      <c r="U75" s="50"/>
      <c r="V75" s="2436">
        <v>3635</v>
      </c>
      <c r="W75" s="414">
        <f>SUM(R75:V75)</f>
        <v>13187</v>
      </c>
      <c r="X75" s="57"/>
      <c r="Y75" s="2357">
        <v>59236</v>
      </c>
      <c r="Z75" s="2394">
        <f>(P75-W75)*1000000/invanare</f>
        <v>4933.9729227818862</v>
      </c>
      <c r="AA75" s="2373">
        <f>Y75*1000000/invanare</f>
        <v>5853.2197154969217</v>
      </c>
      <c r="AB75" s="2379">
        <v>5709</v>
      </c>
      <c r="AC75" s="2407">
        <f>IF(ISERROR((AA75-AB75)/AB75)," ",((AA75-AB75)/AB75))</f>
        <v>2.5261817393049869E-2</v>
      </c>
      <c r="AD75" s="2310" t="str">
        <f>IF(AA75="","Belopp saknas",IF(OR(AC75&gt;20%,AC75&lt;-10%),"Kommentera förändringen",IF(OR(AA75&gt;6500,AA75&lt;1600),"Kommentera riksavvikelsen","")))</f>
        <v/>
      </c>
      <c r="AE75" s="1006"/>
      <c r="AF75" s="1005">
        <v>49933</v>
      </c>
      <c r="AG75" s="1689">
        <v>42856</v>
      </c>
      <c r="AH75" s="1937">
        <f>W75-V75-SUM(Motpart!Y29:Z29)</f>
        <v>9304</v>
      </c>
    </row>
    <row r="76" spans="1:34">
      <c r="A76" s="592" t="s">
        <v>264</v>
      </c>
      <c r="B76" s="892" t="s">
        <v>104</v>
      </c>
      <c r="C76" s="22">
        <v>105</v>
      </c>
      <c r="D76" s="20">
        <v>40</v>
      </c>
      <c r="E76" s="22">
        <v>3</v>
      </c>
      <c r="F76" s="22">
        <v>1580</v>
      </c>
      <c r="G76" s="22">
        <v>324</v>
      </c>
      <c r="H76" s="23">
        <v>40</v>
      </c>
      <c r="I76" s="22">
        <v>4</v>
      </c>
      <c r="J76" s="107">
        <v>1</v>
      </c>
      <c r="K76" s="30"/>
      <c r="L76" s="110">
        <v>3</v>
      </c>
      <c r="M76" s="22">
        <v>77</v>
      </c>
      <c r="N76" s="20">
        <v>3</v>
      </c>
      <c r="O76" s="380">
        <v>15</v>
      </c>
      <c r="P76" s="379">
        <f>SUM(C76:O76)</f>
        <v>2195</v>
      </c>
      <c r="Q76" s="49"/>
      <c r="R76" s="2001">
        <v>120</v>
      </c>
      <c r="S76" s="22">
        <v>0</v>
      </c>
      <c r="T76" s="107">
        <v>75</v>
      </c>
      <c r="U76" s="50"/>
      <c r="V76" s="120">
        <v>111</v>
      </c>
      <c r="W76" s="414">
        <f>SUM(R76:V76)</f>
        <v>306</v>
      </c>
      <c r="X76" s="57"/>
      <c r="Y76" s="2357">
        <v>2052</v>
      </c>
      <c r="Z76" s="2394">
        <f>(P76-W76)*1000000/invanare</f>
        <v>186.65561554753336</v>
      </c>
      <c r="AA76" s="2373">
        <f>Y76*1000000/invanare</f>
        <v>202.7619497636519</v>
      </c>
      <c r="AB76" s="2379">
        <v>196</v>
      </c>
      <c r="AC76" s="2407">
        <f>IF(ISERROR((AA76-AB76)/AB76)," ",((AA76-AB76)/AB76))</f>
        <v>3.4499743692101521E-2</v>
      </c>
      <c r="AD76" s="2298" t="str">
        <f>IF(P76=0,"Belopp saknas",IF(OR(AC76&gt;10%,AC76&lt;-5%),"Kommentera förändringen",IF(AND(C76&gt;5000,R76&lt;50),"Kontrollera Taxor o avgifter","")))</f>
        <v/>
      </c>
      <c r="AE76" s="1022"/>
      <c r="AF76" s="1005">
        <v>1890</v>
      </c>
      <c r="AG76" s="1689">
        <v>465</v>
      </c>
      <c r="AH76" s="1937">
        <f>W76-V76-SUM(Motpart!Y30:Z30)</f>
        <v>162</v>
      </c>
    </row>
    <row r="77" spans="1:34">
      <c r="A77" s="592" t="s">
        <v>517</v>
      </c>
      <c r="B77" s="892" t="s">
        <v>106</v>
      </c>
      <c r="C77" s="374">
        <f t="shared" ref="C77:J77" si="18">SUM(C73:C76)</f>
        <v>84696</v>
      </c>
      <c r="D77" s="25">
        <f t="shared" si="18"/>
        <v>32383</v>
      </c>
      <c r="E77" s="374">
        <f t="shared" si="18"/>
        <v>4852</v>
      </c>
      <c r="F77" s="374">
        <f t="shared" si="18"/>
        <v>36697</v>
      </c>
      <c r="G77" s="374">
        <f t="shared" si="18"/>
        <v>7205</v>
      </c>
      <c r="H77" s="25">
        <f t="shared" si="18"/>
        <v>6453</v>
      </c>
      <c r="I77" s="374">
        <f t="shared" si="18"/>
        <v>6217</v>
      </c>
      <c r="J77" s="111">
        <f t="shared" si="18"/>
        <v>716</v>
      </c>
      <c r="K77" s="151"/>
      <c r="L77" s="381">
        <f>SUM(L73:L76)</f>
        <v>7520</v>
      </c>
      <c r="M77" s="374">
        <f>SUM(M73:M76)</f>
        <v>21660</v>
      </c>
      <c r="N77" s="25">
        <f>SUM(N73:N76)</f>
        <v>904</v>
      </c>
      <c r="O77" s="25">
        <f>SUM(O73:O76)</f>
        <v>4706</v>
      </c>
      <c r="P77" s="111">
        <f>SUM(P73:P76)</f>
        <v>214009</v>
      </c>
      <c r="Q77" s="49"/>
      <c r="R77" s="381">
        <f>SUM(R73:R76)</f>
        <v>5280</v>
      </c>
      <c r="S77" s="374">
        <f>SUM(S73:S76)</f>
        <v>5752</v>
      </c>
      <c r="T77" s="111">
        <f>SUM(T73:T76)</f>
        <v>16365</v>
      </c>
      <c r="U77" s="49"/>
      <c r="V77" s="123">
        <f>SUM(V73:V76)</f>
        <v>16531</v>
      </c>
      <c r="W77" s="124">
        <f>SUM(W73:W76)</f>
        <v>43928</v>
      </c>
      <c r="X77" s="57"/>
      <c r="Y77" s="2357">
        <v>196945</v>
      </c>
      <c r="Z77" s="2394">
        <f>(P77-W77)*1000000/invanare</f>
        <v>16806.021041789318</v>
      </c>
      <c r="AA77" s="2373">
        <f>Y77*1000000/invanare</f>
        <v>19460.503019591823</v>
      </c>
      <c r="AB77" s="2379">
        <v>19002</v>
      </c>
      <c r="AC77" s="2407">
        <f t="shared" ref="AC77:AC84" si="19">IF(ISERROR((AA77-AB77)/AB77)," ",((AA77-AB77)/AB77))</f>
        <v>2.4129197957679323E-2</v>
      </c>
      <c r="AD77" s="2310" t="str">
        <f>IF(AA77="","Belopp saknas",IF(OR(AC77&gt;15%,AC77&lt;-5%),"Kontrollera förändringen",""))</f>
        <v/>
      </c>
      <c r="AE77" s="1007">
        <f>IF(ISERROR(F77/(AA77/1000*invanare)),"",(F77/(AA77/100000*invanare)))</f>
        <v>1.8633120922084846E-2</v>
      </c>
      <c r="AF77" s="1005">
        <v>170086</v>
      </c>
      <c r="AG77" s="1689">
        <v>154331</v>
      </c>
      <c r="AH77" s="1937">
        <f>W77-V77-SUM(Motpart!Y27:Z30)</f>
        <v>26860</v>
      </c>
    </row>
    <row r="78" spans="1:34" ht="13.5" customHeight="1">
      <c r="A78" s="908"/>
      <c r="B78" s="910" t="s">
        <v>107</v>
      </c>
      <c r="C78" s="480"/>
      <c r="D78" s="479"/>
      <c r="E78" s="477"/>
      <c r="F78" s="477"/>
      <c r="G78" s="477"/>
      <c r="H78" s="479"/>
      <c r="I78" s="477"/>
      <c r="J78" s="478"/>
      <c r="K78" s="30"/>
      <c r="L78" s="476"/>
      <c r="M78" s="477"/>
      <c r="N78" s="479"/>
      <c r="O78" s="479"/>
      <c r="P78" s="478"/>
      <c r="Q78" s="50"/>
      <c r="R78" s="476"/>
      <c r="S78" s="477"/>
      <c r="T78" s="478"/>
      <c r="U78" s="50"/>
      <c r="V78" s="474"/>
      <c r="W78" s="475"/>
      <c r="X78" s="30"/>
      <c r="Y78" s="2359"/>
      <c r="Z78" s="2394"/>
      <c r="AA78" s="2373"/>
      <c r="AB78" s="2379"/>
      <c r="AC78" s="2407" t="str">
        <f t="shared" si="19"/>
        <v xml:space="preserve"> </v>
      </c>
      <c r="AD78" s="2299" t="str">
        <f>IF(ISERROR((AA78-AB78)/AB78),"",IF(AND(AC78&gt;-4%,AC78&lt;18%),"","Kontrollera LSS/SFB, gröna celler i blanketten"))</f>
        <v/>
      </c>
      <c r="AE78" s="1006">
        <f>IF(ISERROR(F77/(AA77/1000*invanare)),"",(SUM(Motpart!D27:D30,Motpart!F27:F30)/(AA77/100000*invanare)))</f>
        <v>1.6993069130975653E-2</v>
      </c>
      <c r="AF78" s="1005"/>
      <c r="AG78" s="1689"/>
      <c r="AH78" s="1937"/>
    </row>
    <row r="79" spans="1:34">
      <c r="A79" s="592" t="s">
        <v>453</v>
      </c>
      <c r="B79" s="911" t="s">
        <v>206</v>
      </c>
      <c r="C79" s="19">
        <v>2204</v>
      </c>
      <c r="D79" s="20">
        <v>843</v>
      </c>
      <c r="E79" s="19">
        <v>131</v>
      </c>
      <c r="F79" s="19">
        <v>3079</v>
      </c>
      <c r="G79" s="19">
        <v>449</v>
      </c>
      <c r="H79" s="20">
        <v>174</v>
      </c>
      <c r="I79" s="19">
        <v>477</v>
      </c>
      <c r="J79" s="106">
        <v>12</v>
      </c>
      <c r="K79" s="30"/>
      <c r="L79" s="109">
        <v>281</v>
      </c>
      <c r="M79" s="19">
        <v>493</v>
      </c>
      <c r="N79" s="20">
        <v>24</v>
      </c>
      <c r="O79" s="380">
        <v>140</v>
      </c>
      <c r="P79" s="379">
        <f>SUM(C79:O79)</f>
        <v>8307</v>
      </c>
      <c r="Q79" s="49"/>
      <c r="R79" s="109">
        <v>45</v>
      </c>
      <c r="S79" s="19">
        <v>384</v>
      </c>
      <c r="T79" s="106">
        <v>412</v>
      </c>
      <c r="U79" s="50"/>
      <c r="V79" s="119">
        <v>427</v>
      </c>
      <c r="W79" s="414">
        <f>SUM(R79:V79)</f>
        <v>1268</v>
      </c>
      <c r="X79" s="57"/>
      <c r="Y79" s="2357">
        <v>7801</v>
      </c>
      <c r="Z79" s="2394">
        <f>(P79-W79)*1000000/invanare</f>
        <v>695.53672728379422</v>
      </c>
      <c r="AA79" s="2373">
        <f>Y79*1000000/invanare</f>
        <v>770.83136944748946</v>
      </c>
      <c r="AB79" s="2379">
        <v>731</v>
      </c>
      <c r="AC79" s="2407">
        <f t="shared" si="19"/>
        <v>5.448887749314564E-2</v>
      </c>
      <c r="AD79" s="2298" t="str">
        <f>IF(AND(AC79&gt;-55%,AC79&lt;55%),"","Kontrollera förändringen")</f>
        <v/>
      </c>
      <c r="AE79" s="1022">
        <f>F85-F76-F71-F70</f>
        <v>46374</v>
      </c>
      <c r="AF79" s="1005">
        <v>7041</v>
      </c>
      <c r="AG79" s="1689">
        <v>4627</v>
      </c>
      <c r="AH79" s="1937">
        <f>W79-V79-SUM(Motpart!Y31:Z31)</f>
        <v>761</v>
      </c>
    </row>
    <row r="80" spans="1:34">
      <c r="A80" s="592" t="s">
        <v>452</v>
      </c>
      <c r="B80" s="911" t="s">
        <v>108</v>
      </c>
      <c r="C80" s="19">
        <v>7232</v>
      </c>
      <c r="D80" s="20">
        <v>2642</v>
      </c>
      <c r="E80" s="19">
        <v>159</v>
      </c>
      <c r="F80" s="19">
        <v>7100</v>
      </c>
      <c r="G80" s="19">
        <v>2099</v>
      </c>
      <c r="H80" s="20">
        <v>175</v>
      </c>
      <c r="I80" s="19">
        <v>274</v>
      </c>
      <c r="J80" s="106">
        <v>29</v>
      </c>
      <c r="K80" s="30"/>
      <c r="L80" s="109">
        <v>323</v>
      </c>
      <c r="M80" s="19">
        <v>937</v>
      </c>
      <c r="N80" s="20">
        <v>84</v>
      </c>
      <c r="O80" s="380">
        <v>416</v>
      </c>
      <c r="P80" s="379">
        <f>SUM(C80:O80)</f>
        <v>21470</v>
      </c>
      <c r="Q80" s="49"/>
      <c r="R80" s="109">
        <v>49</v>
      </c>
      <c r="S80" s="19">
        <v>38</v>
      </c>
      <c r="T80" s="106">
        <v>2289</v>
      </c>
      <c r="U80" s="50"/>
      <c r="V80" s="119">
        <v>708</v>
      </c>
      <c r="W80" s="414">
        <f>SUM(R80:V80)</f>
        <v>3084</v>
      </c>
      <c r="X80" s="57"/>
      <c r="Y80" s="1588">
        <v>20562</v>
      </c>
      <c r="Z80" s="2394">
        <f>(P80-W80)*1000000/invanare</f>
        <v>1816.7549748316296</v>
      </c>
      <c r="AA80" s="2373">
        <f>Y80*1000000/invanare</f>
        <v>2031.7695960234944</v>
      </c>
      <c r="AB80" s="2379">
        <v>1944</v>
      </c>
      <c r="AC80" s="2407">
        <f t="shared" si="19"/>
        <v>4.514896914788806E-2</v>
      </c>
      <c r="AD80" s="2298" t="str">
        <f>IF(AND(AC80&gt;-30%,AC80&lt;50%),"","Kontrollera förändringen")</f>
        <v/>
      </c>
      <c r="AE80" s="1022">
        <f>H85-H76-H71-H70</f>
        <v>16878</v>
      </c>
      <c r="AF80" s="1005">
        <v>18386</v>
      </c>
      <c r="AG80" s="1689">
        <v>13486</v>
      </c>
      <c r="AH80" s="1937">
        <f>W80-V80-SUM(Motpart!Y33:Z33)</f>
        <v>2177</v>
      </c>
    </row>
    <row r="81" spans="1:34">
      <c r="A81" s="592" t="s">
        <v>455</v>
      </c>
      <c r="B81" s="911" t="s">
        <v>171</v>
      </c>
      <c r="C81" s="19">
        <v>693</v>
      </c>
      <c r="D81" s="20">
        <v>264</v>
      </c>
      <c r="E81" s="19">
        <v>37</v>
      </c>
      <c r="F81" s="19">
        <v>895</v>
      </c>
      <c r="G81" s="19">
        <v>170</v>
      </c>
      <c r="H81" s="20">
        <v>227</v>
      </c>
      <c r="I81" s="19">
        <v>245</v>
      </c>
      <c r="J81" s="106">
        <v>4</v>
      </c>
      <c r="K81" s="30"/>
      <c r="L81" s="109">
        <v>112</v>
      </c>
      <c r="M81" s="19">
        <v>249</v>
      </c>
      <c r="N81" s="20">
        <v>10</v>
      </c>
      <c r="O81" s="380">
        <v>46</v>
      </c>
      <c r="P81" s="379">
        <f>SUM(C81:O81)</f>
        <v>2952</v>
      </c>
      <c r="Q81" s="49"/>
      <c r="R81" s="109">
        <v>8</v>
      </c>
      <c r="S81" s="19">
        <v>231</v>
      </c>
      <c r="T81" s="106">
        <v>273</v>
      </c>
      <c r="U81" s="50"/>
      <c r="V81" s="119">
        <v>172</v>
      </c>
      <c r="W81" s="414">
        <f>SUM(R81:V81)</f>
        <v>684</v>
      </c>
      <c r="X81" s="57"/>
      <c r="Y81" s="1588">
        <v>2744</v>
      </c>
      <c r="Z81" s="2394">
        <f>(P81-W81)*1000000/invanare</f>
        <v>224.1053128966679</v>
      </c>
      <c r="AA81" s="2373">
        <f>Y81*1000000/invanare</f>
        <v>271.13976128238829</v>
      </c>
      <c r="AB81" s="2379">
        <v>241</v>
      </c>
      <c r="AC81" s="2407">
        <f t="shared" si="19"/>
        <v>0.12506125013439126</v>
      </c>
      <c r="AD81" s="2298" t="str">
        <f>IF(AND(AB81=0,AA81=0),"",IF(AND(AB81&lt;50,AA81&lt;50),"",IF(AND(AC81&gt;-80%,AC81&lt;100%),"","Kontrollera förändringen")))</f>
        <v/>
      </c>
      <c r="AE81" s="1006"/>
      <c r="AF81" s="1005">
        <v>2269</v>
      </c>
      <c r="AG81" s="1689">
        <v>1660</v>
      </c>
      <c r="AH81" s="1937">
        <f>W81-V81-IFO!G29</f>
        <v>475</v>
      </c>
    </row>
    <row r="82" spans="1:34">
      <c r="A82" s="592" t="s">
        <v>454</v>
      </c>
      <c r="B82" s="911" t="s">
        <v>109</v>
      </c>
      <c r="C82" s="19">
        <v>1992</v>
      </c>
      <c r="D82" s="20">
        <v>766</v>
      </c>
      <c r="E82" s="19">
        <v>49</v>
      </c>
      <c r="F82" s="19">
        <v>63</v>
      </c>
      <c r="G82" s="19">
        <v>387</v>
      </c>
      <c r="H82" s="20">
        <v>9886</v>
      </c>
      <c r="I82" s="19">
        <v>115</v>
      </c>
      <c r="J82" s="106">
        <v>12</v>
      </c>
      <c r="K82" s="30"/>
      <c r="L82" s="109">
        <v>112</v>
      </c>
      <c r="M82" s="19">
        <v>269</v>
      </c>
      <c r="N82" s="20">
        <v>26</v>
      </c>
      <c r="O82" s="380">
        <v>116</v>
      </c>
      <c r="P82" s="379">
        <f>SUM(C82:O82)</f>
        <v>13793</v>
      </c>
      <c r="Q82" s="49"/>
      <c r="R82" s="109">
        <v>25</v>
      </c>
      <c r="S82" s="19">
        <v>28</v>
      </c>
      <c r="T82" s="106">
        <v>635</v>
      </c>
      <c r="U82" s="50"/>
      <c r="V82" s="119">
        <v>112</v>
      </c>
      <c r="W82" s="414">
        <f>SUM(R82:V82)</f>
        <v>800</v>
      </c>
      <c r="X82" s="57"/>
      <c r="Y82" s="1588">
        <v>13674</v>
      </c>
      <c r="Z82" s="2394">
        <f>(P82-W82)*1000000/invanare</f>
        <v>1283.8625795707258</v>
      </c>
      <c r="AA82" s="2373">
        <f>Y82*1000000/invanare</f>
        <v>1351.15346055954</v>
      </c>
      <c r="AB82" s="2379">
        <v>1343</v>
      </c>
      <c r="AC82" s="2407">
        <f t="shared" si="19"/>
        <v>6.0710800890096854E-3</v>
      </c>
      <c r="AD82" s="2298" t="str">
        <f>IF(AND(AC82&gt;-20%,AC82&lt;30%),"","Kontrollera förändringen")</f>
        <v/>
      </c>
      <c r="AE82" s="1006"/>
      <c r="AF82" s="1005">
        <v>12993</v>
      </c>
      <c r="AG82" s="1689">
        <v>3733</v>
      </c>
      <c r="AH82" s="1937">
        <f>W82-V82-IFO!G30</f>
        <v>680</v>
      </c>
    </row>
    <row r="83" spans="1:34">
      <c r="A83" s="592" t="s">
        <v>360</v>
      </c>
      <c r="B83" s="892" t="s">
        <v>110</v>
      </c>
      <c r="C83" s="374">
        <f>SUM(C79:C82)</f>
        <v>12121</v>
      </c>
      <c r="D83" s="25">
        <f t="shared" ref="D83:J83" si="20">SUM(D79:D82)</f>
        <v>4515</v>
      </c>
      <c r="E83" s="382">
        <f t="shared" si="20"/>
        <v>376</v>
      </c>
      <c r="F83" s="374">
        <f t="shared" si="20"/>
        <v>11137</v>
      </c>
      <c r="G83" s="374">
        <f t="shared" si="20"/>
        <v>3105</v>
      </c>
      <c r="H83" s="25">
        <f t="shared" si="20"/>
        <v>10462</v>
      </c>
      <c r="I83" s="532">
        <f t="shared" si="20"/>
        <v>1111</v>
      </c>
      <c r="J83" s="111">
        <f t="shared" si="20"/>
        <v>57</v>
      </c>
      <c r="K83" s="151"/>
      <c r="L83" s="381">
        <f>SUM(L79:L82)</f>
        <v>828</v>
      </c>
      <c r="M83" s="374">
        <f>SUM(M79:M82)</f>
        <v>1948</v>
      </c>
      <c r="N83" s="25">
        <f>SUM(N79:N82)</f>
        <v>144</v>
      </c>
      <c r="O83" s="390">
        <f t="shared" ref="O83" si="21">IF(I$120=0,0,(SUM(C83:E83,G83,I83:M83)-V83)/(SUM(C$110:E$110,G$110,I$110:M$110)-V$110)*I$120)</f>
        <v>732.3495402003183</v>
      </c>
      <c r="P83" s="379">
        <f>SUM(P79:P82)</f>
        <v>46522</v>
      </c>
      <c r="Q83" s="49"/>
      <c r="R83" s="381">
        <f>SUM(R79:R82)</f>
        <v>127</v>
      </c>
      <c r="S83" s="374">
        <f>SUM(S79:S82)</f>
        <v>681</v>
      </c>
      <c r="T83" s="111">
        <f>SUM(T79:T82)</f>
        <v>3609</v>
      </c>
      <c r="U83" s="49"/>
      <c r="V83" s="123">
        <f>SUM(V79:V82)</f>
        <v>1419</v>
      </c>
      <c r="W83" s="414">
        <f>SUM(W79:W82)</f>
        <v>5836</v>
      </c>
      <c r="X83" s="57"/>
      <c r="Y83" s="2360">
        <v>44781</v>
      </c>
      <c r="Z83" s="2394">
        <f>(P83+P84-W83-W84)*1000000/invanare</f>
        <v>4103.6568097877498</v>
      </c>
      <c r="AA83" s="2373">
        <f>SUM(Y83:Y84)*1000000/invanare</f>
        <v>4513.4296195683855</v>
      </c>
      <c r="AB83" s="2379">
        <v>4343</v>
      </c>
      <c r="AC83" s="2407">
        <f t="shared" si="19"/>
        <v>3.9242371533130448E-2</v>
      </c>
      <c r="AD83" s="2298" t="str">
        <f>IF(AND(AC83&gt;-15%,AC83&lt;30%),"","Kontrollera förändringen")</f>
        <v/>
      </c>
      <c r="AE83" s="1007">
        <f>IF(ISERROR((F83+F84)/((F83+F84)/1000*invanare)),"",((F83+F84)/(AA83/100000*invanare)))</f>
        <v>2.464478840554327E-2</v>
      </c>
      <c r="AF83" s="1005">
        <v>40689</v>
      </c>
      <c r="AG83" s="1689">
        <v>23507</v>
      </c>
      <c r="AH83" s="1937">
        <f>W83-V83-IFO!G31</f>
        <v>4093</v>
      </c>
    </row>
    <row r="84" spans="1:34">
      <c r="A84" s="592" t="s">
        <v>461</v>
      </c>
      <c r="B84" s="892" t="s">
        <v>111</v>
      </c>
      <c r="C84" s="22">
        <v>453</v>
      </c>
      <c r="D84" s="20">
        <v>172</v>
      </c>
      <c r="E84" s="22">
        <v>8</v>
      </c>
      <c r="F84" s="22">
        <v>120</v>
      </c>
      <c r="G84" s="22">
        <v>95</v>
      </c>
      <c r="H84" s="23">
        <v>3</v>
      </c>
      <c r="I84" s="22">
        <v>14</v>
      </c>
      <c r="J84" s="107">
        <v>2</v>
      </c>
      <c r="K84" s="29"/>
      <c r="L84" s="110">
        <v>26</v>
      </c>
      <c r="M84" s="22">
        <v>53</v>
      </c>
      <c r="N84" s="23">
        <v>4</v>
      </c>
      <c r="O84" s="380">
        <v>26</v>
      </c>
      <c r="P84" s="379">
        <f>SUM(C84:O84)</f>
        <v>976</v>
      </c>
      <c r="Q84" s="49"/>
      <c r="R84" s="110">
        <v>12</v>
      </c>
      <c r="S84" s="22">
        <v>1</v>
      </c>
      <c r="T84" s="107">
        <v>90</v>
      </c>
      <c r="U84" s="214"/>
      <c r="V84" s="120">
        <v>29</v>
      </c>
      <c r="W84" s="414">
        <f>SUM(R84:V84)</f>
        <v>132</v>
      </c>
      <c r="X84" s="57"/>
      <c r="Y84" s="1588">
        <v>896</v>
      </c>
      <c r="Z84" s="2394">
        <f>(P84-W84)*1000000/invanare</f>
        <v>83.397215204932849</v>
      </c>
      <c r="AA84" s="2373">
        <f>Y84*1000000/invanare</f>
        <v>88.535432255473737</v>
      </c>
      <c r="AB84" s="2379">
        <v>84</v>
      </c>
      <c r="AC84" s="2407">
        <f t="shared" si="19"/>
        <v>5.3993241136592103E-2</v>
      </c>
      <c r="AD84" s="2298" t="str">
        <f>IF(AND(AC84&gt;-50%,AC84&lt;70%),"","Kontrollera förändringen")</f>
        <v/>
      </c>
      <c r="AE84" s="1006">
        <f>IF(ISERROR(F83+F84/(F83+F84/1000*invanare)),"",(SUM(Motpart!D31,Motpart!D33,Motpart!D35,Motpart!F31,Motpart!F33,Motpart!F35)/(AA83/100000*invanare)))</f>
        <v>2.027278499025768E-2</v>
      </c>
      <c r="AF84" s="1005">
        <v>846</v>
      </c>
      <c r="AG84" s="1689">
        <v>825</v>
      </c>
      <c r="AH84" s="1937">
        <f>W84-V84-SUM(IFO!G33:G34)</f>
        <v>50</v>
      </c>
    </row>
    <row r="85" spans="1:34" ht="13.5" thickBot="1">
      <c r="A85" s="596" t="s">
        <v>361</v>
      </c>
      <c r="B85" s="899" t="s">
        <v>112</v>
      </c>
      <c r="C85" s="386">
        <f t="shared" ref="C85:J85" si="22">SUM(C70:C71,C77,C83,C84)</f>
        <v>97930</v>
      </c>
      <c r="D85" s="387">
        <f t="shared" si="22"/>
        <v>37332</v>
      </c>
      <c r="E85" s="383">
        <f t="shared" si="22"/>
        <v>5560</v>
      </c>
      <c r="F85" s="386">
        <f t="shared" si="22"/>
        <v>48245</v>
      </c>
      <c r="G85" s="386">
        <f t="shared" si="22"/>
        <v>10664</v>
      </c>
      <c r="H85" s="387">
        <f t="shared" si="22"/>
        <v>16919</v>
      </c>
      <c r="I85" s="386">
        <f t="shared" si="22"/>
        <v>7350</v>
      </c>
      <c r="J85" s="388">
        <f t="shared" si="22"/>
        <v>800</v>
      </c>
      <c r="K85" s="151"/>
      <c r="L85" s="389">
        <f>SUM(L70:L71,L77,L83,L84)</f>
        <v>8494</v>
      </c>
      <c r="M85" s="386">
        <f>SUM(M70:M71,M77,M83,M84)</f>
        <v>23931</v>
      </c>
      <c r="N85" s="387">
        <f>SUM(N70:N71,N77,N83,N84)</f>
        <v>1052</v>
      </c>
      <c r="O85" s="387">
        <f>SUM(O70:O71,O77,O83,O84)</f>
        <v>5530.3495402003182</v>
      </c>
      <c r="P85" s="388">
        <f>SUM(P70:P71,P77,P83,P84)</f>
        <v>263793</v>
      </c>
      <c r="Q85" s="49"/>
      <c r="R85" s="389">
        <f>SUM(R70:R71,R77,R83,R84)</f>
        <v>5484</v>
      </c>
      <c r="S85" s="386">
        <f>SUM(S70:S71,S77,S83,S84)</f>
        <v>6435</v>
      </c>
      <c r="T85" s="388">
        <f>SUM(T70:T71,T77,T83,T84)</f>
        <v>20395</v>
      </c>
      <c r="U85" s="49"/>
      <c r="V85" s="416">
        <f>SUM(V70:V71,V77,V83,V84)</f>
        <v>18225</v>
      </c>
      <c r="W85" s="415">
        <f>SUM(W70:W71,W77,W83,W84)</f>
        <v>50539</v>
      </c>
      <c r="X85" s="57"/>
      <c r="Y85" s="2383">
        <v>244580</v>
      </c>
      <c r="Z85" s="2330"/>
      <c r="AA85" s="2331"/>
      <c r="AB85" s="2332"/>
      <c r="AC85" s="2406"/>
      <c r="AD85" s="2153"/>
      <c r="AE85" s="1696">
        <f>IF(ISERROR((F83)/((F83)/1000*invanare)),"",SUM(AA77,AA83)*100/AA90)</f>
        <v>38.181011311633291</v>
      </c>
      <c r="AF85" s="1035">
        <v>213264</v>
      </c>
      <c r="AG85" s="1692">
        <v>180410</v>
      </c>
      <c r="AH85" s="1939">
        <f>SUM(AH70,AH71,AH77,AH83,AH84)</f>
        <v>31319</v>
      </c>
    </row>
    <row r="86" spans="1:34" ht="40.5" customHeight="1">
      <c r="A86" s="908"/>
      <c r="B86" s="905" t="s">
        <v>113</v>
      </c>
      <c r="C86" s="456"/>
      <c r="D86" s="455"/>
      <c r="E86" s="453"/>
      <c r="F86" s="453"/>
      <c r="G86" s="453"/>
      <c r="H86" s="455"/>
      <c r="I86" s="453"/>
      <c r="J86" s="454"/>
      <c r="K86" s="30"/>
      <c r="L86" s="452"/>
      <c r="M86" s="453"/>
      <c r="N86" s="455"/>
      <c r="O86" s="455"/>
      <c r="P86" s="454"/>
      <c r="Q86" s="50"/>
      <c r="R86" s="452"/>
      <c r="S86" s="453"/>
      <c r="T86" s="454"/>
      <c r="U86" s="50"/>
      <c r="V86" s="450"/>
      <c r="W86" s="451"/>
      <c r="X86" s="30"/>
      <c r="Y86" s="2419"/>
      <c r="Z86" s="2703"/>
      <c r="AA86" s="2704"/>
      <c r="AB86" s="2704"/>
      <c r="AC86" s="2705"/>
      <c r="AD86" s="2309"/>
      <c r="AE86" s="1030">
        <f>IF(ISERROR((F83)/((F83)/1000*invanare)),"",(F83/((AA83-AA84)/100000*invanare)))</f>
        <v>2.4869922511779552E-2</v>
      </c>
      <c r="AF86" s="1699"/>
      <c r="AG86" s="1701"/>
      <c r="AH86" s="1938"/>
    </row>
    <row r="87" spans="1:34">
      <c r="A87" s="592" t="s">
        <v>265</v>
      </c>
      <c r="B87" s="895" t="s">
        <v>115</v>
      </c>
      <c r="C87" s="19">
        <v>6817</v>
      </c>
      <c r="D87" s="20">
        <v>2512</v>
      </c>
      <c r="E87" s="19">
        <v>480</v>
      </c>
      <c r="F87" s="19">
        <v>7620</v>
      </c>
      <c r="G87" s="19">
        <v>1406</v>
      </c>
      <c r="H87" s="20">
        <v>1295</v>
      </c>
      <c r="I87" s="19">
        <v>1002</v>
      </c>
      <c r="J87" s="106">
        <v>50</v>
      </c>
      <c r="K87" s="30"/>
      <c r="L87" s="109">
        <v>839</v>
      </c>
      <c r="M87" s="19">
        <v>1869</v>
      </c>
      <c r="N87" s="20">
        <v>75</v>
      </c>
      <c r="O87" s="380">
        <v>481</v>
      </c>
      <c r="P87" s="379">
        <f>SUM(C87:O87)</f>
        <v>24446</v>
      </c>
      <c r="Q87" s="49"/>
      <c r="R87" s="109">
        <v>21</v>
      </c>
      <c r="S87" s="19">
        <v>309</v>
      </c>
      <c r="T87" s="106">
        <v>22760</v>
      </c>
      <c r="U87" s="50"/>
      <c r="V87" s="119">
        <v>1142</v>
      </c>
      <c r="W87" s="414">
        <f>SUM(R87:V87)</f>
        <v>24232</v>
      </c>
      <c r="X87" s="57"/>
      <c r="Y87" s="1027">
        <v>23206</v>
      </c>
      <c r="Z87" s="1009">
        <f>(P87-W87)*1000000/invanare</f>
        <v>21.14573940030288</v>
      </c>
      <c r="AA87" s="1009">
        <f>Y87*1000000/invanare</f>
        <v>2293.0281706702272</v>
      </c>
      <c r="AB87" s="1034">
        <v>2942</v>
      </c>
      <c r="AC87" s="2314">
        <f>IF(ISERROR((AA87-AB87)/AB87)," ",((AA87-AB87)/AB87))</f>
        <v>-0.22058865714812129</v>
      </c>
      <c r="AD87" s="2294" t="str">
        <f>IF(AA87="","Belopp saknas",IF(OR(AC87&gt;5%,AC87&lt;-10%),"Kommentera förändringen",""))</f>
        <v>Kommentera förändringen</v>
      </c>
      <c r="AE87" s="1006"/>
      <c r="AF87" s="1005">
        <v>213</v>
      </c>
      <c r="AG87" s="1689">
        <v>14388</v>
      </c>
      <c r="AH87" s="1937">
        <f>W87-V87-SUM(Motpart!Y36:Z36)</f>
        <v>22992</v>
      </c>
    </row>
    <row r="88" spans="1:34">
      <c r="A88" s="592" t="s">
        <v>266</v>
      </c>
      <c r="B88" s="892" t="s">
        <v>116</v>
      </c>
      <c r="C88" s="22">
        <v>5391</v>
      </c>
      <c r="D88" s="20">
        <v>2061</v>
      </c>
      <c r="E88" s="22">
        <v>314</v>
      </c>
      <c r="F88" s="22">
        <v>197</v>
      </c>
      <c r="G88" s="22">
        <v>428</v>
      </c>
      <c r="H88" s="23">
        <v>159</v>
      </c>
      <c r="I88" s="22">
        <v>211</v>
      </c>
      <c r="J88" s="107">
        <v>21</v>
      </c>
      <c r="K88" s="30"/>
      <c r="L88" s="110">
        <v>200</v>
      </c>
      <c r="M88" s="22">
        <v>527</v>
      </c>
      <c r="N88" s="23">
        <v>54</v>
      </c>
      <c r="O88" s="380">
        <v>262</v>
      </c>
      <c r="P88" s="379">
        <f>SUM(C88:O88)</f>
        <v>9825</v>
      </c>
      <c r="Q88" s="49"/>
      <c r="R88" s="110">
        <v>26</v>
      </c>
      <c r="S88" s="22">
        <v>9</v>
      </c>
      <c r="T88" s="107">
        <v>4089</v>
      </c>
      <c r="U88" s="50"/>
      <c r="V88" s="120">
        <v>783</v>
      </c>
      <c r="W88" s="414">
        <f>SUM(R88:V88)</f>
        <v>4907</v>
      </c>
      <c r="X88" s="57"/>
      <c r="Y88" s="2414">
        <v>9027</v>
      </c>
      <c r="Z88" s="1009">
        <f>(P88-W88)*1000000/invanare</f>
        <v>485.95675874154</v>
      </c>
      <c r="AA88" s="1009">
        <f>Y88*1000000/invanare</f>
        <v>891.97471760062649</v>
      </c>
      <c r="AB88" s="1034">
        <v>795</v>
      </c>
      <c r="AC88" s="2314">
        <f>IF(ISERROR((AA88-AB88)/AB88)," ",((AA88-AB88)/AB88))</f>
        <v>0.12198077685613395</v>
      </c>
      <c r="AD88" s="2310" t="str">
        <f>IF(AA88="","Belopp saknas",IF(OR(AC88&gt;15%,AC88&lt;-5%),"Kommentera förändringen",IF(OR(AA88&gt;2100,AA88&lt;20),"Kommentera riksavvikelsen","")))</f>
        <v/>
      </c>
      <c r="AE88" s="1006"/>
      <c r="AF88" s="1005">
        <v>4918</v>
      </c>
      <c r="AG88" s="1689">
        <v>8685</v>
      </c>
      <c r="AH88" s="1937">
        <f>W88-V88-SUM(Motpart!Y37:Z37)</f>
        <v>4110</v>
      </c>
    </row>
    <row r="89" spans="1:34" ht="12.75" customHeight="1" thickBot="1">
      <c r="A89" s="596" t="s">
        <v>267</v>
      </c>
      <c r="B89" s="899" t="s">
        <v>117</v>
      </c>
      <c r="C89" s="392">
        <f>SUM(C87:C88)</f>
        <v>12208</v>
      </c>
      <c r="D89" s="393">
        <f t="shared" ref="D89:P89" si="23">SUM(D87:D88)</f>
        <v>4573</v>
      </c>
      <c r="E89" s="392">
        <f t="shared" si="23"/>
        <v>794</v>
      </c>
      <c r="F89" s="392">
        <f t="shared" si="23"/>
        <v>7817</v>
      </c>
      <c r="G89" s="392">
        <f t="shared" si="23"/>
        <v>1834</v>
      </c>
      <c r="H89" s="393">
        <f t="shared" si="23"/>
        <v>1454</v>
      </c>
      <c r="I89" s="392">
        <f t="shared" si="23"/>
        <v>1213</v>
      </c>
      <c r="J89" s="394">
        <f t="shared" si="23"/>
        <v>71</v>
      </c>
      <c r="K89" s="152"/>
      <c r="L89" s="391">
        <f>SUM(L87:L88)</f>
        <v>1039</v>
      </c>
      <c r="M89" s="392">
        <f t="shared" si="23"/>
        <v>2396</v>
      </c>
      <c r="N89" s="393">
        <f t="shared" si="23"/>
        <v>129</v>
      </c>
      <c r="O89" s="393">
        <f t="shared" si="23"/>
        <v>743</v>
      </c>
      <c r="P89" s="394">
        <f t="shared" si="23"/>
        <v>34271</v>
      </c>
      <c r="Q89" s="52"/>
      <c r="R89" s="391">
        <f>SUM(R87:R88)</f>
        <v>47</v>
      </c>
      <c r="S89" s="392">
        <f>SUM(S87:S88)</f>
        <v>318</v>
      </c>
      <c r="T89" s="394">
        <f>SUM(T87:T88)</f>
        <v>26849</v>
      </c>
      <c r="U89" s="52"/>
      <c r="V89" s="418">
        <f>SUM(V87:V88)</f>
        <v>1925</v>
      </c>
      <c r="W89" s="417">
        <f>SUM(W87:W88)</f>
        <v>29139</v>
      </c>
      <c r="X89" s="58"/>
      <c r="Y89" s="2418">
        <v>32233</v>
      </c>
      <c r="Z89" s="1745">
        <f>(P89-W89)*1000000/invanare</f>
        <v>507.10249814184283</v>
      </c>
      <c r="AA89" s="1746">
        <f>Y89*1000000/invanare</f>
        <v>3185.0028882708534</v>
      </c>
      <c r="AB89" s="1028">
        <v>3737</v>
      </c>
      <c r="AC89" s="2315">
        <f>IF(ISERROR((AA89-AB89)/AB89)," ",((AA89-AB89)/AB89))</f>
        <v>-0.1477112956192525</v>
      </c>
      <c r="AD89" s="2310"/>
      <c r="AE89" s="1006"/>
      <c r="AF89" s="1587">
        <v>5131</v>
      </c>
      <c r="AG89" s="1693">
        <v>23074</v>
      </c>
      <c r="AH89" s="1942">
        <f>W89-V89-SUM(Motpart!Y36:Z37)</f>
        <v>27102</v>
      </c>
    </row>
    <row r="90" spans="1:34" ht="12.75" customHeight="1" thickBot="1">
      <c r="A90" s="596" t="s">
        <v>268</v>
      </c>
      <c r="B90" s="899" t="s">
        <v>23</v>
      </c>
      <c r="C90" s="386">
        <f t="shared" ref="C90:J90" si="24">SUM(C17,C30,C43,C68,C85,C89)</f>
        <v>244511</v>
      </c>
      <c r="D90" s="387">
        <f t="shared" si="24"/>
        <v>93319</v>
      </c>
      <c r="E90" s="386">
        <f t="shared" si="24"/>
        <v>23547</v>
      </c>
      <c r="F90" s="386">
        <f t="shared" si="24"/>
        <v>124219</v>
      </c>
      <c r="G90" s="386">
        <f t="shared" si="24"/>
        <v>37653</v>
      </c>
      <c r="H90" s="387">
        <f t="shared" si="24"/>
        <v>25938</v>
      </c>
      <c r="I90" s="386">
        <f t="shared" si="24"/>
        <v>19880</v>
      </c>
      <c r="J90" s="388">
        <f t="shared" si="24"/>
        <v>10253</v>
      </c>
      <c r="K90" s="151"/>
      <c r="L90" s="389">
        <f>SUM(L17,L30,L43,L68,L85,L89)</f>
        <v>35280</v>
      </c>
      <c r="M90" s="386">
        <f>SUM(M17,M30,M43,M68,M85,M89)</f>
        <v>78458</v>
      </c>
      <c r="N90" s="387">
        <f>SUM(N17,N30,N43,N68,N85,N89)</f>
        <v>2915</v>
      </c>
      <c r="O90" s="387">
        <f>SUM(O17,O30,O43,O68,O85,O89)</f>
        <v>15518.349540200317</v>
      </c>
      <c r="P90" s="388">
        <f>SUM(P17,P30,P43,P68,P85,P89)</f>
        <v>711477</v>
      </c>
      <c r="Q90" s="49"/>
      <c r="R90" s="389">
        <f>SUM(R17,R30,R43,R68,R85,R89)</f>
        <v>21472</v>
      </c>
      <c r="S90" s="386">
        <f>SUM(S17,S30,S43,S68,S85,S89)</f>
        <v>7771</v>
      </c>
      <c r="T90" s="388">
        <f>SUM(T17,T30,T43,T68,T85,T89)</f>
        <v>91941</v>
      </c>
      <c r="U90" s="49"/>
      <c r="V90" s="416">
        <f>SUM(V17,V30,V43,V68,V85,V89)</f>
        <v>62379</v>
      </c>
      <c r="W90" s="415">
        <f>SUM(W17,W30,W43,W68,W85,W89)</f>
        <v>183563</v>
      </c>
      <c r="X90" s="57"/>
      <c r="Y90" s="1702">
        <v>637409</v>
      </c>
      <c r="Z90" s="2417">
        <f>(P90-W90)*1000000/invanare</f>
        <v>52164.167615754646</v>
      </c>
      <c r="AA90" s="2416">
        <f>SUM(AA17,AA30,AA37,AA42,AA51,AA67,AA77,AA83,AA89)</f>
        <v>62790.198100005902</v>
      </c>
      <c r="AB90" s="2416">
        <v>61372</v>
      </c>
      <c r="AC90" s="2415">
        <f>IF(ISERROR((AA90-AB90)/AB90)," ",((AA90-AB90)/AB90))</f>
        <v>2.3108226878803075E-2</v>
      </c>
      <c r="AD90" s="2310" t="str">
        <f>IF(AA90="","Belopp saknas",IF(OR(AC90&gt;40%,AC90&lt;-30%),"Kommentera förändringen",""))</f>
        <v/>
      </c>
      <c r="AE90" s="1697">
        <f>IF(ISERROR(F90/(AA90/1000*invanare)),"",(F90/(AA90/100000*invanare)))</f>
        <v>1.9548132667770345E-2</v>
      </c>
      <c r="AF90" s="1702">
        <v>527920</v>
      </c>
      <c r="AG90" s="1703">
        <v>498943</v>
      </c>
      <c r="AH90" s="1943">
        <f>SUM(AH17,AH30,AH43,AH51,AH67,AH85,AH89)</f>
        <v>109492</v>
      </c>
    </row>
    <row r="91" spans="1:34" ht="38.25" customHeight="1">
      <c r="A91" s="897"/>
      <c r="B91" s="900" t="s">
        <v>118</v>
      </c>
      <c r="C91" s="460"/>
      <c r="D91" s="461"/>
      <c r="E91" s="462"/>
      <c r="F91" s="462"/>
      <c r="G91" s="462"/>
      <c r="H91" s="461"/>
      <c r="I91" s="462"/>
      <c r="J91" s="463"/>
      <c r="K91" s="30"/>
      <c r="L91" s="468"/>
      <c r="M91" s="462"/>
      <c r="N91" s="461"/>
      <c r="O91" s="461"/>
      <c r="P91" s="463"/>
      <c r="Q91" s="50"/>
      <c r="R91" s="468"/>
      <c r="S91" s="462"/>
      <c r="T91" s="463"/>
      <c r="U91" s="50"/>
      <c r="V91" s="470"/>
      <c r="W91" s="471"/>
      <c r="X91" s="30"/>
      <c r="Y91" s="2324"/>
      <c r="Z91" s="2400"/>
      <c r="AA91" s="2403"/>
      <c r="AB91" s="2405"/>
      <c r="AC91" s="2399"/>
      <c r="AD91" s="2309"/>
      <c r="AE91" s="1006">
        <f>IF(ISERROR(F90/(AA90/1000*invanare)),"",((SUM(Motpart!D40,Motpart!F40)-SUM(Motpart!D38,Motpart!D39,Motpart!F38,Motpart!F39))/(AA90/100000*invanare)))</f>
        <v>1.5570806292214048E-2</v>
      </c>
      <c r="AF91" s="1585"/>
      <c r="AG91" s="1691"/>
      <c r="AH91" s="1940"/>
    </row>
    <row r="92" spans="1:34">
      <c r="A92" s="897"/>
      <c r="B92" s="900" t="s">
        <v>119</v>
      </c>
      <c r="C92" s="464"/>
      <c r="D92" s="465"/>
      <c r="E92" s="466"/>
      <c r="F92" s="466"/>
      <c r="G92" s="466"/>
      <c r="H92" s="465"/>
      <c r="I92" s="466"/>
      <c r="J92" s="467"/>
      <c r="K92" s="30"/>
      <c r="L92" s="469"/>
      <c r="M92" s="466"/>
      <c r="N92" s="465"/>
      <c r="O92" s="465"/>
      <c r="P92" s="467"/>
      <c r="Q92" s="50"/>
      <c r="R92" s="469"/>
      <c r="S92" s="466"/>
      <c r="T92" s="467"/>
      <c r="U92" s="50"/>
      <c r="V92" s="472"/>
      <c r="W92" s="473"/>
      <c r="X92" s="30"/>
      <c r="Y92" s="1027"/>
      <c r="Z92" s="2334"/>
      <c r="AA92" s="2328"/>
      <c r="AB92" s="999"/>
      <c r="AC92" s="2311"/>
      <c r="AD92" s="2153"/>
      <c r="AE92" s="1022">
        <f>(C113-C109+D113-D109)*1000/invanare</f>
        <v>36.082042306893449</v>
      </c>
      <c r="AF92" s="1027"/>
      <c r="AG92" s="1690"/>
      <c r="AH92" s="1941"/>
    </row>
    <row r="93" spans="1:34" s="539" customFormat="1">
      <c r="A93" s="912" t="s">
        <v>269</v>
      </c>
      <c r="B93" s="913" t="s">
        <v>120</v>
      </c>
      <c r="C93" s="66">
        <v>172</v>
      </c>
      <c r="D93" s="1452">
        <v>69</v>
      </c>
      <c r="E93" s="66">
        <v>476</v>
      </c>
      <c r="F93" s="66">
        <v>23</v>
      </c>
      <c r="G93" s="66">
        <v>386</v>
      </c>
      <c r="H93" s="1452">
        <v>11</v>
      </c>
      <c r="I93" s="66">
        <v>270</v>
      </c>
      <c r="J93" s="105">
        <v>641</v>
      </c>
      <c r="K93" s="535"/>
      <c r="L93" s="446">
        <v>85</v>
      </c>
      <c r="M93" s="66">
        <v>206</v>
      </c>
      <c r="N93" s="1452">
        <v>3</v>
      </c>
      <c r="O93" s="1453">
        <v>76</v>
      </c>
      <c r="P93" s="443">
        <f>SUM(C93:O93)</f>
        <v>2418</v>
      </c>
      <c r="Q93" s="536"/>
      <c r="R93" s="446">
        <v>65</v>
      </c>
      <c r="S93" s="66">
        <v>1199</v>
      </c>
      <c r="T93" s="105">
        <v>1605</v>
      </c>
      <c r="U93" s="537"/>
      <c r="V93" s="1454">
        <v>550</v>
      </c>
      <c r="W93" s="1455">
        <f>SUM(R93:V93)</f>
        <v>3419</v>
      </c>
      <c r="X93" s="538"/>
      <c r="Y93" s="2357">
        <v>1866</v>
      </c>
      <c r="Z93" s="2410"/>
      <c r="AA93" s="2411"/>
      <c r="AB93" s="2411"/>
      <c r="AC93" s="2412"/>
      <c r="AD93" s="2300"/>
      <c r="AE93" s="1038">
        <f>IF(ISERROR(F90/(AA90/1000*invanare)),"",AE92*invanare/10/(P125-P109+J109))</f>
        <v>56.011737402463133</v>
      </c>
      <c r="AF93" s="1005">
        <v>-1001</v>
      </c>
      <c r="AG93" s="1689">
        <v>1833</v>
      </c>
      <c r="AH93" s="1937">
        <f>W93-V93-(IF(AND(Motpart!$Y$38="",Motpart!$Z$38=""),0,IF(AND(Motpart!$Y$38=0,Motpart!$Z$38=0),0,((T93/$T$109)*(Motpart!$Y$38+Motpart!$Z$38)))))</f>
        <v>2824.9453697534977</v>
      </c>
    </row>
    <row r="94" spans="1:34">
      <c r="A94" s="592" t="s">
        <v>270</v>
      </c>
      <c r="B94" s="892" t="s">
        <v>24</v>
      </c>
      <c r="C94" s="22">
        <v>37</v>
      </c>
      <c r="D94" s="20">
        <v>14</v>
      </c>
      <c r="E94" s="22">
        <v>79</v>
      </c>
      <c r="F94" s="22">
        <v>40</v>
      </c>
      <c r="G94" s="22">
        <v>44</v>
      </c>
      <c r="H94" s="23">
        <v>1</v>
      </c>
      <c r="I94" s="22">
        <v>1</v>
      </c>
      <c r="J94" s="107">
        <v>281</v>
      </c>
      <c r="K94" s="30"/>
      <c r="L94" s="110">
        <v>6</v>
      </c>
      <c r="M94" s="22">
        <v>54</v>
      </c>
      <c r="N94" s="23">
        <v>1</v>
      </c>
      <c r="O94" s="380">
        <v>15</v>
      </c>
      <c r="P94" s="379">
        <f>SUM(C94:O94)</f>
        <v>573</v>
      </c>
      <c r="Q94" s="49"/>
      <c r="R94" s="110">
        <v>129</v>
      </c>
      <c r="S94" s="22">
        <v>21</v>
      </c>
      <c r="T94" s="107">
        <v>384</v>
      </c>
      <c r="U94" s="50"/>
      <c r="V94" s="120">
        <v>32</v>
      </c>
      <c r="W94" s="414">
        <f>SUM(R94:V94)</f>
        <v>566</v>
      </c>
      <c r="X94" s="57"/>
      <c r="Y94" s="2357">
        <v>524</v>
      </c>
      <c r="Z94" s="2334"/>
      <c r="AA94" s="2328"/>
      <c r="AB94" s="2329"/>
      <c r="AC94" s="2311"/>
      <c r="AD94" s="2153"/>
      <c r="AE94" s="1006"/>
      <c r="AF94" s="1005">
        <v>7</v>
      </c>
      <c r="AG94" s="1689">
        <v>500</v>
      </c>
      <c r="AH94" s="1937">
        <f>W94-V94-(IF(AND(Motpart!$Y$38="",Motpart!$Z$38=""),0,IF(AND(Motpart!$Y$38=0,Motpart!$Z$38=0),0,((T94/$T$109)*(Motpart!$Y$38+Motpart!$Z$38)))))</f>
        <v>523.45982678214523</v>
      </c>
    </row>
    <row r="95" spans="1:34">
      <c r="A95" s="592" t="s">
        <v>271</v>
      </c>
      <c r="B95" s="892" t="s">
        <v>25</v>
      </c>
      <c r="C95" s="22">
        <v>210</v>
      </c>
      <c r="D95" s="20">
        <v>79</v>
      </c>
      <c r="E95" s="22">
        <v>210</v>
      </c>
      <c r="F95" s="22">
        <v>86</v>
      </c>
      <c r="G95" s="22">
        <v>283</v>
      </c>
      <c r="H95" s="23">
        <v>21</v>
      </c>
      <c r="I95" s="22">
        <v>47</v>
      </c>
      <c r="J95" s="107">
        <v>190</v>
      </c>
      <c r="K95" s="30"/>
      <c r="L95" s="110">
        <v>27</v>
      </c>
      <c r="M95" s="22">
        <v>241</v>
      </c>
      <c r="N95" s="23">
        <v>5</v>
      </c>
      <c r="O95" s="380">
        <v>22</v>
      </c>
      <c r="P95" s="379">
        <f>SUM(C95:O95)</f>
        <v>1421</v>
      </c>
      <c r="Q95" s="49"/>
      <c r="R95" s="110">
        <v>157</v>
      </c>
      <c r="S95" s="22">
        <v>127</v>
      </c>
      <c r="T95" s="107">
        <v>1040</v>
      </c>
      <c r="U95" s="50"/>
      <c r="V95" s="120">
        <v>509</v>
      </c>
      <c r="W95" s="414">
        <f>SUM(R95:V95)</f>
        <v>1833</v>
      </c>
      <c r="X95" s="57"/>
      <c r="Y95" s="2357">
        <v>860</v>
      </c>
      <c r="Z95" s="2334"/>
      <c r="AA95" s="2328"/>
      <c r="AB95" s="2329"/>
      <c r="AC95" s="2311"/>
      <c r="AD95" s="2153"/>
      <c r="AE95" s="1006"/>
      <c r="AF95" s="1005">
        <v>-414</v>
      </c>
      <c r="AG95" s="1689">
        <v>805</v>
      </c>
      <c r="AH95" s="1937">
        <f>W95-V95-(IF(AND(Motpart!$Y$38="",Motpart!$Z$38=""),0,IF(AND(Motpart!$Y$38=0,Motpart!$Z$38=0),0,((T95/$T$109)*(Motpart!$Y$38+Motpart!$Z$38)))))</f>
        <v>1295.4536975349768</v>
      </c>
    </row>
    <row r="96" spans="1:34">
      <c r="A96" s="592" t="s">
        <v>272</v>
      </c>
      <c r="B96" s="892" t="s">
        <v>26</v>
      </c>
      <c r="C96" s="22">
        <v>164</v>
      </c>
      <c r="D96" s="20">
        <v>63</v>
      </c>
      <c r="E96" s="22">
        <v>183</v>
      </c>
      <c r="F96" s="22">
        <v>6</v>
      </c>
      <c r="G96" s="22">
        <v>217</v>
      </c>
      <c r="H96" s="23">
        <v>15</v>
      </c>
      <c r="I96" s="22">
        <v>485</v>
      </c>
      <c r="J96" s="107">
        <v>1321</v>
      </c>
      <c r="K96" s="30"/>
      <c r="L96" s="110">
        <v>70</v>
      </c>
      <c r="M96" s="22">
        <v>150</v>
      </c>
      <c r="N96" s="23">
        <v>-1</v>
      </c>
      <c r="O96" s="380">
        <v>108</v>
      </c>
      <c r="P96" s="379">
        <f>SUM(C96:O96)</f>
        <v>2781</v>
      </c>
      <c r="Q96" s="49"/>
      <c r="R96" s="110">
        <v>14</v>
      </c>
      <c r="S96" s="22">
        <v>705</v>
      </c>
      <c r="T96" s="107">
        <v>1935</v>
      </c>
      <c r="U96" s="50"/>
      <c r="V96" s="120">
        <v>243</v>
      </c>
      <c r="W96" s="414">
        <f>SUM(R96:V96)</f>
        <v>2897</v>
      </c>
      <c r="X96" s="57"/>
      <c r="Y96" s="2357">
        <v>2514</v>
      </c>
      <c r="Z96" s="2334"/>
      <c r="AA96" s="2328"/>
      <c r="AB96" s="2329"/>
      <c r="AC96" s="2311"/>
      <c r="AD96" s="2153"/>
      <c r="AE96" s="1006"/>
      <c r="AF96" s="1005">
        <v>-116</v>
      </c>
      <c r="AG96" s="1689">
        <v>2518</v>
      </c>
      <c r="AH96" s="1937">
        <f>W96-V96-(IF(AND(Motpart!$Y$38="",Motpart!$Z$38=""),0,IF(AND(Motpart!$Y$38=0,Motpart!$Z$38=0),0,((T96/$T$109)*(Motpart!$Y$38+Motpart!$Z$38)))))</f>
        <v>2600.8874083944038</v>
      </c>
    </row>
    <row r="97" spans="1:34">
      <c r="A97" s="592" t="s">
        <v>273</v>
      </c>
      <c r="B97" s="892" t="s">
        <v>27</v>
      </c>
      <c r="C97" s="374">
        <f>SUM(C93:C96)</f>
        <v>583</v>
      </c>
      <c r="D97" s="25">
        <f t="shared" ref="D97:P97" si="25">SUM(D93:D96)</f>
        <v>225</v>
      </c>
      <c r="E97" s="374">
        <f t="shared" si="25"/>
        <v>948</v>
      </c>
      <c r="F97" s="374">
        <f t="shared" si="25"/>
        <v>155</v>
      </c>
      <c r="G97" s="374">
        <f t="shared" si="25"/>
        <v>930</v>
      </c>
      <c r="H97" s="25">
        <f t="shared" si="25"/>
        <v>48</v>
      </c>
      <c r="I97" s="374">
        <f t="shared" si="25"/>
        <v>803</v>
      </c>
      <c r="J97" s="111">
        <f t="shared" si="25"/>
        <v>2433</v>
      </c>
      <c r="K97" s="151"/>
      <c r="L97" s="381">
        <f>SUM(L93:L96)</f>
        <v>188</v>
      </c>
      <c r="M97" s="374">
        <f t="shared" si="25"/>
        <v>651</v>
      </c>
      <c r="N97" s="25">
        <f t="shared" si="25"/>
        <v>8</v>
      </c>
      <c r="O97" s="25">
        <f t="shared" si="25"/>
        <v>221</v>
      </c>
      <c r="P97" s="111">
        <f t="shared" si="25"/>
        <v>7193</v>
      </c>
      <c r="Q97" s="49"/>
      <c r="R97" s="381">
        <f>SUM(R93:R96)</f>
        <v>365</v>
      </c>
      <c r="S97" s="374">
        <f>SUM(S93:S96)</f>
        <v>2052</v>
      </c>
      <c r="T97" s="111">
        <f>SUM(T93:T96)</f>
        <v>4964</v>
      </c>
      <c r="U97" s="50"/>
      <c r="V97" s="123">
        <f>SUM(V93:V96)</f>
        <v>1334</v>
      </c>
      <c r="W97" s="124">
        <f>SUM(W93:W96)</f>
        <v>8715</v>
      </c>
      <c r="X97" s="57"/>
      <c r="Y97" s="2357">
        <v>5765</v>
      </c>
      <c r="Z97" s="2334"/>
      <c r="AA97" s="2328"/>
      <c r="AB97" s="2329"/>
      <c r="AC97" s="2311"/>
      <c r="AD97" s="2153"/>
      <c r="AE97" s="1006"/>
      <c r="AF97" s="1005">
        <v>-1523</v>
      </c>
      <c r="AG97" s="1689">
        <v>5656</v>
      </c>
      <c r="AH97" s="1937">
        <f>SUM(AH93:AH96)</f>
        <v>7244.7463024650233</v>
      </c>
    </row>
    <row r="98" spans="1:34">
      <c r="A98" s="908"/>
      <c r="B98" s="905" t="s">
        <v>121</v>
      </c>
      <c r="C98" s="480"/>
      <c r="D98" s="479"/>
      <c r="E98" s="477"/>
      <c r="F98" s="477"/>
      <c r="G98" s="477"/>
      <c r="H98" s="479"/>
      <c r="I98" s="477"/>
      <c r="J98" s="478"/>
      <c r="K98" s="30"/>
      <c r="L98" s="476"/>
      <c r="M98" s="477"/>
      <c r="N98" s="479"/>
      <c r="O98" s="479"/>
      <c r="P98" s="478"/>
      <c r="Q98" s="50"/>
      <c r="R98" s="476"/>
      <c r="S98" s="477"/>
      <c r="T98" s="478"/>
      <c r="U98" s="50"/>
      <c r="V98" s="474"/>
      <c r="W98" s="475"/>
      <c r="X98" s="30"/>
      <c r="Y98" s="2357"/>
      <c r="Z98" s="2334"/>
      <c r="AA98" s="2328"/>
      <c r="AB98" s="2329"/>
      <c r="AC98" s="2311"/>
      <c r="AD98" s="2153"/>
      <c r="AE98" s="1006"/>
      <c r="AF98" s="1005"/>
      <c r="AG98" s="1689"/>
      <c r="AH98" s="1937"/>
    </row>
    <row r="99" spans="1:34">
      <c r="A99" s="592" t="s">
        <v>274</v>
      </c>
      <c r="B99" s="895" t="s">
        <v>122</v>
      </c>
      <c r="C99" s="19">
        <v>29</v>
      </c>
      <c r="D99" s="20">
        <v>11</v>
      </c>
      <c r="E99" s="19">
        <v>12</v>
      </c>
      <c r="F99" s="19">
        <v>9</v>
      </c>
      <c r="G99" s="19">
        <v>82</v>
      </c>
      <c r="H99" s="20">
        <v>99</v>
      </c>
      <c r="I99" s="19">
        <v>2</v>
      </c>
      <c r="J99" s="106">
        <v>29</v>
      </c>
      <c r="K99" s="30"/>
      <c r="L99" s="109">
        <v>0</v>
      </c>
      <c r="M99" s="19">
        <v>2</v>
      </c>
      <c r="N99" s="20">
        <v>0</v>
      </c>
      <c r="O99" s="380">
        <v>6</v>
      </c>
      <c r="P99" s="379">
        <f>SUM(C99:O99)</f>
        <v>281</v>
      </c>
      <c r="Q99" s="49"/>
      <c r="R99" s="109">
        <v>17</v>
      </c>
      <c r="S99" s="19">
        <v>5</v>
      </c>
      <c r="T99" s="106">
        <v>122</v>
      </c>
      <c r="U99" s="50"/>
      <c r="V99" s="119">
        <v>3</v>
      </c>
      <c r="W99" s="414">
        <f>SUM(R99:V99)</f>
        <v>147</v>
      </c>
      <c r="X99" s="57"/>
      <c r="Y99" s="2357">
        <v>278</v>
      </c>
      <c r="Z99" s="2334"/>
      <c r="AA99" s="2328"/>
      <c r="AB99" s="2329"/>
      <c r="AC99" s="2311"/>
      <c r="AD99" s="2153"/>
      <c r="AE99" s="1006"/>
      <c r="AF99" s="1005">
        <v>136</v>
      </c>
      <c r="AG99" s="1689">
        <v>171</v>
      </c>
      <c r="AH99" s="1937">
        <f>W99-V99-(IF(AND(Motpart!$Y$38="",Motpart!$Z$38=""),0,IF(AND(Motpart!$Y$38=0,Motpart!$Z$38=0),0,((T99/$T$109)*(Motpart!$Y$38+Motpart!$Z$38)))))</f>
        <v>140.65129913391073</v>
      </c>
    </row>
    <row r="100" spans="1:34">
      <c r="A100" s="592" t="s">
        <v>275</v>
      </c>
      <c r="B100" s="903" t="s">
        <v>931</v>
      </c>
      <c r="C100" s="22">
        <v>127</v>
      </c>
      <c r="D100" s="20">
        <v>49</v>
      </c>
      <c r="E100" s="22">
        <v>28</v>
      </c>
      <c r="F100" s="22">
        <v>2059</v>
      </c>
      <c r="G100" s="22">
        <v>413</v>
      </c>
      <c r="H100" s="23">
        <v>1299</v>
      </c>
      <c r="I100" s="22">
        <v>29</v>
      </c>
      <c r="J100" s="107">
        <v>70</v>
      </c>
      <c r="K100" s="30"/>
      <c r="L100" s="110">
        <v>25</v>
      </c>
      <c r="M100" s="22">
        <v>60</v>
      </c>
      <c r="N100" s="23">
        <v>4</v>
      </c>
      <c r="O100" s="380">
        <v>19</v>
      </c>
      <c r="P100" s="379">
        <f>SUM(C100:O100)</f>
        <v>4182</v>
      </c>
      <c r="Q100" s="49"/>
      <c r="R100" s="2001">
        <v>124</v>
      </c>
      <c r="S100" s="22">
        <v>16</v>
      </c>
      <c r="T100" s="107">
        <v>981</v>
      </c>
      <c r="U100" s="50"/>
      <c r="V100" s="120">
        <v>81</v>
      </c>
      <c r="W100" s="414">
        <f>SUM(R100:V100)</f>
        <v>1202</v>
      </c>
      <c r="X100" s="57"/>
      <c r="Y100" s="2357">
        <v>4100</v>
      </c>
      <c r="Z100" s="2408"/>
      <c r="AA100" s="2328"/>
      <c r="AB100" s="2329"/>
      <c r="AC100" s="2311"/>
      <c r="AD100" s="2298" t="str">
        <f>IF(AND(C100&gt;5000,R100&lt;50),"Kontrollera Taxor o avgifter","")</f>
        <v/>
      </c>
      <c r="AE100" s="1022"/>
      <c r="AF100" s="1005">
        <v>2980</v>
      </c>
      <c r="AG100" s="1689">
        <v>743</v>
      </c>
      <c r="AH100" s="1937">
        <f>W100-V100-(IF(AND(Motpart!$Y$38="",Motpart!$Z$38=""),0,IF(AND(Motpart!$Y$38=0,Motpart!$Z$38=0),0,((T100/$T$109)*(Motpart!$Y$38+Motpart!$Z$38)))))</f>
        <v>1094.0731512325117</v>
      </c>
    </row>
    <row r="101" spans="1:34">
      <c r="A101" s="592" t="s">
        <v>276</v>
      </c>
      <c r="B101" s="892" t="s">
        <v>28</v>
      </c>
      <c r="C101" s="22">
        <v>15</v>
      </c>
      <c r="D101" s="20">
        <v>5</v>
      </c>
      <c r="E101" s="22">
        <v>5</v>
      </c>
      <c r="F101" s="22">
        <v>75</v>
      </c>
      <c r="G101" s="22">
        <v>6</v>
      </c>
      <c r="H101" s="23">
        <v>0</v>
      </c>
      <c r="I101" s="22">
        <v>0</v>
      </c>
      <c r="J101" s="107">
        <v>3</v>
      </c>
      <c r="K101" s="30"/>
      <c r="L101" s="110">
        <v>0</v>
      </c>
      <c r="M101" s="22">
        <v>3</v>
      </c>
      <c r="N101" s="23">
        <v>0</v>
      </c>
      <c r="O101" s="380">
        <v>1</v>
      </c>
      <c r="P101" s="379">
        <f>SUM(C101:O101)</f>
        <v>113</v>
      </c>
      <c r="Q101" s="49"/>
      <c r="R101" s="110">
        <v>27</v>
      </c>
      <c r="S101" s="22">
        <v>0</v>
      </c>
      <c r="T101" s="107">
        <v>78</v>
      </c>
      <c r="U101" s="50"/>
      <c r="V101" s="120">
        <v>5</v>
      </c>
      <c r="W101" s="414">
        <f>SUM(R101:V101)</f>
        <v>110</v>
      </c>
      <c r="X101" s="57"/>
      <c r="Y101" s="2357">
        <v>109</v>
      </c>
      <c r="Z101" s="2334"/>
      <c r="AA101" s="2328"/>
      <c r="AB101" s="2329"/>
      <c r="AC101" s="2311"/>
      <c r="AD101" s="2153"/>
      <c r="AE101" s="1006"/>
      <c r="AF101" s="1005">
        <v>4</v>
      </c>
      <c r="AG101" s="1689">
        <v>34</v>
      </c>
      <c r="AH101" s="1937">
        <f>W101-V101-(IF(AND(Motpart!$Y$38="",Motpart!$Z$38=""),0,IF(AND(Motpart!$Y$38=0,Motpart!$Z$38=0),0,((T101/$T$109)*(Motpart!$Y$38+Motpart!$Z$38)))))</f>
        <v>102.85902731512326</v>
      </c>
    </row>
    <row r="102" spans="1:34">
      <c r="A102" s="592" t="s">
        <v>277</v>
      </c>
      <c r="B102" s="892" t="s">
        <v>29</v>
      </c>
      <c r="C102" s="374">
        <f>SUM(C99:C101)</f>
        <v>171</v>
      </c>
      <c r="D102" s="25">
        <f t="shared" ref="D102:P102" si="26">SUM(D99:D101)</f>
        <v>65</v>
      </c>
      <c r="E102" s="374">
        <f t="shared" si="26"/>
        <v>45</v>
      </c>
      <c r="F102" s="374">
        <f t="shared" si="26"/>
        <v>2143</v>
      </c>
      <c r="G102" s="374">
        <f t="shared" si="26"/>
        <v>501</v>
      </c>
      <c r="H102" s="25">
        <f t="shared" si="26"/>
        <v>1398</v>
      </c>
      <c r="I102" s="374">
        <f t="shared" si="26"/>
        <v>31</v>
      </c>
      <c r="J102" s="111">
        <f t="shared" si="26"/>
        <v>102</v>
      </c>
      <c r="K102" s="151"/>
      <c r="L102" s="381">
        <f>SUM(L99:L101)</f>
        <v>25</v>
      </c>
      <c r="M102" s="374">
        <f t="shared" si="26"/>
        <v>65</v>
      </c>
      <c r="N102" s="25">
        <f t="shared" si="26"/>
        <v>4</v>
      </c>
      <c r="O102" s="25">
        <f t="shared" si="26"/>
        <v>26</v>
      </c>
      <c r="P102" s="111">
        <f t="shared" si="26"/>
        <v>4576</v>
      </c>
      <c r="Q102" s="49"/>
      <c r="R102" s="381">
        <f>SUM(R99:R101)</f>
        <v>168</v>
      </c>
      <c r="S102" s="374">
        <f>SUM(S99:S101)</f>
        <v>21</v>
      </c>
      <c r="T102" s="111">
        <f>SUM(T99:T101)</f>
        <v>1181</v>
      </c>
      <c r="U102" s="49"/>
      <c r="V102" s="123">
        <f>SUM(V99:V101)</f>
        <v>89</v>
      </c>
      <c r="W102" s="124">
        <f>SUM(W99:W101)</f>
        <v>1459</v>
      </c>
      <c r="X102" s="57"/>
      <c r="Y102" s="2357">
        <v>4486</v>
      </c>
      <c r="Z102" s="2334"/>
      <c r="AA102" s="2328"/>
      <c r="AB102" s="2329"/>
      <c r="AC102" s="2311"/>
      <c r="AD102" s="2153"/>
      <c r="AE102" s="1006"/>
      <c r="AF102" s="1005">
        <v>3120</v>
      </c>
      <c r="AG102" s="1689">
        <v>948</v>
      </c>
      <c r="AH102" s="1937">
        <f>SUM(AH99:AH101)</f>
        <v>1337.5834776815457</v>
      </c>
    </row>
    <row r="103" spans="1:34">
      <c r="A103" s="908"/>
      <c r="B103" s="905" t="s">
        <v>123</v>
      </c>
      <c r="C103" s="480"/>
      <c r="D103" s="479"/>
      <c r="E103" s="477"/>
      <c r="F103" s="477"/>
      <c r="G103" s="477"/>
      <c r="H103" s="479"/>
      <c r="I103" s="477"/>
      <c r="J103" s="478"/>
      <c r="K103" s="30"/>
      <c r="L103" s="476"/>
      <c r="M103" s="477"/>
      <c r="N103" s="479"/>
      <c r="O103" s="479"/>
      <c r="P103" s="478"/>
      <c r="Q103" s="50"/>
      <c r="R103" s="476"/>
      <c r="S103" s="477"/>
      <c r="T103" s="478"/>
      <c r="U103" s="50"/>
      <c r="V103" s="474"/>
      <c r="W103" s="475"/>
      <c r="X103" s="30"/>
      <c r="Y103" s="2357"/>
      <c r="Z103" s="2327"/>
      <c r="AA103" s="2363"/>
      <c r="AB103" s="2409"/>
      <c r="AC103" s="2413"/>
      <c r="AD103" s="2153"/>
      <c r="AE103" s="1006"/>
      <c r="AF103" s="1005"/>
      <c r="AG103" s="1689"/>
      <c r="AH103" s="1937"/>
    </row>
    <row r="104" spans="1:34">
      <c r="A104" s="592" t="s">
        <v>278</v>
      </c>
      <c r="B104" s="895" t="s">
        <v>124</v>
      </c>
      <c r="C104" s="19">
        <v>27</v>
      </c>
      <c r="D104" s="20">
        <v>10</v>
      </c>
      <c r="E104" s="19">
        <v>300</v>
      </c>
      <c r="F104" s="19">
        <v>15</v>
      </c>
      <c r="G104" s="19">
        <v>167</v>
      </c>
      <c r="H104" s="20">
        <v>0</v>
      </c>
      <c r="I104" s="19">
        <v>1</v>
      </c>
      <c r="J104" s="106">
        <v>158</v>
      </c>
      <c r="K104" s="30"/>
      <c r="L104" s="109">
        <v>1</v>
      </c>
      <c r="M104" s="19">
        <v>41</v>
      </c>
      <c r="N104" s="20">
        <v>1</v>
      </c>
      <c r="O104" s="380">
        <v>13</v>
      </c>
      <c r="P104" s="379">
        <f>SUM(C104:O104)</f>
        <v>734</v>
      </c>
      <c r="Q104" s="49"/>
      <c r="R104" s="2003">
        <v>203</v>
      </c>
      <c r="S104" s="19">
        <v>0</v>
      </c>
      <c r="T104" s="106">
        <v>551</v>
      </c>
      <c r="U104" s="50"/>
      <c r="V104" s="119">
        <v>65</v>
      </c>
      <c r="W104" s="414">
        <f>SUM(R104:V104)</f>
        <v>819</v>
      </c>
      <c r="X104" s="57"/>
      <c r="Y104" s="2357">
        <v>668</v>
      </c>
      <c r="Z104" s="2335"/>
      <c r="AA104" s="2339"/>
      <c r="AB104" s="2339"/>
      <c r="AC104" s="2365"/>
      <c r="AD104" s="2309" t="str">
        <f>IF(AND(C104&gt;5000,R104&lt;50),"Kontrollera Taxor o avgifter","")</f>
        <v/>
      </c>
      <c r="AE104" s="1006"/>
      <c r="AF104" s="1005">
        <v>-86</v>
      </c>
      <c r="AG104" s="1689">
        <v>652</v>
      </c>
      <c r="AH104" s="1937">
        <f>W104-V104-(IF(AND(Motpart!$Y$38="",Motpart!$Z$38=""),0,IF(AND(Motpart!$Y$38=0,Motpart!$Z$38=0),0,((T104/$T$109)*(Motpart!$Y$38+Motpart!$Z$38)))))</f>
        <v>738.87594936708865</v>
      </c>
    </row>
    <row r="105" spans="1:34">
      <c r="A105" s="592" t="s">
        <v>279</v>
      </c>
      <c r="B105" s="892" t="s">
        <v>30</v>
      </c>
      <c r="C105" s="22">
        <v>11</v>
      </c>
      <c r="D105" s="20">
        <v>4</v>
      </c>
      <c r="E105" s="22">
        <v>96</v>
      </c>
      <c r="F105" s="22">
        <v>5</v>
      </c>
      <c r="G105" s="22">
        <v>15</v>
      </c>
      <c r="H105" s="23">
        <v>4</v>
      </c>
      <c r="I105" s="22">
        <v>0</v>
      </c>
      <c r="J105" s="107">
        <v>35</v>
      </c>
      <c r="K105" s="30"/>
      <c r="L105" s="110">
        <v>1</v>
      </c>
      <c r="M105" s="22">
        <v>24</v>
      </c>
      <c r="N105" s="23">
        <v>0</v>
      </c>
      <c r="O105" s="380">
        <v>7</v>
      </c>
      <c r="P105" s="379">
        <f>SUM(C105:O105)</f>
        <v>202</v>
      </c>
      <c r="Q105" s="49"/>
      <c r="R105" s="2001">
        <v>125</v>
      </c>
      <c r="S105" s="22">
        <v>0</v>
      </c>
      <c r="T105" s="107">
        <v>15</v>
      </c>
      <c r="U105" s="50"/>
      <c r="V105" s="120">
        <v>48</v>
      </c>
      <c r="W105" s="414">
        <f>SUM(R105:V105)</f>
        <v>188</v>
      </c>
      <c r="X105" s="57"/>
      <c r="Y105" s="2357">
        <v>152</v>
      </c>
      <c r="Z105" s="2336"/>
      <c r="AA105" s="2339"/>
      <c r="AB105" s="2339"/>
      <c r="AC105" s="2365"/>
      <c r="AD105" s="2309" t="str">
        <f>IF(AND(C105&gt;5000,R105&lt;50),"Kontrollera Taxor o avgifter","")</f>
        <v/>
      </c>
      <c r="AE105" s="1006"/>
      <c r="AF105" s="1005">
        <v>14</v>
      </c>
      <c r="AG105" s="1689">
        <v>145</v>
      </c>
      <c r="AH105" s="1937">
        <f>W105-V105-(IF(AND(Motpart!$Y$38="",Motpart!$Z$38=""),0,IF(AND(Motpart!$Y$38=0,Motpart!$Z$38=0),0,((T105/$T$109)*(Motpart!$Y$38+Motpart!$Z$38)))))</f>
        <v>139.58827448367754</v>
      </c>
    </row>
    <row r="106" spans="1:34">
      <c r="A106" s="592" t="s">
        <v>280</v>
      </c>
      <c r="B106" s="892" t="s">
        <v>31</v>
      </c>
      <c r="C106" s="22">
        <v>1423</v>
      </c>
      <c r="D106" s="20">
        <v>528</v>
      </c>
      <c r="E106" s="22">
        <v>2346</v>
      </c>
      <c r="F106" s="22">
        <v>1361</v>
      </c>
      <c r="G106" s="22">
        <v>1183</v>
      </c>
      <c r="H106" s="23">
        <v>8</v>
      </c>
      <c r="I106" s="22">
        <v>22</v>
      </c>
      <c r="J106" s="107">
        <v>2106</v>
      </c>
      <c r="K106" s="30"/>
      <c r="L106" s="110">
        <v>71</v>
      </c>
      <c r="M106" s="22">
        <v>1444</v>
      </c>
      <c r="N106" s="23">
        <v>31</v>
      </c>
      <c r="O106" s="380">
        <v>252</v>
      </c>
      <c r="P106" s="379">
        <f>SUM(C106:O106)</f>
        <v>10775</v>
      </c>
      <c r="Q106" s="49"/>
      <c r="R106" s="2001">
        <v>8919</v>
      </c>
      <c r="S106" s="22">
        <v>7</v>
      </c>
      <c r="T106" s="107">
        <v>498</v>
      </c>
      <c r="U106" s="50"/>
      <c r="V106" s="120">
        <v>1270</v>
      </c>
      <c r="W106" s="414">
        <f>SUM(R106:V106)</f>
        <v>10694</v>
      </c>
      <c r="X106" s="57"/>
      <c r="Y106" s="2357">
        <v>9404</v>
      </c>
      <c r="Z106" s="2336"/>
      <c r="AA106" s="2339"/>
      <c r="AB106" s="2339"/>
      <c r="AC106" s="2365"/>
      <c r="AD106" s="2309" t="str">
        <f>IF(AND(C106&gt;5000,R106&lt;50),"Kontrollera Taxor o avgifter","")</f>
        <v/>
      </c>
      <c r="AE106" s="1006"/>
      <c r="AF106" s="1005">
        <v>82</v>
      </c>
      <c r="AG106" s="1689">
        <v>8136</v>
      </c>
      <c r="AH106" s="1937">
        <f>W106-V106-(IF(AND(Motpart!$Y$38="",Motpart!$Z$38=""),0,IF(AND(Motpart!$Y$38=0,Motpart!$Z$38=0),0,((T106/$T$109)*(Motpart!$Y$38+Motpart!$Z$38)))))</f>
        <v>9410.3307128580946</v>
      </c>
    </row>
    <row r="107" spans="1:34">
      <c r="A107" s="592" t="s">
        <v>281</v>
      </c>
      <c r="B107" s="892" t="s">
        <v>32</v>
      </c>
      <c r="C107" s="22">
        <v>513</v>
      </c>
      <c r="D107" s="20">
        <v>198</v>
      </c>
      <c r="E107" s="22">
        <v>288</v>
      </c>
      <c r="F107" s="22">
        <v>1897</v>
      </c>
      <c r="G107" s="22">
        <v>734</v>
      </c>
      <c r="H107" s="23">
        <v>2</v>
      </c>
      <c r="I107" s="22">
        <v>11</v>
      </c>
      <c r="J107" s="107">
        <v>220</v>
      </c>
      <c r="K107" s="30"/>
      <c r="L107" s="110">
        <v>28</v>
      </c>
      <c r="M107" s="22">
        <v>550</v>
      </c>
      <c r="N107" s="23">
        <v>7</v>
      </c>
      <c r="O107" s="380">
        <v>67</v>
      </c>
      <c r="P107" s="379">
        <f>SUM(C107:O107)</f>
        <v>4515</v>
      </c>
      <c r="Q107" s="49"/>
      <c r="R107" s="2001">
        <v>3685</v>
      </c>
      <c r="S107" s="22">
        <v>4</v>
      </c>
      <c r="T107" s="107">
        <v>296</v>
      </c>
      <c r="U107" s="50"/>
      <c r="V107" s="120">
        <v>430</v>
      </c>
      <c r="W107" s="414">
        <f>SUM(R107:V107)</f>
        <v>4415</v>
      </c>
      <c r="X107" s="57"/>
      <c r="Y107" s="2357">
        <v>4077</v>
      </c>
      <c r="Z107" s="2336"/>
      <c r="AA107" s="2339"/>
      <c r="AB107" s="2339"/>
      <c r="AC107" s="2365"/>
      <c r="AD107" s="2309" t="str">
        <f>IF(AND(C107&gt;5000,R107&lt;50),"Kontrollera Taxor o avgifter","")</f>
        <v/>
      </c>
      <c r="AE107" s="1006"/>
      <c r="AF107" s="1005">
        <v>98</v>
      </c>
      <c r="AG107" s="1689">
        <v>2185</v>
      </c>
      <c r="AH107" s="1937">
        <f>W107-V107-(IF(AND(Motpart!$Y$38="",Motpart!$Z$38=""),0,IF(AND(Motpart!$Y$38=0,Motpart!$Z$38=0),0,((T107/$T$109)*(Motpart!$Y$38+Motpart!$Z$38)))))</f>
        <v>3976.8752831445704</v>
      </c>
    </row>
    <row r="108" spans="1:34" ht="12.75" customHeight="1">
      <c r="A108" s="592" t="s">
        <v>282</v>
      </c>
      <c r="B108" s="892" t="s">
        <v>125</v>
      </c>
      <c r="C108" s="374">
        <f>SUM(C104:C107)</f>
        <v>1974</v>
      </c>
      <c r="D108" s="25">
        <f t="shared" ref="D108:P108" si="27">SUM(D104:D107)</f>
        <v>740</v>
      </c>
      <c r="E108" s="374">
        <f t="shared" si="27"/>
        <v>3030</v>
      </c>
      <c r="F108" s="374">
        <f t="shared" si="27"/>
        <v>3278</v>
      </c>
      <c r="G108" s="374">
        <f t="shared" si="27"/>
        <v>2099</v>
      </c>
      <c r="H108" s="25">
        <f t="shared" si="27"/>
        <v>14</v>
      </c>
      <c r="I108" s="374">
        <f t="shared" si="27"/>
        <v>34</v>
      </c>
      <c r="J108" s="111">
        <f t="shared" si="27"/>
        <v>2519</v>
      </c>
      <c r="K108" s="151"/>
      <c r="L108" s="381">
        <f>SUM(L104:L107)</f>
        <v>101</v>
      </c>
      <c r="M108" s="374">
        <f t="shared" si="27"/>
        <v>2059</v>
      </c>
      <c r="N108" s="25">
        <f t="shared" si="27"/>
        <v>39</v>
      </c>
      <c r="O108" s="25">
        <f t="shared" si="27"/>
        <v>339</v>
      </c>
      <c r="P108" s="111">
        <f t="shared" si="27"/>
        <v>16226</v>
      </c>
      <c r="Q108" s="49"/>
      <c r="R108" s="381">
        <f>SUM(R104:R107)</f>
        <v>12932</v>
      </c>
      <c r="S108" s="374">
        <f>SUM(S104:S107)</f>
        <v>11</v>
      </c>
      <c r="T108" s="111">
        <f>SUM(T104:T107)</f>
        <v>1360</v>
      </c>
      <c r="U108" s="49"/>
      <c r="V108" s="123">
        <f>SUM(V104:V107)</f>
        <v>1813</v>
      </c>
      <c r="W108" s="124">
        <f>SUM(W104:W107)</f>
        <v>16116</v>
      </c>
      <c r="X108" s="57"/>
      <c r="Y108" s="2357">
        <v>14301</v>
      </c>
      <c r="Z108" s="2337"/>
      <c r="AA108" s="2340"/>
      <c r="AB108" s="2340"/>
      <c r="AC108" s="2366"/>
      <c r="AD108" s="2309"/>
      <c r="AE108" s="1006"/>
      <c r="AF108" s="1005">
        <v>108</v>
      </c>
      <c r="AG108" s="1689">
        <v>11119</v>
      </c>
      <c r="AH108" s="1937">
        <f>SUM(AH104:AH107)</f>
        <v>14265.670219853431</v>
      </c>
    </row>
    <row r="109" spans="1:34" ht="12.75" customHeight="1">
      <c r="A109" s="592" t="s">
        <v>283</v>
      </c>
      <c r="B109" s="892" t="s">
        <v>33</v>
      </c>
      <c r="C109" s="374">
        <f>SUM(C97,C102,C108)</f>
        <v>2728</v>
      </c>
      <c r="D109" s="25">
        <f t="shared" ref="D109:P109" si="28">SUM(D97,D102,D108)</f>
        <v>1030</v>
      </c>
      <c r="E109" s="374">
        <f t="shared" si="28"/>
        <v>4023</v>
      </c>
      <c r="F109" s="374">
        <f t="shared" si="28"/>
        <v>5576</v>
      </c>
      <c r="G109" s="374">
        <f t="shared" si="28"/>
        <v>3530</v>
      </c>
      <c r="H109" s="25">
        <f t="shared" si="28"/>
        <v>1460</v>
      </c>
      <c r="I109" s="374">
        <f t="shared" si="28"/>
        <v>868</v>
      </c>
      <c r="J109" s="111">
        <f t="shared" si="28"/>
        <v>5054</v>
      </c>
      <c r="K109" s="151"/>
      <c r="L109" s="381">
        <f>SUM(L97,L102,L108)</f>
        <v>314</v>
      </c>
      <c r="M109" s="374">
        <f t="shared" si="28"/>
        <v>2775</v>
      </c>
      <c r="N109" s="25">
        <f t="shared" si="28"/>
        <v>51</v>
      </c>
      <c r="O109" s="25">
        <f t="shared" si="28"/>
        <v>586</v>
      </c>
      <c r="P109" s="111">
        <f t="shared" si="28"/>
        <v>27995</v>
      </c>
      <c r="Q109" s="49"/>
      <c r="R109" s="381">
        <f>SUM(R97,R102,R108)</f>
        <v>13465</v>
      </c>
      <c r="S109" s="374">
        <f>SUM(S97,S102,S108)</f>
        <v>2084</v>
      </c>
      <c r="T109" s="111">
        <f>SUM(T97,T102,T108)</f>
        <v>7505</v>
      </c>
      <c r="U109" s="49"/>
      <c r="V109" s="123">
        <f>SUM(V97,V102,V108)</f>
        <v>3236</v>
      </c>
      <c r="W109" s="124">
        <f>SUM(W97,W102,W108)</f>
        <v>26290</v>
      </c>
      <c r="X109" s="57"/>
      <c r="Y109" s="2357">
        <v>24552</v>
      </c>
      <c r="Z109" s="1008">
        <f>(P109-W109)*1000000/invanare</f>
        <v>168.47423213792715</v>
      </c>
      <c r="AA109" s="1009">
        <f>Y109*1000000/invanare</f>
        <v>2426.0289427861508</v>
      </c>
      <c r="AB109" s="1025">
        <v>2500</v>
      </c>
      <c r="AC109" s="2314">
        <f>IF(ISERROR((AA109-AB109)/AB109)," ",((AA109-AB109)/AB109))</f>
        <v>-2.9588422885539693E-2</v>
      </c>
      <c r="AD109" s="2310" t="str">
        <f>IF(AA109="","Belopp saknas",IF(OR(AC109&gt;30%,AC109&lt;-25%),"Kommentera förändringen",""))</f>
        <v/>
      </c>
      <c r="AE109" s="1007">
        <f>IF(ISERROR(F109/(AA109/1000*invanare)),"",(F109/(AA109/100000*invanare)))</f>
        <v>2.2710980775496905E-2</v>
      </c>
      <c r="AF109" s="1005">
        <v>1705</v>
      </c>
      <c r="AG109" s="1689">
        <v>17723</v>
      </c>
      <c r="AH109" s="1937">
        <f>W109-V109-SUM(Motpart!Y38:Z38)</f>
        <v>22848</v>
      </c>
    </row>
    <row r="110" spans="1:34" ht="12.75" customHeight="1" thickBot="1">
      <c r="A110" s="596" t="s">
        <v>284</v>
      </c>
      <c r="B110" s="892" t="s">
        <v>126</v>
      </c>
      <c r="C110" s="374">
        <f>SUM(C90,C109)</f>
        <v>247239</v>
      </c>
      <c r="D110" s="395">
        <f t="shared" ref="D110:P110" si="29">SUM(D90,D109)</f>
        <v>94349</v>
      </c>
      <c r="E110" s="374">
        <f t="shared" si="29"/>
        <v>27570</v>
      </c>
      <c r="F110" s="374">
        <f t="shared" si="29"/>
        <v>129795</v>
      </c>
      <c r="G110" s="374">
        <f t="shared" si="29"/>
        <v>41183</v>
      </c>
      <c r="H110" s="25">
        <f t="shared" si="29"/>
        <v>27398</v>
      </c>
      <c r="I110" s="374">
        <f t="shared" si="29"/>
        <v>20748</v>
      </c>
      <c r="J110" s="111">
        <f t="shared" si="29"/>
        <v>15307</v>
      </c>
      <c r="K110" s="151"/>
      <c r="L110" s="381">
        <f>SUM(L90,L109)</f>
        <v>35594</v>
      </c>
      <c r="M110" s="374">
        <f t="shared" si="29"/>
        <v>81233</v>
      </c>
      <c r="N110" s="387">
        <f t="shared" si="29"/>
        <v>2966</v>
      </c>
      <c r="O110" s="387">
        <f t="shared" si="29"/>
        <v>16104.349540200317</v>
      </c>
      <c r="P110" s="111">
        <f t="shared" si="29"/>
        <v>739472</v>
      </c>
      <c r="Q110" s="49"/>
      <c r="R110" s="381">
        <f>SUM(R90,R109)</f>
        <v>34937</v>
      </c>
      <c r="S110" s="374">
        <f>SUM(S90,S109)</f>
        <v>9855</v>
      </c>
      <c r="T110" s="111">
        <f>SUM(T90,T109)</f>
        <v>99446</v>
      </c>
      <c r="U110" s="49"/>
      <c r="V110" s="123">
        <f>SUM(V90,V109)</f>
        <v>65615</v>
      </c>
      <c r="W110" s="124">
        <f>SUM(W90,W109)</f>
        <v>209853</v>
      </c>
      <c r="X110" s="57"/>
      <c r="Y110" s="1029">
        <v>661961</v>
      </c>
      <c r="Z110" s="1036">
        <f>Z90+Z109</f>
        <v>52332.64184789257</v>
      </c>
      <c r="AA110" s="1037">
        <f>AA90+AA109</f>
        <v>65216.227042792052</v>
      </c>
      <c r="AB110" s="1037">
        <f>AB90+AB109</f>
        <v>63872</v>
      </c>
      <c r="AC110" s="2319"/>
      <c r="AD110" s="2309"/>
      <c r="AE110" s="1695">
        <f>IF(ISERROR(F109/(AA109/1000*invanare)),"",SUM(Motpart!D38,Motpart!F38)/(AA109/100000*invanare))</f>
        <v>1.1762789182144021E-2</v>
      </c>
      <c r="AF110" s="1767">
        <v>529625</v>
      </c>
      <c r="AG110" s="1768">
        <v>516665</v>
      </c>
      <c r="AH110" s="1944">
        <f>AH90+AH109</f>
        <v>132340</v>
      </c>
    </row>
    <row r="111" spans="1:34">
      <c r="A111" s="592" t="s">
        <v>285</v>
      </c>
      <c r="B111" s="914" t="s">
        <v>34</v>
      </c>
      <c r="C111" s="27">
        <v>2667</v>
      </c>
      <c r="D111" s="28">
        <v>1025</v>
      </c>
      <c r="E111" s="27">
        <v>6881</v>
      </c>
      <c r="F111" s="27">
        <v>458</v>
      </c>
      <c r="G111" s="27">
        <v>4337</v>
      </c>
      <c r="H111" s="28">
        <v>9</v>
      </c>
      <c r="I111" s="27">
        <v>10459</v>
      </c>
      <c r="J111" s="108">
        <v>11000</v>
      </c>
      <c r="K111" s="30"/>
      <c r="L111" s="112">
        <v>551</v>
      </c>
      <c r="M111" s="27">
        <v>4118</v>
      </c>
      <c r="N111" s="396">
        <v>0</v>
      </c>
      <c r="O111" s="397">
        <v>0</v>
      </c>
      <c r="P111" s="122">
        <f>SUM(C111:O111)</f>
        <v>41505</v>
      </c>
      <c r="Q111" s="49"/>
      <c r="R111" s="112">
        <v>102</v>
      </c>
      <c r="S111" s="27">
        <v>3681</v>
      </c>
      <c r="T111" s="108">
        <v>985</v>
      </c>
      <c r="U111" s="50"/>
      <c r="V111" s="121">
        <v>36958</v>
      </c>
      <c r="W111" s="122">
        <f>SUM(R111:V111)</f>
        <v>41726</v>
      </c>
      <c r="X111" s="57"/>
      <c r="Y111" s="1039"/>
      <c r="Z111" s="1031"/>
      <c r="AA111" s="1032"/>
      <c r="AB111" s="1033"/>
      <c r="AC111" s="2318"/>
      <c r="AD111" s="2317" t="str">
        <f>IF(AND(P111=0,W111=0),"",IF(ABS(P111-W111)&lt;10000,"",IF(OR(AND(ABS((P111-W111)/W111)&gt;5%),ABS(P111-W111)&gt;10000),"Bruttokostn och bruttoint borde vara lika stor här. Varför finns det en differens på"&amp;" "&amp;(ROUND(P111-W111,0))&amp;" tkr?","")))</f>
        <v/>
      </c>
      <c r="AE111" s="758"/>
      <c r="AF111" s="1684"/>
      <c r="AG111" s="1685"/>
      <c r="AH111" s="1935"/>
    </row>
    <row r="112" spans="1:34" ht="13.5" thickBot="1">
      <c r="A112" s="594" t="s">
        <v>286</v>
      </c>
      <c r="B112" s="892" t="s">
        <v>35</v>
      </c>
      <c r="C112" s="22">
        <v>17102</v>
      </c>
      <c r="D112" s="20">
        <v>6535</v>
      </c>
      <c r="E112" s="22">
        <v>5036</v>
      </c>
      <c r="F112" s="22">
        <v>429</v>
      </c>
      <c r="G112" s="22">
        <v>11197</v>
      </c>
      <c r="H112" s="23">
        <v>449</v>
      </c>
      <c r="I112" s="22">
        <v>740</v>
      </c>
      <c r="J112" s="107">
        <v>2145</v>
      </c>
      <c r="K112" s="30"/>
      <c r="L112" s="110">
        <v>1422</v>
      </c>
      <c r="M112" s="22">
        <v>6765</v>
      </c>
      <c r="N112" s="398"/>
      <c r="O112" s="399"/>
      <c r="P112" s="400">
        <f>SUM(C112:O112)</f>
        <v>51820</v>
      </c>
      <c r="Q112" s="49"/>
      <c r="R112" s="113">
        <v>528</v>
      </c>
      <c r="S112" s="114">
        <v>154</v>
      </c>
      <c r="T112" s="115">
        <v>4464</v>
      </c>
      <c r="U112" s="50"/>
      <c r="V112" s="2005">
        <f>SUM(I118:I120)</f>
        <v>46674</v>
      </c>
      <c r="W112" s="124">
        <f>SUM(R112:V112)</f>
        <v>51820</v>
      </c>
      <c r="X112" s="57"/>
      <c r="Y112" s="1004"/>
      <c r="Z112" s="1040"/>
      <c r="AA112" s="1011"/>
      <c r="AB112" s="1012"/>
      <c r="AC112" s="2313"/>
      <c r="AD112" s="2301" t="str">
        <f>IF(ISERROR(D112/C112),"",IF(C112&gt;999,IF(OR(D112/C112&gt;45%,D112/C112&lt;36%),"PO avviker från rekom." &amp;" "&amp;(ROUND(D112*100/C112,0))&amp;"%",""),""))</f>
        <v/>
      </c>
      <c r="AE112" s="758"/>
      <c r="AF112" s="1684"/>
      <c r="AG112" s="1685"/>
      <c r="AH112" s="1935"/>
    </row>
    <row r="113" spans="1:34" ht="12.75" customHeight="1" thickBot="1">
      <c r="A113" s="690" t="s">
        <v>287</v>
      </c>
      <c r="B113" s="915" t="s">
        <v>36</v>
      </c>
      <c r="C113" s="404">
        <f>SUM(C110:C112)</f>
        <v>267008</v>
      </c>
      <c r="D113" s="403">
        <f t="shared" ref="D113:W113" si="30">SUM(D110:D112)</f>
        <v>101909</v>
      </c>
      <c r="E113" s="402">
        <f t="shared" si="30"/>
        <v>39487</v>
      </c>
      <c r="F113" s="402">
        <f t="shared" si="30"/>
        <v>130682</v>
      </c>
      <c r="G113" s="402">
        <f t="shared" si="30"/>
        <v>56717</v>
      </c>
      <c r="H113" s="403">
        <f t="shared" si="30"/>
        <v>27856</v>
      </c>
      <c r="I113" s="405">
        <f t="shared" si="30"/>
        <v>31947</v>
      </c>
      <c r="J113" s="406">
        <f t="shared" si="30"/>
        <v>28452</v>
      </c>
      <c r="K113" s="151"/>
      <c r="L113" s="401">
        <f>SUM(L110:L112)</f>
        <v>37567</v>
      </c>
      <c r="M113" s="402">
        <f t="shared" si="30"/>
        <v>92116</v>
      </c>
      <c r="N113" s="403">
        <f t="shared" si="30"/>
        <v>2966</v>
      </c>
      <c r="O113" s="403">
        <f>SUM(O110:O112)</f>
        <v>16104.349540200317</v>
      </c>
      <c r="P113" s="1750">
        <f t="shared" si="30"/>
        <v>832797</v>
      </c>
      <c r="Q113" s="49"/>
      <c r="R113" s="2434">
        <f t="shared" si="30"/>
        <v>35567</v>
      </c>
      <c r="S113" s="402">
        <f t="shared" si="30"/>
        <v>13690</v>
      </c>
      <c r="T113" s="403">
        <f t="shared" si="30"/>
        <v>104895</v>
      </c>
      <c r="U113" s="118"/>
      <c r="V113" s="419">
        <f t="shared" si="30"/>
        <v>149247</v>
      </c>
      <c r="W113" s="1751">
        <f t="shared" si="30"/>
        <v>303399</v>
      </c>
      <c r="X113" s="57"/>
      <c r="Y113" s="1041"/>
      <c r="Z113" s="1042"/>
      <c r="AA113" s="1043"/>
      <c r="AB113" s="1044"/>
      <c r="AC113" s="2321"/>
      <c r="AD113" s="2309" t="str">
        <f>IF(ISERROR(D113/C113),"",IF(C113&gt;999,IF(OR(D113/C113&gt;45%,D113/C113&lt;36%),"PO avviker från rekom." &amp;" "&amp;(ROUND(D113*100/C113,0))&amp;"%",""),""))</f>
        <v/>
      </c>
      <c r="AE113" s="1045"/>
      <c r="AF113" s="1704"/>
      <c r="AG113" s="1687"/>
      <c r="AH113" s="1945"/>
    </row>
    <row r="114" spans="1:34">
      <c r="A114" s="1303"/>
      <c r="B114" s="1304"/>
      <c r="C114" s="1305"/>
      <c r="D114" s="1765" t="str">
        <f>IF(AND(P119&gt;0,SUM(P118+P119-'Verks int o kostn'!D48)&lt;D113),"Kontrollera vad som ingår i PO! OBS! Pensionsutbetalningar ska inte ingå i kol D","")</f>
        <v/>
      </c>
      <c r="E114" s="14"/>
      <c r="F114" s="216"/>
      <c r="G114" s="29"/>
      <c r="H114" s="41"/>
      <c r="I114" s="2700" t="s">
        <v>564</v>
      </c>
      <c r="J114" s="2701"/>
      <c r="K114" s="2701"/>
      <c r="L114" s="2702"/>
      <c r="M114" s="407">
        <f>I118</f>
        <v>27613</v>
      </c>
      <c r="N114" s="1432" t="str">
        <f>IF(M114&gt;M113,"Beloppet på rad 924 borde inte vara större än beloppet i kol.M rad 950",IF(M114=0,"Kontrollera rad 924",""))</f>
        <v/>
      </c>
      <c r="O114" s="31"/>
      <c r="P114" s="2120" t="str">
        <f>IF(COUNTIF(P10:P112,"&lt;0")&gt;0, "Det finns minst en verksamhet med negativ bruttokostnad. Stämmer det verkligen och vad är i så fall förklaringen?","")</f>
        <v/>
      </c>
      <c r="Q114" s="213"/>
      <c r="R114" s="31"/>
      <c r="S114" s="31"/>
      <c r="T114" s="31"/>
      <c r="U114" s="213"/>
      <c r="V114" s="31"/>
      <c r="W114" s="31"/>
      <c r="X114" s="31"/>
      <c r="Y114" s="31"/>
      <c r="Z114" s="56"/>
      <c r="AA114" s="56"/>
      <c r="AB114" s="56"/>
      <c r="AC114" s="56"/>
      <c r="AD114" s="2188"/>
      <c r="AE114" s="422"/>
      <c r="AF114" s="175"/>
    </row>
    <row r="115" spans="1:34" ht="13.5" thickBot="1">
      <c r="A115" s="11"/>
      <c r="B115" s="40"/>
      <c r="C115" s="176"/>
      <c r="D115" s="176"/>
      <c r="E115" s="176"/>
      <c r="F115" s="176"/>
      <c r="G115" s="176"/>
      <c r="H115" s="31"/>
      <c r="I115" s="31"/>
      <c r="J115" s="33"/>
      <c r="K115" s="33"/>
      <c r="L115" s="218"/>
      <c r="M115" s="219"/>
      <c r="N115" s="219"/>
      <c r="O115" s="219"/>
      <c r="P115" s="53"/>
      <c r="Q115" s="1635"/>
      <c r="R115" s="1636"/>
      <c r="S115" s="217"/>
      <c r="T115" s="31"/>
      <c r="U115" s="213"/>
      <c r="V115" s="31"/>
      <c r="W115" s="39"/>
      <c r="X115" s="1635"/>
      <c r="Y115" s="1636"/>
      <c r="Z115" s="189"/>
      <c r="AA115" s="189"/>
      <c r="AB115" s="5"/>
      <c r="AC115" s="12"/>
      <c r="AD115" s="2144" t="str">
        <f>IF(H112&gt;(0.05*P112),"Vad avser bidrag kol. H på rad 920?","")</f>
        <v/>
      </c>
      <c r="AE115" s="422"/>
      <c r="AF115" s="175"/>
    </row>
    <row r="116" spans="1:34" ht="16.5" thickBot="1">
      <c r="A116" s="220"/>
      <c r="B116" s="176"/>
      <c r="C116" s="176"/>
      <c r="D116" s="176"/>
      <c r="E116" s="35" t="s">
        <v>148</v>
      </c>
      <c r="F116" s="34"/>
      <c r="G116" s="31"/>
      <c r="H116" s="29"/>
      <c r="I116" s="29"/>
      <c r="J116" s="189"/>
      <c r="K116" s="189"/>
      <c r="L116" s="1046">
        <v>960</v>
      </c>
      <c r="M116" s="1059" t="s">
        <v>213</v>
      </c>
      <c r="N116" s="1060"/>
      <c r="O116" s="1060"/>
      <c r="P116" s="408">
        <f>-SUM(D113,J113)</f>
        <v>-130361</v>
      </c>
      <c r="Q116" s="1457"/>
      <c r="R116" s="1458"/>
      <c r="S116" s="1046">
        <v>970</v>
      </c>
      <c r="T116" s="1047" t="s">
        <v>149</v>
      </c>
      <c r="U116" s="1048"/>
      <c r="V116" s="1049"/>
      <c r="W116" s="408">
        <f>-V113</f>
        <v>-149247</v>
      </c>
      <c r="X116" s="1681" t="str">
        <f>IF(AND(P117=0,W116=0),"",IF(OR(P117=0,W116=0),"Interna intäkter och kostnader borde stämma överens! Varför finns differensen?",IF(AND(ABS((P117-W116)/W116)&gt;5%,ABS(P117-W116)&gt;10000),"Interna intäkter och kostnader borde stämma överens! Varför finns differensen?","")))</f>
        <v/>
      </c>
      <c r="Y116" s="1409"/>
      <c r="AA116" s="1306"/>
      <c r="AB116" s="1306"/>
      <c r="AC116" s="1306"/>
      <c r="AD116" s="183"/>
      <c r="AE116" s="422"/>
      <c r="AF116" s="175"/>
    </row>
    <row r="117" spans="1:34" ht="16.5" customHeight="1">
      <c r="A117" s="2699"/>
      <c r="B117" s="2699"/>
      <c r="C117" s="176"/>
      <c r="D117" s="4"/>
      <c r="E117" s="1046">
        <v>922</v>
      </c>
      <c r="F117" s="1060" t="s">
        <v>127</v>
      </c>
      <c r="G117" s="1060"/>
      <c r="H117" s="1060"/>
      <c r="I117" s="410">
        <f>P112-SUM(R112:T112)</f>
        <v>46674</v>
      </c>
      <c r="J117" s="189"/>
      <c r="K117" s="189"/>
      <c r="L117" s="1051">
        <v>965</v>
      </c>
      <c r="M117" s="1061" t="s">
        <v>214</v>
      </c>
      <c r="N117" s="1062"/>
      <c r="O117" s="1063"/>
      <c r="P117" s="409">
        <f>-SUM(L113:O113)</f>
        <v>-148753.34954020032</v>
      </c>
      <c r="S117" s="1051">
        <v>982</v>
      </c>
      <c r="T117" s="2729" t="s">
        <v>559</v>
      </c>
      <c r="U117" s="2730"/>
      <c r="V117" s="2731"/>
      <c r="W117" s="224">
        <v>10016</v>
      </c>
      <c r="Y117" s="1306"/>
      <c r="Z117" s="1306"/>
      <c r="AA117" s="1306"/>
      <c r="AB117" s="1306"/>
      <c r="AC117" s="1306"/>
      <c r="AD117" s="176"/>
      <c r="AE117" s="422"/>
      <c r="AF117" s="175"/>
    </row>
    <row r="118" spans="1:34" ht="19.5" customHeight="1">
      <c r="A118" s="2699"/>
      <c r="B118" s="2699"/>
      <c r="C118" s="31"/>
      <c r="D118" s="34"/>
      <c r="E118" s="1051">
        <v>924</v>
      </c>
      <c r="F118" s="2712" t="s">
        <v>1298</v>
      </c>
      <c r="G118" s="2713"/>
      <c r="H118" s="2714"/>
      <c r="I118" s="125">
        <v>27613</v>
      </c>
      <c r="J118" s="1579" t="str">
        <f>IF(I118&lt;SUM(L110+M110-V110-V111),"kontrollera rad 924","")</f>
        <v/>
      </c>
      <c r="K118" s="189"/>
      <c r="L118" s="1051">
        <v>975</v>
      </c>
      <c r="M118" s="2726" t="s">
        <v>215</v>
      </c>
      <c r="N118" s="2727"/>
      <c r="O118" s="2728"/>
      <c r="P118" s="224">
        <v>112379</v>
      </c>
      <c r="S118" s="1051">
        <v>985</v>
      </c>
      <c r="T118" s="1415" t="s">
        <v>1065</v>
      </c>
      <c r="U118" s="1416"/>
      <c r="V118" s="1417"/>
      <c r="W118" s="224">
        <v>4838</v>
      </c>
      <c r="X118" s="1637"/>
      <c r="Y118" s="1637"/>
      <c r="Z118" s="1306"/>
      <c r="AB118" s="1306"/>
      <c r="AC118" s="1306"/>
      <c r="AD118" s="176"/>
      <c r="AE118" s="422"/>
      <c r="AF118" s="175"/>
    </row>
    <row r="119" spans="1:34" ht="19.5" customHeight="1">
      <c r="A119" s="2699"/>
      <c r="B119" s="2699"/>
      <c r="C119" s="202"/>
      <c r="D119" s="189"/>
      <c r="E119" s="1051">
        <v>926</v>
      </c>
      <c r="F119" s="1065" t="s">
        <v>938</v>
      </c>
      <c r="G119" s="1066"/>
      <c r="H119" s="1066"/>
      <c r="I119" s="411">
        <f>N113</f>
        <v>2966</v>
      </c>
      <c r="J119" s="189"/>
      <c r="K119" s="189"/>
      <c r="L119" s="1051">
        <v>980</v>
      </c>
      <c r="M119" s="2723" t="s">
        <v>216</v>
      </c>
      <c r="N119" s="2724"/>
      <c r="O119" s="2725"/>
      <c r="P119" s="224">
        <v>2247</v>
      </c>
      <c r="S119" s="1051">
        <v>989</v>
      </c>
      <c r="T119" s="1415" t="s">
        <v>218</v>
      </c>
      <c r="U119" s="1416"/>
      <c r="V119" s="1417"/>
      <c r="W119" s="2134">
        <v>550</v>
      </c>
      <c r="X119" s="183"/>
      <c r="Y119" s="202"/>
      <c r="Z119" s="202"/>
      <c r="AA119" s="1307"/>
      <c r="AB119" s="1307"/>
      <c r="AC119" s="1307"/>
      <c r="AD119" s="1307"/>
      <c r="AE119" s="1307"/>
      <c r="AF119" s="175"/>
    </row>
    <row r="120" spans="1:34" ht="13.5" customHeight="1" thickBot="1">
      <c r="A120" s="2699"/>
      <c r="B120" s="2699"/>
      <c r="C120" s="202"/>
      <c r="D120" s="189"/>
      <c r="E120" s="1055">
        <v>928</v>
      </c>
      <c r="F120" s="1456" t="s">
        <v>939</v>
      </c>
      <c r="G120" s="1067"/>
      <c r="H120" s="1068"/>
      <c r="I120" s="412">
        <f>I117-I118-I119</f>
        <v>16095</v>
      </c>
      <c r="J120" s="189"/>
      <c r="K120" s="189"/>
      <c r="L120" s="1051">
        <v>982</v>
      </c>
      <c r="M120" s="1415" t="s">
        <v>1225</v>
      </c>
      <c r="N120" s="1416"/>
      <c r="O120" s="1417"/>
      <c r="P120" s="224">
        <v>661</v>
      </c>
      <c r="S120" s="1051"/>
      <c r="T120" s="1606"/>
      <c r="U120" s="1569"/>
      <c r="V120" s="1570"/>
      <c r="W120" s="2080"/>
      <c r="X120" s="1313"/>
      <c r="Y120" s="1571"/>
      <c r="Z120" s="202"/>
      <c r="AA120" s="1307"/>
      <c r="AB120" s="1307"/>
      <c r="AC120" s="1307"/>
      <c r="AD120" s="1307"/>
      <c r="AE120" s="1307"/>
      <c r="AF120" s="175"/>
    </row>
    <row r="121" spans="1:34" ht="13.5" customHeight="1">
      <c r="A121" s="202"/>
      <c r="B121" s="202"/>
      <c r="C121" s="202"/>
      <c r="D121" s="189"/>
      <c r="E121" s="189"/>
      <c r="F121" s="189"/>
      <c r="G121" s="189"/>
      <c r="H121" s="189"/>
      <c r="I121" s="189"/>
      <c r="J121" s="189"/>
      <c r="K121" s="189"/>
      <c r="L121" s="1051">
        <v>985</v>
      </c>
      <c r="M121" s="1512" t="s">
        <v>923</v>
      </c>
      <c r="N121" s="1512"/>
      <c r="O121" s="1513"/>
      <c r="P121" s="180">
        <v>425</v>
      </c>
      <c r="Q121" s="2715"/>
      <c r="R121" s="2716"/>
      <c r="S121" s="1050">
        <v>887</v>
      </c>
      <c r="T121" s="1052" t="s">
        <v>463</v>
      </c>
      <c r="U121" s="1053"/>
      <c r="V121" s="1054"/>
      <c r="W121" s="413">
        <f>SUM(W113,W116:W119)</f>
        <v>169556</v>
      </c>
      <c r="X121" s="1459"/>
      <c r="Y121" s="202"/>
      <c r="Z121" s="202"/>
      <c r="AA121" s="1307"/>
      <c r="AB121" s="1307"/>
      <c r="AC121" s="1307"/>
      <c r="AD121" s="1307"/>
      <c r="AE121" s="1307"/>
      <c r="AF121" s="175"/>
    </row>
    <row r="122" spans="1:34" ht="12.75" customHeight="1" thickBot="1">
      <c r="A122" s="202"/>
      <c r="B122" s="202"/>
      <c r="C122" s="202"/>
      <c r="D122" s="189"/>
      <c r="E122" s="189"/>
      <c r="F122" s="189"/>
      <c r="G122" s="189"/>
      <c r="H122" s="189"/>
      <c r="I122" s="189"/>
      <c r="J122" s="189"/>
      <c r="K122" s="189"/>
      <c r="L122" s="1051">
        <v>988</v>
      </c>
      <c r="M122" s="1752" t="s">
        <v>1107</v>
      </c>
      <c r="N122" s="1756"/>
      <c r="O122" s="1513"/>
      <c r="P122" s="180">
        <v>1636</v>
      </c>
      <c r="Q122" s="183"/>
      <c r="R122" s="221"/>
      <c r="S122" s="1055">
        <v>990</v>
      </c>
      <c r="T122" s="1056" t="s">
        <v>97</v>
      </c>
      <c r="U122" s="1057"/>
      <c r="V122" s="1058"/>
      <c r="W122" s="126">
        <f>RR!C7</f>
        <v>169556</v>
      </c>
      <c r="X122" s="1459"/>
      <c r="Y122" s="202"/>
      <c r="Z122" s="189"/>
      <c r="AA122" s="189"/>
      <c r="AB122" s="5"/>
      <c r="AC122" s="5"/>
      <c r="AD122" s="4"/>
      <c r="AE122" s="422"/>
      <c r="AF122" s="175"/>
    </row>
    <row r="123" spans="1:34">
      <c r="A123" s="202"/>
      <c r="B123" s="202"/>
      <c r="C123" s="202"/>
      <c r="D123" s="189"/>
      <c r="E123" s="221"/>
      <c r="F123" s="221"/>
      <c r="G123" s="221"/>
      <c r="H123" s="221"/>
      <c r="I123" s="221"/>
      <c r="J123" s="189"/>
      <c r="K123" s="189"/>
      <c r="L123" s="1051">
        <v>989</v>
      </c>
      <c r="M123" s="1064" t="s">
        <v>217</v>
      </c>
      <c r="N123" s="1757"/>
      <c r="O123" s="1417"/>
      <c r="P123" s="2134">
        <v>3843</v>
      </c>
      <c r="Q123" s="183"/>
      <c r="R123" s="202"/>
      <c r="S123" s="222"/>
      <c r="T123" s="222"/>
      <c r="U123" s="222"/>
      <c r="V123" s="222"/>
      <c r="W123" s="239" t="str">
        <f>IF(ABS(W121-W122)&lt;50,"",IF(OR(W122=0,W121=0),"",IF((SUM(W121)/(W122))&lt;&gt;1,(ROUND(W121-W122,0))&amp;" tkr differens mellan verks.intäkter i RR och summan av verks.intäkter här - måste rättas!","")))</f>
        <v/>
      </c>
      <c r="X123" s="202"/>
      <c r="Y123" s="202"/>
      <c r="Z123" s="189"/>
      <c r="AA123" s="189"/>
      <c r="AB123" s="5"/>
      <c r="AC123" s="5"/>
      <c r="AD123" s="4"/>
      <c r="AE123" s="422"/>
      <c r="AF123" s="175"/>
    </row>
    <row r="124" spans="1:34">
      <c r="A124" s="314"/>
      <c r="B124" s="202"/>
      <c r="C124" s="202"/>
      <c r="D124" s="189"/>
      <c r="E124" s="189"/>
      <c r="F124" s="189"/>
      <c r="G124" s="189"/>
      <c r="H124" s="189"/>
      <c r="I124" s="189"/>
      <c r="J124" s="189"/>
      <c r="K124" s="202"/>
      <c r="L124" s="1050">
        <v>886</v>
      </c>
      <c r="M124" s="1052" t="s">
        <v>463</v>
      </c>
      <c r="N124" s="1053"/>
      <c r="O124" s="1054"/>
      <c r="P124" s="413">
        <f>SUM(P110:P112,P116:P123)</f>
        <v>674873.65045979968</v>
      </c>
      <c r="Q124" s="1459"/>
      <c r="R124" s="202"/>
      <c r="S124" s="222"/>
      <c r="T124" s="222"/>
      <c r="U124" s="222"/>
      <c r="V124" s="222"/>
      <c r="W124" s="222"/>
      <c r="X124" s="202"/>
      <c r="Y124" s="202"/>
      <c r="Z124" s="189"/>
      <c r="AA124" s="189"/>
      <c r="AB124" s="5"/>
      <c r="AC124" s="5"/>
      <c r="AD124" s="4"/>
      <c r="AE124" s="422"/>
      <c r="AF124" s="175"/>
    </row>
    <row r="125" spans="1:34" ht="13.5" thickBot="1">
      <c r="A125" s="314"/>
      <c r="B125" s="202"/>
      <c r="C125" s="202"/>
      <c r="D125" s="189"/>
      <c r="E125" s="189"/>
      <c r="F125" s="189"/>
      <c r="G125" s="189"/>
      <c r="H125" s="189"/>
      <c r="I125" s="189"/>
      <c r="J125" s="189"/>
      <c r="K125" s="202"/>
      <c r="L125" s="1055">
        <v>990</v>
      </c>
      <c r="M125" s="1056" t="s">
        <v>94</v>
      </c>
      <c r="N125" s="1057"/>
      <c r="O125" s="1058"/>
      <c r="P125" s="2079">
        <f>RR!C8</f>
        <v>674874</v>
      </c>
      <c r="Q125" s="202"/>
      <c r="R125" s="202"/>
      <c r="S125" s="222"/>
      <c r="T125" s="222"/>
      <c r="U125" s="222"/>
      <c r="V125" s="222"/>
      <c r="W125" s="222"/>
      <c r="X125" s="202"/>
      <c r="Y125" s="202"/>
      <c r="Z125" s="189"/>
      <c r="AA125" s="189"/>
      <c r="AB125" s="5"/>
      <c r="AC125" s="5"/>
      <c r="AD125" s="4"/>
      <c r="AE125" s="422"/>
      <c r="AF125" s="175"/>
    </row>
    <row r="126" spans="1:34" ht="31.5" customHeight="1">
      <c r="A126" s="222"/>
      <c r="B126" s="222"/>
      <c r="C126" s="222"/>
      <c r="D126" s="221"/>
      <c r="E126" s="221"/>
      <c r="F126" s="221"/>
      <c r="G126" s="221"/>
      <c r="H126" s="221"/>
      <c r="I126" s="221"/>
      <c r="J126" s="221"/>
      <c r="K126" s="202"/>
      <c r="L126" s="1753"/>
      <c r="M126" s="1754"/>
      <c r="N126" s="1755"/>
      <c r="O126" s="1755"/>
      <c r="P126" s="1778" t="str">
        <f>IF(ABS(P124-P125)&lt;50,"",IF(OR(P125=0,P124=0),"",IF((SUM(P124)/(P125))&lt;&gt;1.1,(ROUND(P124-P125,0))&amp;" tkr differens mellan verks.kostn i RR och summan av verks.kostnader här - måste rättas!","")))</f>
        <v/>
      </c>
      <c r="Q126" s="189"/>
      <c r="R126" s="221"/>
      <c r="S126" s="222"/>
      <c r="T126" s="222"/>
      <c r="U126" s="202"/>
      <c r="V126" s="222"/>
      <c r="W126" s="222"/>
      <c r="X126" s="202"/>
      <c r="Y126" s="222"/>
      <c r="Z126" s="221"/>
      <c r="AA126" s="221"/>
      <c r="AB126" s="1"/>
      <c r="AC126" s="1"/>
      <c r="AD126" s="175"/>
      <c r="AE126" s="423"/>
      <c r="AF126" s="175"/>
    </row>
    <row r="127" spans="1:34" hidden="1">
      <c r="L127" s="221"/>
      <c r="M127" s="221"/>
      <c r="N127" s="221"/>
      <c r="O127" s="221"/>
      <c r="P127" s="239"/>
    </row>
    <row r="128" spans="1:34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spans="16:16" hidden="1"/>
    <row r="290" spans="16:16" hidden="1"/>
    <row r="291" spans="16:16" hidden="1"/>
    <row r="292" spans="16:16" hidden="1"/>
    <row r="293" spans="16:16" hidden="1"/>
    <row r="294" spans="16:16" hidden="1"/>
    <row r="295" spans="16:16" hidden="1"/>
    <row r="296" spans="16:16" hidden="1"/>
    <row r="297" spans="16:16" hidden="1"/>
    <row r="298" spans="16:16" hidden="1"/>
    <row r="299" spans="16:16" hidden="1"/>
    <row r="300" spans="16:16" hidden="1"/>
    <row r="301" spans="16:16" hidden="1"/>
    <row r="302" spans="16:16" hidden="1"/>
    <row r="303" spans="16:16" hidden="1">
      <c r="P303" s="223" t="str">
        <f>IF(P124&lt;&gt;P125,"Differens mot vht kostnader i RR, måste rättas!","")</f>
        <v>Differens mot vht kostnader i RR, måste rättas!</v>
      </c>
    </row>
    <row r="304" spans="16:16" hidden="1"/>
  </sheetData>
  <customSheetViews>
    <customSheetView guid="{27C9E95B-0E2B-454F-B637-1CECC9579A10}" showGridLines="0" hiddenRows="1" hiddenColumns="1" showRuler="0">
      <pane xSplit="2" ySplit="10" topLeftCell="E111" activePane="bottomRight" state="frozen"/>
      <selection pane="bottomRight" activeCell="P125" sqref="P125"/>
      <rowBreaks count="1" manualBreakCount="1">
        <brk id="43" max="16383" man="1"/>
      </rowBreaks>
      <pageMargins left="0.70866141732283472" right="0.70866141732283472" top="0.74803149606299213" bottom="0" header="0.31496062992125984" footer="0.31496062992125984"/>
      <pageSetup paperSize="9" scale="75" orientation="landscape" r:id="rId1"/>
      <headerFooter alignWithMargins="0">
        <oddHeader>&amp;L&amp;8Statistiska Centralbyrån
Offentlig ekonomi&amp;R&amp;P</oddHeader>
      </headerFooter>
    </customSheetView>
    <customSheetView guid="{99FBDEB7-DD08-4F57-81F4-3C180403E153}" showPageBreaks="1" showGridLines="0" hiddenRows="1" hiddenColumns="1">
      <pane xSplit="2" ySplit="12" topLeftCell="H13" activePane="bottomRight" state="frozen"/>
      <selection pane="bottomRight" activeCell="AD14" sqref="AD14"/>
      <rowBreaks count="1" manualBreakCount="1">
        <brk id="43" max="16383" man="1"/>
      </rowBreaks>
      <pageMargins left="0.70866141732283472" right="0.70866141732283472" top="0.74803149606299213" bottom="0" header="0.31496062992125984" footer="0.31496062992125984"/>
      <pageSetup paperSize="9" scale="75" orientation="landscape" r:id="rId2"/>
      <headerFooter>
        <oddHeader>&amp;L&amp;8Statistiska Centralbyrån
Offentlig ekonomi&amp;R&amp;P</oddHeader>
      </headerFooter>
    </customSheetView>
    <customSheetView guid="{97D6DB71-3F4C-4C5F-8C5B-51E3EBF78932}" showPageBreaks="1" showGridLines="0" hiddenRows="1" hiddenColumns="1">
      <pane xSplit="2" ySplit="12" topLeftCell="H13" activePane="bottomRight" state="frozen"/>
      <selection pane="bottomRight" activeCell="S6" sqref="S6"/>
      <rowBreaks count="1" manualBreakCount="1">
        <brk id="43" max="16383" man="1"/>
      </rowBreaks>
      <pageMargins left="0.70866141732283472" right="0.70866141732283472" top="0.74803149606299213" bottom="0" header="0.31496062992125984" footer="0.31496062992125984"/>
      <pageSetup paperSize="9" scale="75" orientation="landscape" r:id="rId3"/>
      <headerFooter>
        <oddHeader>&amp;L&amp;8Statistiska Centralbyrån
Offentlig ekonomi&amp;R&amp;P</oddHeader>
      </headerFooter>
    </customSheetView>
  </customSheetViews>
  <mergeCells count="19">
    <mergeCell ref="Q121:R121"/>
    <mergeCell ref="R4:T4"/>
    <mergeCell ref="Z4:AB4"/>
    <mergeCell ref="M119:O119"/>
    <mergeCell ref="M118:O118"/>
    <mergeCell ref="T117:V117"/>
    <mergeCell ref="Y5:Y6"/>
    <mergeCell ref="A117:B120"/>
    <mergeCell ref="I114:L114"/>
    <mergeCell ref="Z86:AC86"/>
    <mergeCell ref="AH5:AH6"/>
    <mergeCell ref="AG5:AG6"/>
    <mergeCell ref="AF5:AF6"/>
    <mergeCell ref="F118:H118"/>
    <mergeCell ref="C4:D4"/>
    <mergeCell ref="E4:H4"/>
    <mergeCell ref="L4:O4"/>
    <mergeCell ref="I4:J4"/>
    <mergeCell ref="N5:O5"/>
  </mergeCells>
  <phoneticPr fontId="95" type="noConversion"/>
  <conditionalFormatting sqref="D13:D16 D19:D29 D33:D36 D39:D41 D46:D50 D53:D57 D60:D61 D63:D65 D70:D71 D73:D76 D79:D82 D111:D112 D87:D88 D93:D96 D99:D101 D104:D107 D84">
    <cfRule type="expression" dxfId="99" priority="38" stopIfTrue="1">
      <formula>C13&lt;50</formula>
    </cfRule>
    <cfRule type="expression" dxfId="98" priority="39" stopIfTrue="1">
      <formula>(D13/C13)&gt;0.45</formula>
    </cfRule>
    <cfRule type="expression" dxfId="97" priority="40" stopIfTrue="1">
      <formula>(D13/C13)&lt;0.25</formula>
    </cfRule>
  </conditionalFormatting>
  <conditionalFormatting sqref="T51">
    <cfRule type="expression" dxfId="96" priority="46" stopIfTrue="1">
      <formula>T51-SUM(AB53:AB55)&lt;0</formula>
    </cfRule>
  </conditionalFormatting>
  <conditionalFormatting sqref="P117">
    <cfRule type="expression" dxfId="95" priority="47" stopIfTrue="1">
      <formula>ABS(P117-W116)&lt;10000</formula>
    </cfRule>
    <cfRule type="expression" dxfId="94" priority="48" stopIfTrue="1">
      <formula>ABS((P117-W116)/W116)&gt;0.05</formula>
    </cfRule>
  </conditionalFormatting>
  <conditionalFormatting sqref="W116">
    <cfRule type="expression" dxfId="93" priority="49" stopIfTrue="1">
      <formula>ABS(P117-W116)&lt;10000</formula>
    </cfRule>
    <cfRule type="expression" dxfId="92" priority="50" stopIfTrue="1">
      <formula>ABS((P117-W116)/W116)&gt;0.05</formula>
    </cfRule>
  </conditionalFormatting>
  <conditionalFormatting sqref="P111">
    <cfRule type="expression" dxfId="91" priority="51" stopIfTrue="1">
      <formula>ABS(P111-W111)&lt;10000</formula>
    </cfRule>
    <cfRule type="expression" dxfId="90" priority="52" stopIfTrue="1">
      <formula>ABS((P111-W111)/W111)&gt;0.05</formula>
    </cfRule>
  </conditionalFormatting>
  <conditionalFormatting sqref="W111">
    <cfRule type="expression" dxfId="89" priority="73" stopIfTrue="1">
      <formula>ABS(P111-W111)&lt;10000</formula>
    </cfRule>
    <cfRule type="expression" dxfId="88" priority="74" stopIfTrue="1">
      <formula>ABS((P111-W111)/W111)&gt;0.05</formula>
    </cfRule>
  </conditionalFormatting>
  <conditionalFormatting sqref="P13:P14 P23:P24">
    <cfRule type="expression" dxfId="87" priority="56" stopIfTrue="1">
      <formula>$P$124&lt;100000</formula>
    </cfRule>
    <cfRule type="cellIs" dxfId="86" priority="57" stopIfTrue="1" operator="lessThan">
      <formula>1</formula>
    </cfRule>
  </conditionalFormatting>
  <conditionalFormatting sqref="P120:P122 C13:W113">
    <cfRule type="cellIs" dxfId="85" priority="31" stopIfTrue="1" operator="lessThan">
      <formula>-500</formula>
    </cfRule>
  </conditionalFormatting>
  <conditionalFormatting sqref="P118 W117:W118 I118">
    <cfRule type="cellIs" dxfId="84" priority="30" stopIfTrue="1" operator="lessThan">
      <formula>-500</formula>
    </cfRule>
  </conditionalFormatting>
  <conditionalFormatting sqref="H47">
    <cfRule type="cellIs" dxfId="83" priority="22" stopIfTrue="1" operator="greaterThan">
      <formula>$F$47</formula>
    </cfRule>
  </conditionalFormatting>
  <conditionalFormatting sqref="H50">
    <cfRule type="cellIs" dxfId="82" priority="20" stopIfTrue="1" operator="greaterThan">
      <formula>$F$50</formula>
    </cfRule>
  </conditionalFormatting>
  <conditionalFormatting sqref="R53">
    <cfRule type="cellIs" dxfId="81" priority="19" stopIfTrue="1" operator="greaterThan">
      <formula>100</formula>
    </cfRule>
  </conditionalFormatting>
  <conditionalFormatting sqref="R100">
    <cfRule type="expression" dxfId="80" priority="15" stopIfTrue="1">
      <formula>AND(C100&gt;5000,R100&lt;50)</formula>
    </cfRule>
  </conditionalFormatting>
  <conditionalFormatting sqref="R104">
    <cfRule type="expression" dxfId="79" priority="14" stopIfTrue="1">
      <formula>AND(C104&gt;5000,R104&lt;50)</formula>
    </cfRule>
  </conditionalFormatting>
  <conditionalFormatting sqref="R105">
    <cfRule type="expression" dxfId="78" priority="13" stopIfTrue="1">
      <formula>AND(C105&gt;5000,R105&lt;50)</formula>
    </cfRule>
  </conditionalFormatting>
  <conditionalFormatting sqref="R106">
    <cfRule type="expression" dxfId="77" priority="12" stopIfTrue="1">
      <formula>AND(C106&gt;5000,R106&lt;50)</formula>
    </cfRule>
  </conditionalFormatting>
  <conditionalFormatting sqref="R107">
    <cfRule type="expression" dxfId="76" priority="11" stopIfTrue="1">
      <formula>AND(C107&gt;5000,R107&lt;50)</formula>
    </cfRule>
  </conditionalFormatting>
  <conditionalFormatting sqref="R76">
    <cfRule type="expression" dxfId="75" priority="10" stopIfTrue="1">
      <formula>AND(C76&gt;5000,R76&lt;50)</formula>
    </cfRule>
  </conditionalFormatting>
  <conditionalFormatting sqref="R74">
    <cfRule type="expression" dxfId="74" priority="9" stopIfTrue="1">
      <formula>AND(C74&gt;5000,R74&lt;50)</formula>
    </cfRule>
  </conditionalFormatting>
  <conditionalFormatting sqref="R73">
    <cfRule type="expression" dxfId="73" priority="8" stopIfTrue="1">
      <formula>AND(C73&gt;5000,R73&lt;50)</formula>
    </cfRule>
  </conditionalFormatting>
  <conditionalFormatting sqref="R48">
    <cfRule type="expression" dxfId="72" priority="7" stopIfTrue="1">
      <formula>AND(C48&gt;5000,R48&lt;50)</formula>
    </cfRule>
  </conditionalFormatting>
  <conditionalFormatting sqref="Z18:AC18">
    <cfRule type="cellIs" dxfId="71" priority="5" stopIfTrue="1" operator="lessThan">
      <formula>-500</formula>
    </cfRule>
  </conditionalFormatting>
  <conditionalFormatting sqref="Z31:AC31">
    <cfRule type="cellIs" dxfId="70" priority="4" stopIfTrue="1" operator="lessThan">
      <formula>-500</formula>
    </cfRule>
  </conditionalFormatting>
  <conditionalFormatting sqref="Z44:AC44">
    <cfRule type="cellIs" dxfId="69" priority="3" stopIfTrue="1" operator="lessThan">
      <formula>-500</formula>
    </cfRule>
  </conditionalFormatting>
  <conditionalFormatting sqref="Z72:AC72">
    <cfRule type="cellIs" dxfId="68" priority="2" stopIfTrue="1" operator="lessThan">
      <formula>-500</formula>
    </cfRule>
  </conditionalFormatting>
  <conditionalFormatting sqref="Z52:AC52">
    <cfRule type="cellIs" dxfId="67" priority="1" stopIfTrue="1" operator="lessThan">
      <formula>-500</formula>
    </cfRule>
  </conditionalFormatting>
  <dataValidations count="1">
    <dataValidation type="decimal" operator="lessThan" allowBlank="1" showInputMessage="1" showErrorMessage="1" error="Beloppet ska vara i 1000 tal kr" sqref="V111 R111:U112 R93:V96 C93:N96 R99:V101 R84:V84 G114 R104:V107 C99:N101 C104:N107 C87:N88 C84:N84 I118 C79:N82 R79:V82 C111:O112 C63:N66 C70:N71 C73:N76 R73:V76 R70:V71 R63:V66 C13:N16 C19:N29 C33:N36 C39:N41 C46:N50 C53:N57 R53:V57 R46:V50 R39:V41 R33:V36 R19:V29 R13:V16 R60:V61 C60:N61 R87:V88 W117:W120 P118:P123">
      <formula1>99999999</formula1>
    </dataValidation>
  </dataValidations>
  <pageMargins left="0.43307086614173229" right="0.70866141732283472" top="0.43307086614173229" bottom="0" header="7.874015748031496E-2" footer="3.937007874015748E-2"/>
  <pageSetup paperSize="9" scale="83" orientation="landscape" r:id="rId4"/>
  <headerFooter>
    <oddHeader>&amp;LStatistiska Centralbyrån
Offentlig ekonomi</oddHeader>
  </headerFooter>
  <rowBreaks count="3" manualBreakCount="3">
    <brk id="43" max="16383" man="1"/>
    <brk id="68" max="16383" man="1"/>
    <brk id="90" max="16383" man="1"/>
  </rowBreaks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AD89"/>
  <sheetViews>
    <sheetView showGridLines="0" zoomScaleNormal="100" workbookViewId="0">
      <pane xSplit="2" ySplit="8" topLeftCell="C9" activePane="bottomRight" state="frozen"/>
      <selection activeCell="I28" sqref="I28"/>
      <selection pane="topRight" activeCell="I28" sqref="I28"/>
      <selection pane="bottomLeft" activeCell="I28" sqref="I28"/>
      <selection pane="bottomRight" activeCell="O21" sqref="O21"/>
    </sheetView>
  </sheetViews>
  <sheetFormatPr defaultColWidth="0" defaultRowHeight="9" zeroHeight="1"/>
  <cols>
    <col min="1" max="1" width="5.28515625" style="148" customWidth="1"/>
    <col min="2" max="2" width="30.85546875" style="148" customWidth="1"/>
    <col min="3" max="3" width="8.5703125" style="148" customWidth="1"/>
    <col min="4" max="4" width="8.7109375" style="148" customWidth="1"/>
    <col min="5" max="11" width="9.140625" style="148" customWidth="1"/>
    <col min="12" max="12" width="8" style="148" customWidth="1"/>
    <col min="13" max="13" width="9.140625" style="148" customWidth="1"/>
    <col min="14" max="14" width="8.28515625" style="148" customWidth="1"/>
    <col min="15" max="22" width="9.140625" style="148" customWidth="1"/>
    <col min="23" max="23" width="8.28515625" style="148" customWidth="1"/>
    <col min="24" max="24" width="8.140625" style="148" customWidth="1"/>
    <col min="25" max="27" width="9.140625" style="148" customWidth="1"/>
    <col min="28" max="28" width="8" style="148" customWidth="1"/>
    <col min="29" max="29" width="11.28515625" style="148" customWidth="1"/>
    <col min="30" max="30" width="25.7109375" style="148" customWidth="1"/>
    <col min="31" max="16384" width="0" style="148" hidden="1"/>
  </cols>
  <sheetData>
    <row r="1" spans="1:30" s="174" customFormat="1" ht="18.75" customHeight="1">
      <c r="A1" s="173"/>
      <c r="B1" s="83"/>
      <c r="C1" s="82" t="str">
        <f>"Motpartsredovisning "&amp;År&amp;", miljoner kr"</f>
        <v>Motpartsredovisning 2017, miljoner kr</v>
      </c>
      <c r="D1" s="83"/>
      <c r="E1" s="173"/>
      <c r="F1" s="173"/>
      <c r="G1" s="173"/>
      <c r="H1" s="173"/>
      <c r="I1" s="173"/>
      <c r="J1" s="519" t="s">
        <v>471</v>
      </c>
      <c r="K1" s="520" t="str">
        <f>'Kn Information'!A2</f>
        <v>RIKSTOTAL</v>
      </c>
      <c r="L1" s="173"/>
      <c r="M1" s="173"/>
      <c r="N1" s="82"/>
      <c r="O1" s="173"/>
      <c r="P1" s="173"/>
      <c r="Q1" s="173"/>
      <c r="R1" s="173"/>
      <c r="S1" s="82"/>
      <c r="T1" s="173"/>
      <c r="U1" s="173"/>
      <c r="V1" s="173"/>
      <c r="W1" s="173"/>
      <c r="X1" s="173"/>
      <c r="Y1" s="173"/>
      <c r="Z1" s="519" t="s">
        <v>471</v>
      </c>
      <c r="AA1" s="520"/>
      <c r="AB1" s="173"/>
      <c r="AC1" s="173"/>
      <c r="AD1" s="209"/>
    </row>
    <row r="2" spans="1:30" s="174" customFormat="1" ht="11.25" customHeight="1">
      <c r="A2" s="1290"/>
      <c r="C2" s="76"/>
      <c r="D2" s="1372"/>
      <c r="E2" s="150"/>
      <c r="J2" s="84"/>
      <c r="M2" s="209"/>
      <c r="N2" s="75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</row>
    <row r="3" spans="1:30" ht="11.25" customHeight="1" thickBot="1">
      <c r="C3" s="133"/>
      <c r="D3" s="2231"/>
      <c r="E3" s="2440"/>
      <c r="F3" s="2441"/>
      <c r="G3" s="2441"/>
      <c r="H3" s="2441"/>
      <c r="I3" s="2441"/>
      <c r="J3" s="84"/>
      <c r="K3" s="2437"/>
      <c r="L3" s="2437"/>
      <c r="M3" s="2437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</row>
    <row r="4" spans="1:30" s="1368" customFormat="1" ht="18" customHeight="1">
      <c r="A4" s="2444" t="s">
        <v>656</v>
      </c>
      <c r="B4" s="2445" t="s">
        <v>16</v>
      </c>
      <c r="C4" s="1354"/>
      <c r="D4" s="2438" t="s">
        <v>881</v>
      </c>
      <c r="E4" s="2439"/>
      <c r="F4" s="2439"/>
      <c r="G4" s="2439"/>
      <c r="H4" s="2439"/>
      <c r="I4" s="2439"/>
      <c r="J4" s="1364"/>
      <c r="K4" s="1364"/>
      <c r="L4" s="1364"/>
      <c r="M4" s="1366"/>
      <c r="N4" s="2443" t="s">
        <v>845</v>
      </c>
      <c r="O4" s="1364"/>
      <c r="P4" s="1364"/>
      <c r="Q4" s="1364"/>
      <c r="R4" s="1364"/>
      <c r="S4" s="1364"/>
      <c r="T4" s="1364"/>
      <c r="U4" s="1364"/>
      <c r="V4" s="1364"/>
      <c r="W4" s="1364"/>
      <c r="X4" s="1364"/>
      <c r="Y4" s="2443" t="s">
        <v>576</v>
      </c>
      <c r="Z4" s="1365"/>
      <c r="AA4" s="1366"/>
      <c r="AB4" s="1366"/>
      <c r="AC4" s="1367"/>
      <c r="AD4" s="271"/>
    </row>
    <row r="5" spans="1:30" ht="29.25" customHeight="1">
      <c r="A5" s="2268" t="s">
        <v>659</v>
      </c>
      <c r="B5" s="2446"/>
      <c r="C5" s="1486" t="s">
        <v>520</v>
      </c>
      <c r="D5" s="1078" t="s">
        <v>485</v>
      </c>
      <c r="E5" s="1073" t="s">
        <v>511</v>
      </c>
      <c r="F5" s="1073" t="s">
        <v>486</v>
      </c>
      <c r="G5" s="1073" t="s">
        <v>128</v>
      </c>
      <c r="H5" s="1073" t="s">
        <v>1141</v>
      </c>
      <c r="I5" s="1073" t="s">
        <v>487</v>
      </c>
      <c r="J5" s="1073" t="s">
        <v>912</v>
      </c>
      <c r="K5" s="1073" t="s">
        <v>913</v>
      </c>
      <c r="L5" s="1073" t="s">
        <v>154</v>
      </c>
      <c r="M5" s="1075" t="s">
        <v>531</v>
      </c>
      <c r="N5" s="1447" t="s">
        <v>520</v>
      </c>
      <c r="O5" s="1073" t="s">
        <v>485</v>
      </c>
      <c r="P5" s="1355" t="s">
        <v>511</v>
      </c>
      <c r="Q5" s="1355" t="s">
        <v>486</v>
      </c>
      <c r="R5" s="1355" t="s">
        <v>128</v>
      </c>
      <c r="S5" s="1355" t="s">
        <v>1141</v>
      </c>
      <c r="T5" s="1355" t="s">
        <v>913</v>
      </c>
      <c r="U5" s="1355" t="s">
        <v>914</v>
      </c>
      <c r="V5" s="1355" t="s">
        <v>912</v>
      </c>
      <c r="W5" s="1355" t="s">
        <v>154</v>
      </c>
      <c r="X5" s="1071" t="s">
        <v>531</v>
      </c>
      <c r="Y5" s="1072" t="s">
        <v>894</v>
      </c>
      <c r="Z5" s="1073" t="s">
        <v>488</v>
      </c>
      <c r="AA5" s="1074" t="s">
        <v>1270</v>
      </c>
      <c r="AB5" s="1074" t="s">
        <v>489</v>
      </c>
      <c r="AC5" s="1075" t="s">
        <v>490</v>
      </c>
      <c r="AD5" s="2442"/>
    </row>
    <row r="6" spans="1:30" ht="30.75" customHeight="1">
      <c r="A6" s="1079"/>
      <c r="B6" s="2463" t="s">
        <v>814</v>
      </c>
      <c r="C6" s="1446"/>
      <c r="D6" s="1656" t="s">
        <v>846</v>
      </c>
      <c r="E6" s="1657" t="s">
        <v>847</v>
      </c>
      <c r="F6" s="1657" t="s">
        <v>848</v>
      </c>
      <c r="G6" s="1657" t="s">
        <v>849</v>
      </c>
      <c r="H6" s="1657" t="s">
        <v>850</v>
      </c>
      <c r="I6" s="1657" t="s">
        <v>851</v>
      </c>
      <c r="J6" s="1657" t="s">
        <v>852</v>
      </c>
      <c r="K6" s="1657" t="s">
        <v>853</v>
      </c>
      <c r="L6" s="1657" t="s">
        <v>854</v>
      </c>
      <c r="M6" s="1076"/>
      <c r="N6" s="1448"/>
      <c r="O6" s="1656" t="s">
        <v>846</v>
      </c>
      <c r="P6" s="1657" t="s">
        <v>847</v>
      </c>
      <c r="Q6" s="1657" t="s">
        <v>848</v>
      </c>
      <c r="R6" s="1657" t="s">
        <v>849</v>
      </c>
      <c r="S6" s="1657" t="s">
        <v>850</v>
      </c>
      <c r="T6" s="1657" t="s">
        <v>853</v>
      </c>
      <c r="U6" s="1657" t="s">
        <v>851</v>
      </c>
      <c r="V6" s="1657" t="s">
        <v>852</v>
      </c>
      <c r="W6" s="1657" t="s">
        <v>854</v>
      </c>
      <c r="X6" s="1076"/>
      <c r="Y6" s="1661" t="s">
        <v>855</v>
      </c>
      <c r="Z6" s="1662" t="s">
        <v>856</v>
      </c>
      <c r="AA6" s="1657" t="s">
        <v>857</v>
      </c>
      <c r="AB6" s="1657" t="s">
        <v>135</v>
      </c>
      <c r="AC6" s="1663" t="s">
        <v>915</v>
      </c>
      <c r="AD6" s="95"/>
    </row>
    <row r="7" spans="1:30" ht="4.5" customHeight="1">
      <c r="A7" s="1080"/>
      <c r="B7" s="1658"/>
      <c r="C7" s="1659"/>
      <c r="D7" s="1651"/>
      <c r="E7" s="1652"/>
      <c r="F7" s="1652"/>
      <c r="G7" s="1652"/>
      <c r="H7" s="1652"/>
      <c r="I7" s="1652"/>
      <c r="J7" s="1652"/>
      <c r="K7" s="1652"/>
      <c r="L7" s="1660"/>
      <c r="M7" s="1076"/>
      <c r="N7" s="1650"/>
      <c r="O7" s="1651"/>
      <c r="P7" s="1652"/>
      <c r="Q7" s="1652"/>
      <c r="R7" s="1652"/>
      <c r="S7" s="1652"/>
      <c r="T7" s="1652"/>
      <c r="U7" s="1653"/>
      <c r="V7" s="1652"/>
      <c r="W7" s="566"/>
      <c r="X7" s="1076"/>
      <c r="Y7" s="1664"/>
      <c r="Z7" s="1665"/>
      <c r="AA7" s="1665"/>
      <c r="AB7" s="1666"/>
      <c r="AC7" s="1667"/>
      <c r="AD7" s="95"/>
    </row>
    <row r="8" spans="1:30" ht="12" hidden="1" customHeight="1">
      <c r="A8" s="1079"/>
      <c r="B8" s="1654"/>
      <c r="C8" s="1655"/>
      <c r="D8" s="1640"/>
      <c r="E8" s="1641"/>
      <c r="F8" s="1641"/>
      <c r="G8" s="1641"/>
      <c r="H8" s="1641"/>
      <c r="I8" s="1641"/>
      <c r="J8" s="1641"/>
      <c r="K8" s="1641"/>
      <c r="L8" s="1642"/>
      <c r="M8" s="1077"/>
      <c r="N8" s="1643"/>
      <c r="O8" s="1640"/>
      <c r="P8" s="1641"/>
      <c r="Q8" s="1641"/>
      <c r="R8" s="1641"/>
      <c r="S8" s="1641"/>
      <c r="T8" s="1641"/>
      <c r="U8" s="1644"/>
      <c r="V8" s="1641"/>
      <c r="W8" s="1645"/>
      <c r="X8" s="1077"/>
      <c r="Y8" s="1646"/>
      <c r="Z8" s="1647"/>
      <c r="AA8" s="1647"/>
      <c r="AB8" s="1648"/>
      <c r="AC8" s="1649"/>
      <c r="AD8" s="1964"/>
    </row>
    <row r="9" spans="1:30" ht="14.25" customHeight="1">
      <c r="A9" s="1578">
        <v>190</v>
      </c>
      <c r="B9" s="1082" t="s">
        <v>18</v>
      </c>
      <c r="C9" s="88">
        <f>Drift!F17</f>
        <v>159</v>
      </c>
      <c r="D9" s="66">
        <v>4</v>
      </c>
      <c r="E9" s="66">
        <v>0</v>
      </c>
      <c r="F9" s="66">
        <v>17</v>
      </c>
      <c r="G9" s="66">
        <v>122</v>
      </c>
      <c r="H9" s="66">
        <v>2</v>
      </c>
      <c r="I9" s="66">
        <v>0</v>
      </c>
      <c r="J9" s="2464">
        <v>0</v>
      </c>
      <c r="K9" s="190">
        <v>14</v>
      </c>
      <c r="L9" s="190">
        <v>0</v>
      </c>
      <c r="M9" s="443">
        <f>C9-SUM(D9:L9)</f>
        <v>0</v>
      </c>
      <c r="N9" s="444">
        <f>Drift!H17</f>
        <v>589</v>
      </c>
      <c r="O9" s="66">
        <v>471</v>
      </c>
      <c r="P9" s="66">
        <v>6</v>
      </c>
      <c r="Q9" s="66">
        <v>50</v>
      </c>
      <c r="R9" s="66">
        <v>15</v>
      </c>
      <c r="S9" s="66">
        <v>3</v>
      </c>
      <c r="T9" s="66">
        <v>32</v>
      </c>
      <c r="U9" s="66">
        <v>4</v>
      </c>
      <c r="V9" s="66">
        <v>6</v>
      </c>
      <c r="W9" s="66">
        <v>2</v>
      </c>
      <c r="X9" s="443">
        <f>N9-SUM(O9:W9)</f>
        <v>0</v>
      </c>
      <c r="Y9" s="446">
        <v>135</v>
      </c>
      <c r="Z9" s="66">
        <v>0</v>
      </c>
      <c r="AA9" s="66">
        <v>415</v>
      </c>
      <c r="AB9" s="66">
        <v>1</v>
      </c>
      <c r="AC9" s="105">
        <v>27</v>
      </c>
      <c r="AD9" s="530"/>
    </row>
    <row r="10" spans="1:30" ht="12.95" customHeight="1">
      <c r="A10" s="561" t="s">
        <v>234</v>
      </c>
      <c r="B10" s="568" t="s">
        <v>153</v>
      </c>
      <c r="C10" s="88">
        <f>Drift!F30</f>
        <v>7612</v>
      </c>
      <c r="D10" s="54">
        <v>51</v>
      </c>
      <c r="E10" s="54">
        <v>1004</v>
      </c>
      <c r="F10" s="54">
        <v>2876</v>
      </c>
      <c r="G10" s="54">
        <v>423</v>
      </c>
      <c r="H10" s="54">
        <v>1</v>
      </c>
      <c r="I10" s="54">
        <v>55</v>
      </c>
      <c r="J10" s="2452">
        <v>0</v>
      </c>
      <c r="K10" s="55">
        <v>3198</v>
      </c>
      <c r="L10" s="190">
        <v>4</v>
      </c>
      <c r="M10" s="443">
        <f t="shared" ref="M10:M39" si="0">C10-SUM(D10:L10)</f>
        <v>0</v>
      </c>
      <c r="N10" s="444">
        <f>Drift!H30</f>
        <v>2948</v>
      </c>
      <c r="O10" s="54">
        <v>504</v>
      </c>
      <c r="P10" s="54">
        <v>627</v>
      </c>
      <c r="Q10" s="54">
        <v>344</v>
      </c>
      <c r="R10" s="54">
        <v>22</v>
      </c>
      <c r="S10" s="54">
        <v>6</v>
      </c>
      <c r="T10" s="54">
        <v>966</v>
      </c>
      <c r="U10" s="54">
        <v>438</v>
      </c>
      <c r="V10" s="54">
        <v>35</v>
      </c>
      <c r="W10" s="54">
        <v>6</v>
      </c>
      <c r="X10" s="443">
        <f t="shared" ref="X10:X39" si="1">N10-SUM(O10:W10)</f>
        <v>0</v>
      </c>
      <c r="Y10" s="447">
        <v>323</v>
      </c>
      <c r="Z10" s="54">
        <v>13</v>
      </c>
      <c r="AA10" s="54">
        <v>1227</v>
      </c>
      <c r="AB10" s="54">
        <v>118</v>
      </c>
      <c r="AC10" s="182">
        <v>1356</v>
      </c>
      <c r="AD10" s="530"/>
    </row>
    <row r="11" spans="1:30" ht="12.95" customHeight="1">
      <c r="A11" s="561">
        <v>339</v>
      </c>
      <c r="B11" s="568" t="s">
        <v>75</v>
      </c>
      <c r="C11" s="88">
        <f>Drift!F37</f>
        <v>227</v>
      </c>
      <c r="D11" s="66">
        <v>49</v>
      </c>
      <c r="E11" s="66">
        <v>21</v>
      </c>
      <c r="F11" s="66">
        <v>105</v>
      </c>
      <c r="G11" s="66">
        <v>9</v>
      </c>
      <c r="H11" s="66">
        <v>2</v>
      </c>
      <c r="I11" s="66">
        <v>1</v>
      </c>
      <c r="J11" s="2464">
        <v>0</v>
      </c>
      <c r="K11" s="190">
        <v>39</v>
      </c>
      <c r="L11" s="190">
        <v>1</v>
      </c>
      <c r="M11" s="443">
        <f t="shared" si="0"/>
        <v>0</v>
      </c>
      <c r="N11" s="444">
        <f>Drift!H37</f>
        <v>1596</v>
      </c>
      <c r="O11" s="66">
        <v>999</v>
      </c>
      <c r="P11" s="66">
        <v>191</v>
      </c>
      <c r="Q11" s="66">
        <v>328</v>
      </c>
      <c r="R11" s="66">
        <v>2</v>
      </c>
      <c r="S11" s="66">
        <v>23</v>
      </c>
      <c r="T11" s="66">
        <v>4</v>
      </c>
      <c r="U11" s="66">
        <v>18</v>
      </c>
      <c r="V11" s="66">
        <v>26</v>
      </c>
      <c r="W11" s="66">
        <v>5</v>
      </c>
      <c r="X11" s="443">
        <f t="shared" si="1"/>
        <v>0</v>
      </c>
      <c r="Y11" s="446">
        <v>8</v>
      </c>
      <c r="Z11" s="66">
        <v>5</v>
      </c>
      <c r="AA11" s="66">
        <v>375</v>
      </c>
      <c r="AB11" s="66">
        <v>8</v>
      </c>
      <c r="AC11" s="105">
        <v>411</v>
      </c>
      <c r="AD11" s="530"/>
    </row>
    <row r="12" spans="1:30" ht="12.95" customHeight="1">
      <c r="A12" s="561">
        <v>359</v>
      </c>
      <c r="B12" s="568" t="s">
        <v>136</v>
      </c>
      <c r="C12" s="88">
        <f>Drift!F42</f>
        <v>734</v>
      </c>
      <c r="D12" s="66">
        <v>218</v>
      </c>
      <c r="E12" s="66">
        <v>132</v>
      </c>
      <c r="F12" s="66">
        <v>352</v>
      </c>
      <c r="G12" s="66">
        <v>18</v>
      </c>
      <c r="H12" s="66">
        <v>0</v>
      </c>
      <c r="I12" s="66">
        <v>1</v>
      </c>
      <c r="J12" s="2464">
        <v>0</v>
      </c>
      <c r="K12" s="190">
        <v>13</v>
      </c>
      <c r="L12" s="190">
        <v>0</v>
      </c>
      <c r="M12" s="443">
        <f t="shared" si="0"/>
        <v>0</v>
      </c>
      <c r="N12" s="444">
        <f>Drift!H42</f>
        <v>2027</v>
      </c>
      <c r="O12" s="66">
        <v>1781</v>
      </c>
      <c r="P12" s="66">
        <v>59</v>
      </c>
      <c r="Q12" s="66">
        <v>162</v>
      </c>
      <c r="R12" s="66">
        <v>5</v>
      </c>
      <c r="S12" s="66">
        <v>1</v>
      </c>
      <c r="T12" s="66">
        <v>0</v>
      </c>
      <c r="U12" s="66">
        <v>6</v>
      </c>
      <c r="V12" s="66">
        <v>11</v>
      </c>
      <c r="W12" s="66">
        <v>2</v>
      </c>
      <c r="X12" s="443">
        <f t="shared" si="1"/>
        <v>0</v>
      </c>
      <c r="Y12" s="446">
        <v>18</v>
      </c>
      <c r="Z12" s="66">
        <v>2</v>
      </c>
      <c r="AA12" s="66">
        <v>258</v>
      </c>
      <c r="AB12" s="66">
        <v>5</v>
      </c>
      <c r="AC12" s="105">
        <v>119</v>
      </c>
      <c r="AD12" s="530"/>
    </row>
    <row r="13" spans="1:30" ht="12.95" customHeight="1">
      <c r="A13" s="561">
        <v>407</v>
      </c>
      <c r="B13" s="568" t="s">
        <v>84</v>
      </c>
      <c r="C13" s="88">
        <f>Drift!F47</f>
        <v>14829</v>
      </c>
      <c r="D13" s="54">
        <v>4329</v>
      </c>
      <c r="E13" s="54">
        <v>10</v>
      </c>
      <c r="F13" s="54">
        <v>10108</v>
      </c>
      <c r="G13" s="54">
        <v>358</v>
      </c>
      <c r="H13" s="54">
        <v>2</v>
      </c>
      <c r="I13" s="54">
        <v>19</v>
      </c>
      <c r="J13" s="2452">
        <v>0</v>
      </c>
      <c r="K13" s="55">
        <v>3</v>
      </c>
      <c r="L13" s="190">
        <v>0</v>
      </c>
      <c r="M13" s="1316">
        <f>C13-SUM(D13:L13)</f>
        <v>0</v>
      </c>
      <c r="N13" s="444">
        <f>Drift!H47</f>
        <v>10</v>
      </c>
      <c r="O13" s="54">
        <v>5</v>
      </c>
      <c r="P13" s="54">
        <v>0</v>
      </c>
      <c r="Q13" s="54">
        <v>2</v>
      </c>
      <c r="R13" s="54">
        <v>0</v>
      </c>
      <c r="S13" s="54">
        <v>0</v>
      </c>
      <c r="T13" s="54">
        <v>0</v>
      </c>
      <c r="U13" s="54">
        <v>0</v>
      </c>
      <c r="V13" s="54">
        <v>3</v>
      </c>
      <c r="W13" s="54">
        <v>0</v>
      </c>
      <c r="X13" s="443">
        <f t="shared" si="1"/>
        <v>0</v>
      </c>
      <c r="Y13" s="447">
        <v>350</v>
      </c>
      <c r="Z13" s="54">
        <v>4</v>
      </c>
      <c r="AA13" s="54">
        <v>4279</v>
      </c>
      <c r="AB13" s="54">
        <v>13</v>
      </c>
      <c r="AC13" s="105">
        <v>900</v>
      </c>
      <c r="AD13" s="530"/>
    </row>
    <row r="14" spans="1:30" ht="12.95" customHeight="1">
      <c r="A14" s="561">
        <v>412</v>
      </c>
      <c r="B14" s="568" t="s">
        <v>85</v>
      </c>
      <c r="C14" s="88">
        <f>Drift!F48</f>
        <v>657</v>
      </c>
      <c r="D14" s="54">
        <v>66</v>
      </c>
      <c r="E14" s="54">
        <v>0</v>
      </c>
      <c r="F14" s="54">
        <v>586</v>
      </c>
      <c r="G14" s="54">
        <v>5</v>
      </c>
      <c r="H14" s="54">
        <v>0</v>
      </c>
      <c r="I14" s="54">
        <v>0</v>
      </c>
      <c r="J14" s="2452">
        <v>0</v>
      </c>
      <c r="K14" s="55">
        <v>0</v>
      </c>
      <c r="L14" s="190">
        <v>0</v>
      </c>
      <c r="M14" s="1316">
        <f t="shared" si="0"/>
        <v>0</v>
      </c>
      <c r="N14" s="444">
        <f>Drift!H48</f>
        <v>9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1</v>
      </c>
      <c r="V14" s="54">
        <v>8</v>
      </c>
      <c r="W14" s="54">
        <v>0</v>
      </c>
      <c r="X14" s="443">
        <f t="shared" si="1"/>
        <v>0</v>
      </c>
      <c r="Y14" s="447">
        <v>7</v>
      </c>
      <c r="Z14" s="54">
        <v>0</v>
      </c>
      <c r="AA14" s="54">
        <v>28</v>
      </c>
      <c r="AB14" s="54">
        <v>0</v>
      </c>
      <c r="AC14" s="105">
        <v>31</v>
      </c>
      <c r="AD14" s="530"/>
    </row>
    <row r="15" spans="1:30" ht="12.95" customHeight="1">
      <c r="A15" s="561">
        <v>425</v>
      </c>
      <c r="B15" s="568" t="s">
        <v>87</v>
      </c>
      <c r="C15" s="88">
        <f>Drift!F50</f>
        <v>2250</v>
      </c>
      <c r="D15" s="54">
        <v>661</v>
      </c>
      <c r="E15" s="54">
        <v>0</v>
      </c>
      <c r="F15" s="54">
        <v>1384</v>
      </c>
      <c r="G15" s="54">
        <v>161</v>
      </c>
      <c r="H15" s="54">
        <v>0</v>
      </c>
      <c r="I15" s="54">
        <v>44</v>
      </c>
      <c r="J15" s="2452">
        <v>0</v>
      </c>
      <c r="K15" s="55">
        <v>0</v>
      </c>
      <c r="L15" s="190">
        <v>0</v>
      </c>
      <c r="M15" s="1316">
        <f>C15-SUM(D15:L15)</f>
        <v>0</v>
      </c>
      <c r="N15" s="444">
        <f>Drift!H50</f>
        <v>2</v>
      </c>
      <c r="O15" s="54">
        <v>0</v>
      </c>
      <c r="P15" s="54">
        <v>2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443">
        <f t="shared" si="1"/>
        <v>0</v>
      </c>
      <c r="Y15" s="447">
        <v>148</v>
      </c>
      <c r="Z15" s="54">
        <v>0</v>
      </c>
      <c r="AA15" s="54">
        <v>1138</v>
      </c>
      <c r="AB15" s="54">
        <v>1</v>
      </c>
      <c r="AC15" s="105">
        <v>132</v>
      </c>
      <c r="AD15" s="530"/>
    </row>
    <row r="16" spans="1:30" ht="20.25" customHeight="1">
      <c r="A16" s="561">
        <v>419</v>
      </c>
      <c r="B16" s="568" t="s">
        <v>160</v>
      </c>
      <c r="C16" s="88">
        <f>SUM(Drift!F46,Drift!F49)</f>
        <v>75</v>
      </c>
      <c r="D16" s="54">
        <v>40</v>
      </c>
      <c r="E16" s="54">
        <v>0</v>
      </c>
      <c r="F16" s="54">
        <v>34</v>
      </c>
      <c r="G16" s="54">
        <v>1</v>
      </c>
      <c r="H16" s="54">
        <v>0</v>
      </c>
      <c r="I16" s="54">
        <v>0</v>
      </c>
      <c r="J16" s="2452">
        <v>0</v>
      </c>
      <c r="K16" s="55">
        <v>0</v>
      </c>
      <c r="L16" s="190">
        <v>0</v>
      </c>
      <c r="M16" s="1316">
        <f t="shared" si="0"/>
        <v>0</v>
      </c>
      <c r="N16" s="444">
        <f>SUM(Drift!H46,Drift!H49)</f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443">
        <f t="shared" si="1"/>
        <v>0</v>
      </c>
      <c r="Y16" s="447">
        <v>2</v>
      </c>
      <c r="Z16" s="54">
        <v>1</v>
      </c>
      <c r="AA16" s="54">
        <v>9</v>
      </c>
      <c r="AB16" s="54">
        <v>0</v>
      </c>
      <c r="AC16" s="105">
        <v>6</v>
      </c>
      <c r="AD16" s="530"/>
    </row>
    <row r="17" spans="1:30" ht="12.95" customHeight="1">
      <c r="A17" s="561">
        <v>435</v>
      </c>
      <c r="B17" s="568" t="s">
        <v>495</v>
      </c>
      <c r="C17" s="88">
        <f>Drift!F53</f>
        <v>883</v>
      </c>
      <c r="D17" s="54">
        <v>267</v>
      </c>
      <c r="E17" s="54">
        <v>0</v>
      </c>
      <c r="F17" s="54">
        <v>560</v>
      </c>
      <c r="G17" s="54">
        <v>46</v>
      </c>
      <c r="H17" s="54">
        <v>1</v>
      </c>
      <c r="I17" s="54">
        <v>9</v>
      </c>
      <c r="J17" s="2452">
        <v>0</v>
      </c>
      <c r="K17" s="55">
        <v>0</v>
      </c>
      <c r="L17" s="190">
        <v>0</v>
      </c>
      <c r="M17" s="1316">
        <f t="shared" si="0"/>
        <v>0</v>
      </c>
      <c r="N17" s="444">
        <f>Drift!H53</f>
        <v>1</v>
      </c>
      <c r="O17" s="54">
        <v>0</v>
      </c>
      <c r="P17" s="54">
        <v>1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443">
        <f t="shared" si="1"/>
        <v>0</v>
      </c>
      <c r="Y17" s="447">
        <v>43</v>
      </c>
      <c r="Z17" s="54">
        <v>0</v>
      </c>
      <c r="AA17" s="54">
        <v>257</v>
      </c>
      <c r="AB17" s="54">
        <v>1</v>
      </c>
      <c r="AC17" s="105">
        <v>52</v>
      </c>
      <c r="AD17" s="530"/>
    </row>
    <row r="18" spans="1:30" ht="12.95" customHeight="1">
      <c r="A18" s="561">
        <v>440</v>
      </c>
      <c r="B18" s="568" t="s">
        <v>387</v>
      </c>
      <c r="C18" s="88">
        <f>Drift!F54</f>
        <v>16592</v>
      </c>
      <c r="D18" s="54">
        <v>3964</v>
      </c>
      <c r="E18" s="54">
        <v>14</v>
      </c>
      <c r="F18" s="54">
        <v>10937</v>
      </c>
      <c r="G18" s="54">
        <v>1373</v>
      </c>
      <c r="H18" s="54">
        <v>25</v>
      </c>
      <c r="I18" s="54">
        <v>261</v>
      </c>
      <c r="J18" s="2452">
        <v>0</v>
      </c>
      <c r="K18" s="55">
        <v>15</v>
      </c>
      <c r="L18" s="190">
        <v>3</v>
      </c>
      <c r="M18" s="1316">
        <f t="shared" si="0"/>
        <v>0</v>
      </c>
      <c r="N18" s="444">
        <f>Drift!H54</f>
        <v>47</v>
      </c>
      <c r="O18" s="54">
        <v>16</v>
      </c>
      <c r="P18" s="54">
        <v>8</v>
      </c>
      <c r="Q18" s="54">
        <v>8</v>
      </c>
      <c r="R18" s="54">
        <v>2</v>
      </c>
      <c r="S18" s="54">
        <v>0</v>
      </c>
      <c r="T18" s="54">
        <v>4</v>
      </c>
      <c r="U18" s="54">
        <v>4</v>
      </c>
      <c r="V18" s="54">
        <v>5</v>
      </c>
      <c r="W18" s="54">
        <v>0</v>
      </c>
      <c r="X18" s="443">
        <f t="shared" si="1"/>
        <v>0</v>
      </c>
      <c r="Y18" s="447">
        <v>1331</v>
      </c>
      <c r="Z18" s="54">
        <v>3</v>
      </c>
      <c r="AA18" s="54">
        <v>8780</v>
      </c>
      <c r="AB18" s="54">
        <v>39</v>
      </c>
      <c r="AC18" s="105">
        <v>1032</v>
      </c>
      <c r="AD18" s="530"/>
    </row>
    <row r="19" spans="1:30" ht="12.95" customHeight="1">
      <c r="A19" s="561">
        <v>443</v>
      </c>
      <c r="B19" s="568" t="s">
        <v>641</v>
      </c>
      <c r="C19" s="88">
        <f>Drift!F55</f>
        <v>559</v>
      </c>
      <c r="D19" s="54">
        <v>62</v>
      </c>
      <c r="E19" s="54">
        <v>0</v>
      </c>
      <c r="F19" s="54">
        <v>209</v>
      </c>
      <c r="G19" s="54">
        <v>274</v>
      </c>
      <c r="H19" s="54">
        <v>1</v>
      </c>
      <c r="I19" s="54">
        <v>9</v>
      </c>
      <c r="J19" s="2452">
        <v>0</v>
      </c>
      <c r="K19" s="55">
        <v>4</v>
      </c>
      <c r="L19" s="190">
        <v>0</v>
      </c>
      <c r="M19" s="1316">
        <f t="shared" si="0"/>
        <v>0</v>
      </c>
      <c r="N19" s="444">
        <f>Drift!H55</f>
        <v>1</v>
      </c>
      <c r="O19" s="54">
        <v>1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443">
        <f t="shared" si="1"/>
        <v>0</v>
      </c>
      <c r="Y19" s="447">
        <v>302</v>
      </c>
      <c r="Z19" s="54">
        <v>0</v>
      </c>
      <c r="AA19" s="54">
        <v>107</v>
      </c>
      <c r="AB19" s="54">
        <v>0</v>
      </c>
      <c r="AC19" s="105">
        <v>24</v>
      </c>
      <c r="AD19" s="530"/>
    </row>
    <row r="20" spans="1:30" ht="12.95" customHeight="1">
      <c r="A20" s="561">
        <v>450</v>
      </c>
      <c r="B20" s="568" t="s">
        <v>137</v>
      </c>
      <c r="C20" s="88">
        <f>Drift!F56</f>
        <v>19217</v>
      </c>
      <c r="D20" s="54">
        <v>1052</v>
      </c>
      <c r="E20" s="54">
        <v>19</v>
      </c>
      <c r="F20" s="54">
        <v>8421</v>
      </c>
      <c r="G20" s="54">
        <v>6773</v>
      </c>
      <c r="H20" s="54">
        <v>380</v>
      </c>
      <c r="I20" s="54">
        <v>114</v>
      </c>
      <c r="J20" s="2452">
        <v>0</v>
      </c>
      <c r="K20" s="55">
        <v>2444</v>
      </c>
      <c r="L20" s="190">
        <v>14</v>
      </c>
      <c r="M20" s="1316">
        <f t="shared" si="0"/>
        <v>0</v>
      </c>
      <c r="N20" s="444">
        <f>Drift!H56</f>
        <v>271</v>
      </c>
      <c r="O20" s="54">
        <v>14</v>
      </c>
      <c r="P20" s="54">
        <v>2</v>
      </c>
      <c r="Q20" s="54">
        <v>75</v>
      </c>
      <c r="R20" s="54">
        <v>7</v>
      </c>
      <c r="S20" s="54">
        <v>0</v>
      </c>
      <c r="T20" s="54">
        <v>3</v>
      </c>
      <c r="U20" s="54">
        <v>6</v>
      </c>
      <c r="V20" s="54">
        <v>162</v>
      </c>
      <c r="W20" s="54">
        <v>2</v>
      </c>
      <c r="X20" s="443">
        <f t="shared" si="1"/>
        <v>0</v>
      </c>
      <c r="Y20" s="447">
        <v>6931</v>
      </c>
      <c r="Z20" s="54">
        <v>11</v>
      </c>
      <c r="AA20" s="54">
        <v>3507</v>
      </c>
      <c r="AB20" s="54">
        <v>57</v>
      </c>
      <c r="AC20" s="105">
        <v>693</v>
      </c>
      <c r="AD20" s="530"/>
    </row>
    <row r="21" spans="1:30" ht="12.95" customHeight="1">
      <c r="A21" s="561">
        <v>453</v>
      </c>
      <c r="B21" s="568" t="s">
        <v>138</v>
      </c>
      <c r="C21" s="88">
        <f>Drift!F57</f>
        <v>982</v>
      </c>
      <c r="D21" s="54">
        <v>54</v>
      </c>
      <c r="E21" s="54">
        <v>0</v>
      </c>
      <c r="F21" s="54">
        <v>206</v>
      </c>
      <c r="G21" s="54">
        <v>528</v>
      </c>
      <c r="H21" s="54">
        <v>48</v>
      </c>
      <c r="I21" s="54">
        <v>2</v>
      </c>
      <c r="J21" s="2452">
        <v>0</v>
      </c>
      <c r="K21" s="55">
        <v>144</v>
      </c>
      <c r="L21" s="190">
        <v>0</v>
      </c>
      <c r="M21" s="1316">
        <f t="shared" si="0"/>
        <v>0</v>
      </c>
      <c r="N21" s="444">
        <f>Drift!H57</f>
        <v>2</v>
      </c>
      <c r="O21" s="54">
        <v>1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1</v>
      </c>
      <c r="W21" s="54">
        <v>0</v>
      </c>
      <c r="X21" s="443">
        <f t="shared" si="1"/>
        <v>0</v>
      </c>
      <c r="Y21" s="447">
        <v>537</v>
      </c>
      <c r="Z21" s="54">
        <v>0</v>
      </c>
      <c r="AA21" s="54">
        <v>56</v>
      </c>
      <c r="AB21" s="54">
        <v>0</v>
      </c>
      <c r="AC21" s="105">
        <v>21</v>
      </c>
      <c r="AD21" s="530"/>
    </row>
    <row r="22" spans="1:30" ht="12.95" customHeight="1">
      <c r="A22" s="561" t="s">
        <v>502</v>
      </c>
      <c r="B22" s="568" t="s">
        <v>388</v>
      </c>
      <c r="C22" s="88">
        <f>Drift!F60</f>
        <v>359</v>
      </c>
      <c r="D22" s="54">
        <v>29</v>
      </c>
      <c r="E22" s="54">
        <v>3</v>
      </c>
      <c r="F22" s="54">
        <v>156</v>
      </c>
      <c r="G22" s="54">
        <v>65</v>
      </c>
      <c r="H22" s="54">
        <v>0</v>
      </c>
      <c r="I22" s="54">
        <v>0</v>
      </c>
      <c r="J22" s="2452">
        <v>0</v>
      </c>
      <c r="K22" s="55">
        <v>106</v>
      </c>
      <c r="L22" s="190">
        <v>0</v>
      </c>
      <c r="M22" s="1316">
        <f t="shared" si="0"/>
        <v>0</v>
      </c>
      <c r="N22" s="444">
        <f>Drift!H60</f>
        <v>1</v>
      </c>
      <c r="O22" s="54">
        <v>0</v>
      </c>
      <c r="P22" s="54">
        <v>1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443">
        <f t="shared" si="1"/>
        <v>0</v>
      </c>
      <c r="Y22" s="447">
        <v>45</v>
      </c>
      <c r="Z22" s="54">
        <v>0</v>
      </c>
      <c r="AA22" s="54">
        <v>60</v>
      </c>
      <c r="AB22" s="54">
        <v>1</v>
      </c>
      <c r="AC22" s="105">
        <v>22</v>
      </c>
      <c r="AD22" s="530"/>
    </row>
    <row r="23" spans="1:30" ht="12.95" customHeight="1">
      <c r="A23" s="561" t="s">
        <v>503</v>
      </c>
      <c r="B23" s="568" t="s">
        <v>389</v>
      </c>
      <c r="C23" s="88">
        <f>Drift!F61</f>
        <v>1713</v>
      </c>
      <c r="D23" s="54">
        <v>54</v>
      </c>
      <c r="E23" s="54">
        <v>6</v>
      </c>
      <c r="F23" s="54">
        <v>1130</v>
      </c>
      <c r="G23" s="54">
        <v>279</v>
      </c>
      <c r="H23" s="54">
        <v>20</v>
      </c>
      <c r="I23" s="54">
        <v>9</v>
      </c>
      <c r="J23" s="2452">
        <v>0</v>
      </c>
      <c r="K23" s="55">
        <v>215</v>
      </c>
      <c r="L23" s="190">
        <v>0</v>
      </c>
      <c r="M23" s="1316">
        <f t="shared" si="0"/>
        <v>0</v>
      </c>
      <c r="N23" s="444">
        <f>Drift!H61</f>
        <v>7</v>
      </c>
      <c r="O23" s="54">
        <v>1</v>
      </c>
      <c r="P23" s="54">
        <v>0</v>
      </c>
      <c r="Q23" s="54">
        <v>1</v>
      </c>
      <c r="R23" s="54">
        <v>2</v>
      </c>
      <c r="S23" s="54">
        <v>0</v>
      </c>
      <c r="T23" s="54">
        <v>1</v>
      </c>
      <c r="U23" s="54">
        <v>0</v>
      </c>
      <c r="V23" s="54">
        <v>2</v>
      </c>
      <c r="W23" s="54">
        <v>0</v>
      </c>
      <c r="X23" s="443">
        <f t="shared" si="1"/>
        <v>0</v>
      </c>
      <c r="Y23" s="447">
        <v>227</v>
      </c>
      <c r="Z23" s="54">
        <v>1</v>
      </c>
      <c r="AA23" s="54">
        <v>996</v>
      </c>
      <c r="AB23" s="54">
        <v>25</v>
      </c>
      <c r="AC23" s="105">
        <v>170</v>
      </c>
      <c r="AD23" s="530"/>
    </row>
    <row r="24" spans="1:30" ht="12.95" customHeight="1">
      <c r="A24" s="561">
        <v>474</v>
      </c>
      <c r="B24" s="568" t="s">
        <v>982</v>
      </c>
      <c r="C24" s="88">
        <f>Drift!F63</f>
        <v>28</v>
      </c>
      <c r="D24" s="54">
        <v>6</v>
      </c>
      <c r="E24" s="54">
        <v>0</v>
      </c>
      <c r="F24" s="54">
        <v>3</v>
      </c>
      <c r="G24" s="54">
        <v>8</v>
      </c>
      <c r="H24" s="54">
        <v>0</v>
      </c>
      <c r="I24" s="54">
        <v>0</v>
      </c>
      <c r="J24" s="2452">
        <v>0</v>
      </c>
      <c r="K24" s="55">
        <v>11</v>
      </c>
      <c r="L24" s="190">
        <v>0</v>
      </c>
      <c r="M24" s="443">
        <f t="shared" si="0"/>
        <v>0</v>
      </c>
      <c r="N24" s="444">
        <f>Drift!H63</f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443">
        <f t="shared" si="1"/>
        <v>0</v>
      </c>
      <c r="Y24" s="446">
        <v>13</v>
      </c>
      <c r="Z24" s="54">
        <v>0</v>
      </c>
      <c r="AA24" s="54">
        <v>10</v>
      </c>
      <c r="AB24" s="54">
        <v>0</v>
      </c>
      <c r="AC24" s="105">
        <v>1</v>
      </c>
      <c r="AD24" s="530"/>
    </row>
    <row r="25" spans="1:30" ht="12.95" customHeight="1">
      <c r="A25" s="561">
        <v>479</v>
      </c>
      <c r="B25" s="568" t="s">
        <v>450</v>
      </c>
      <c r="C25" s="88">
        <f>SUM(Drift!F64,Drift!F65,Drift!F66)</f>
        <v>1281</v>
      </c>
      <c r="D25" s="54">
        <v>215</v>
      </c>
      <c r="E25" s="54">
        <v>8</v>
      </c>
      <c r="F25" s="54">
        <v>801</v>
      </c>
      <c r="G25" s="54">
        <v>112</v>
      </c>
      <c r="H25" s="54">
        <v>8</v>
      </c>
      <c r="I25" s="54">
        <v>21</v>
      </c>
      <c r="J25" s="2452">
        <v>0</v>
      </c>
      <c r="K25" s="55">
        <v>116</v>
      </c>
      <c r="L25" s="190">
        <v>0</v>
      </c>
      <c r="M25" s="443">
        <f t="shared" si="0"/>
        <v>0</v>
      </c>
      <c r="N25" s="444">
        <f>SUM(Drift!H64:H66)</f>
        <v>54</v>
      </c>
      <c r="O25" s="54">
        <v>11</v>
      </c>
      <c r="P25" s="54">
        <v>0</v>
      </c>
      <c r="Q25" s="54">
        <v>4</v>
      </c>
      <c r="R25" s="54">
        <v>1</v>
      </c>
      <c r="S25" s="54">
        <v>1</v>
      </c>
      <c r="T25" s="54">
        <v>0</v>
      </c>
      <c r="U25" s="54">
        <v>36</v>
      </c>
      <c r="V25" s="54">
        <v>1</v>
      </c>
      <c r="W25" s="54">
        <v>0</v>
      </c>
      <c r="X25" s="443">
        <f t="shared" si="1"/>
        <v>0</v>
      </c>
      <c r="Y25" s="447">
        <v>123</v>
      </c>
      <c r="Z25" s="54">
        <v>2</v>
      </c>
      <c r="AA25" s="54">
        <v>1499</v>
      </c>
      <c r="AB25" s="54">
        <v>28</v>
      </c>
      <c r="AC25" s="105">
        <v>94</v>
      </c>
      <c r="AD25" s="530"/>
    </row>
    <row r="26" spans="1:30" ht="12.95" customHeight="1">
      <c r="A26" s="561">
        <v>509</v>
      </c>
      <c r="B26" s="568" t="s">
        <v>449</v>
      </c>
      <c r="C26" s="88">
        <f>SUM(Drift!F70,Drift!F71)</f>
        <v>291</v>
      </c>
      <c r="D26" s="66">
        <v>0</v>
      </c>
      <c r="E26" s="66">
        <v>0</v>
      </c>
      <c r="F26" s="66">
        <v>121</v>
      </c>
      <c r="G26" s="66">
        <v>0</v>
      </c>
      <c r="H26" s="66">
        <v>169</v>
      </c>
      <c r="I26" s="66">
        <v>0</v>
      </c>
      <c r="J26" s="2464">
        <v>0</v>
      </c>
      <c r="K26" s="190">
        <v>0</v>
      </c>
      <c r="L26" s="190">
        <v>1</v>
      </c>
      <c r="M26" s="443">
        <f t="shared" si="0"/>
        <v>0</v>
      </c>
      <c r="N26" s="444">
        <f>SUM(Drift!H70,Drift!H71)</f>
        <v>1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1</v>
      </c>
      <c r="W26" s="66">
        <v>0</v>
      </c>
      <c r="X26" s="443">
        <f t="shared" si="1"/>
        <v>0</v>
      </c>
      <c r="Y26" s="447">
        <v>12</v>
      </c>
      <c r="Z26" s="66">
        <v>69</v>
      </c>
      <c r="AA26" s="66">
        <v>192</v>
      </c>
      <c r="AB26" s="66">
        <v>0</v>
      </c>
      <c r="AC26" s="105">
        <v>12</v>
      </c>
      <c r="AD26" s="530"/>
    </row>
    <row r="27" spans="1:30" ht="12.95" customHeight="1">
      <c r="A27" s="561">
        <v>510</v>
      </c>
      <c r="B27" s="568" t="s">
        <v>505</v>
      </c>
      <c r="C27" s="88">
        <f>Drift!F73</f>
        <v>20047</v>
      </c>
      <c r="D27" s="54">
        <v>1699</v>
      </c>
      <c r="E27" s="54">
        <v>329</v>
      </c>
      <c r="F27" s="54">
        <v>16777</v>
      </c>
      <c r="G27" s="54">
        <v>150</v>
      </c>
      <c r="H27" s="54">
        <v>311</v>
      </c>
      <c r="I27" s="54">
        <v>12</v>
      </c>
      <c r="J27" s="2452">
        <v>0</v>
      </c>
      <c r="K27" s="55">
        <v>768</v>
      </c>
      <c r="L27" s="190">
        <v>1</v>
      </c>
      <c r="M27" s="443">
        <f t="shared" si="0"/>
        <v>0</v>
      </c>
      <c r="N27" s="444">
        <f>Drift!H73</f>
        <v>1019</v>
      </c>
      <c r="O27" s="54">
        <v>88</v>
      </c>
      <c r="P27" s="54">
        <v>11</v>
      </c>
      <c r="Q27" s="54">
        <v>320</v>
      </c>
      <c r="R27" s="54">
        <v>7</v>
      </c>
      <c r="S27" s="54">
        <v>7</v>
      </c>
      <c r="T27" s="54">
        <v>4</v>
      </c>
      <c r="U27" s="54">
        <v>5</v>
      </c>
      <c r="V27" s="54">
        <v>577</v>
      </c>
      <c r="W27" s="54">
        <v>0</v>
      </c>
      <c r="X27" s="443">
        <f t="shared" si="1"/>
        <v>0</v>
      </c>
      <c r="Y27" s="447">
        <v>100</v>
      </c>
      <c r="Z27" s="54">
        <v>111</v>
      </c>
      <c r="AA27" s="54">
        <v>2206</v>
      </c>
      <c r="AB27" s="54">
        <v>20</v>
      </c>
      <c r="AC27" s="105">
        <v>1887</v>
      </c>
      <c r="AD27" s="530"/>
    </row>
    <row r="28" spans="1:30" ht="18" customHeight="1">
      <c r="A28" s="561">
        <v>520</v>
      </c>
      <c r="B28" s="607" t="s">
        <v>383</v>
      </c>
      <c r="C28" s="88">
        <f>Drift!F74</f>
        <v>3405</v>
      </c>
      <c r="D28" s="54">
        <v>230</v>
      </c>
      <c r="E28" s="54">
        <v>22</v>
      </c>
      <c r="F28" s="54">
        <v>3003</v>
      </c>
      <c r="G28" s="54">
        <v>48</v>
      </c>
      <c r="H28" s="54">
        <v>26</v>
      </c>
      <c r="I28" s="54">
        <v>4</v>
      </c>
      <c r="J28" s="2452">
        <v>0</v>
      </c>
      <c r="K28" s="54">
        <v>72</v>
      </c>
      <c r="L28" s="54">
        <v>0</v>
      </c>
      <c r="M28" s="443">
        <f>C28-SUM(D28:L28)</f>
        <v>0</v>
      </c>
      <c r="N28" s="444">
        <f>Drift!H74</f>
        <v>430</v>
      </c>
      <c r="O28" s="54">
        <v>105</v>
      </c>
      <c r="P28" s="54">
        <v>2</v>
      </c>
      <c r="Q28" s="54">
        <v>165</v>
      </c>
      <c r="R28" s="54">
        <v>1</v>
      </c>
      <c r="S28" s="54">
        <v>0</v>
      </c>
      <c r="T28" s="54">
        <v>3</v>
      </c>
      <c r="U28" s="179">
        <v>2</v>
      </c>
      <c r="V28" s="54">
        <v>152</v>
      </c>
      <c r="W28" s="54">
        <v>0</v>
      </c>
      <c r="X28" s="443">
        <f>N28-SUM(O28:W28)</f>
        <v>0</v>
      </c>
      <c r="Y28" s="446">
        <v>29</v>
      </c>
      <c r="Z28" s="54">
        <v>16</v>
      </c>
      <c r="AA28" s="54">
        <v>235</v>
      </c>
      <c r="AB28" s="54">
        <v>4</v>
      </c>
      <c r="AC28" s="529">
        <v>279</v>
      </c>
      <c r="AD28" s="530"/>
    </row>
    <row r="29" spans="1:30" ht="13.5" customHeight="1">
      <c r="A29" s="561">
        <v>513</v>
      </c>
      <c r="B29" s="1485" t="s">
        <v>384</v>
      </c>
      <c r="C29" s="88">
        <f>Drift!F75</f>
        <v>11665</v>
      </c>
      <c r="D29" s="54">
        <v>1326</v>
      </c>
      <c r="E29" s="54">
        <v>207</v>
      </c>
      <c r="F29" s="54">
        <v>9347</v>
      </c>
      <c r="G29" s="54">
        <v>309</v>
      </c>
      <c r="H29" s="54">
        <v>100</v>
      </c>
      <c r="I29" s="54">
        <v>28</v>
      </c>
      <c r="J29" s="2452">
        <v>0</v>
      </c>
      <c r="K29" s="55">
        <v>347</v>
      </c>
      <c r="L29" s="190">
        <v>1</v>
      </c>
      <c r="M29" s="443">
        <f t="shared" si="0"/>
        <v>0</v>
      </c>
      <c r="N29" s="444">
        <f>Drift!H75</f>
        <v>4964</v>
      </c>
      <c r="O29" s="54">
        <v>16</v>
      </c>
      <c r="P29" s="54">
        <v>1</v>
      </c>
      <c r="Q29" s="54">
        <v>46</v>
      </c>
      <c r="R29" s="54">
        <v>4</v>
      </c>
      <c r="S29" s="54">
        <v>1</v>
      </c>
      <c r="T29" s="54">
        <v>2</v>
      </c>
      <c r="U29" s="179">
        <v>4667</v>
      </c>
      <c r="V29" s="54">
        <v>227</v>
      </c>
      <c r="W29" s="54">
        <v>0</v>
      </c>
      <c r="X29" s="443">
        <f>N29-SUM(O29:W29)</f>
        <v>0</v>
      </c>
      <c r="Y29" s="446">
        <v>234</v>
      </c>
      <c r="Z29" s="54">
        <v>14</v>
      </c>
      <c r="AA29" s="54">
        <v>434</v>
      </c>
      <c r="AB29" s="54">
        <v>2</v>
      </c>
      <c r="AC29" s="529">
        <v>7214</v>
      </c>
      <c r="AD29" s="530"/>
    </row>
    <row r="30" spans="1:30" ht="12.95" customHeight="1">
      <c r="A30" s="561">
        <v>530</v>
      </c>
      <c r="B30" s="1083" t="s">
        <v>104</v>
      </c>
      <c r="C30" s="88">
        <f>Drift!F76</f>
        <v>1580</v>
      </c>
      <c r="D30" s="54">
        <v>1</v>
      </c>
      <c r="E30" s="54">
        <v>9</v>
      </c>
      <c r="F30" s="54">
        <v>1084</v>
      </c>
      <c r="G30" s="54">
        <v>38</v>
      </c>
      <c r="H30" s="54">
        <v>404</v>
      </c>
      <c r="I30" s="54">
        <v>0</v>
      </c>
      <c r="J30" s="2452">
        <v>0</v>
      </c>
      <c r="K30" s="55">
        <v>44</v>
      </c>
      <c r="L30" s="190">
        <v>0</v>
      </c>
      <c r="M30" s="443">
        <f t="shared" si="0"/>
        <v>0</v>
      </c>
      <c r="N30" s="444">
        <f>Drift!H76</f>
        <v>40</v>
      </c>
      <c r="O30" s="54">
        <v>0</v>
      </c>
      <c r="P30" s="54">
        <v>3</v>
      </c>
      <c r="Q30" s="54">
        <v>3</v>
      </c>
      <c r="R30" s="54">
        <v>0</v>
      </c>
      <c r="S30" s="54">
        <v>10</v>
      </c>
      <c r="T30" s="54">
        <v>23</v>
      </c>
      <c r="U30" s="54">
        <v>0</v>
      </c>
      <c r="V30" s="54">
        <v>1</v>
      </c>
      <c r="W30" s="54">
        <v>0</v>
      </c>
      <c r="X30" s="443">
        <f t="shared" si="1"/>
        <v>0</v>
      </c>
      <c r="Y30" s="446">
        <v>30</v>
      </c>
      <c r="Z30" s="54">
        <v>3</v>
      </c>
      <c r="AA30" s="54">
        <v>5</v>
      </c>
      <c r="AB30" s="54">
        <v>0</v>
      </c>
      <c r="AC30" s="105">
        <v>19</v>
      </c>
      <c r="AD30" s="530"/>
    </row>
    <row r="31" spans="1:30" ht="12.95" customHeight="1">
      <c r="A31" s="561">
        <v>559</v>
      </c>
      <c r="B31" s="1083" t="s">
        <v>206</v>
      </c>
      <c r="C31" s="88">
        <f>Drift!F79</f>
        <v>3079</v>
      </c>
      <c r="D31" s="54">
        <v>335</v>
      </c>
      <c r="E31" s="54">
        <v>1</v>
      </c>
      <c r="F31" s="54">
        <v>2087</v>
      </c>
      <c r="G31" s="54">
        <v>67</v>
      </c>
      <c r="H31" s="54">
        <v>41</v>
      </c>
      <c r="I31" s="54">
        <v>525</v>
      </c>
      <c r="J31" s="2452">
        <v>0</v>
      </c>
      <c r="K31" s="54">
        <v>21</v>
      </c>
      <c r="L31" s="54">
        <v>2</v>
      </c>
      <c r="M31" s="1316">
        <f t="shared" si="0"/>
        <v>0</v>
      </c>
      <c r="N31" s="444">
        <f>Drift!H79</f>
        <v>174</v>
      </c>
      <c r="O31" s="54">
        <v>136</v>
      </c>
      <c r="P31" s="54">
        <v>0</v>
      </c>
      <c r="Q31" s="54">
        <v>11</v>
      </c>
      <c r="R31" s="54">
        <v>1</v>
      </c>
      <c r="S31" s="54">
        <v>2</v>
      </c>
      <c r="T31" s="54">
        <v>1</v>
      </c>
      <c r="U31" s="54">
        <v>0</v>
      </c>
      <c r="V31" s="54">
        <v>23</v>
      </c>
      <c r="W31" s="54">
        <v>0</v>
      </c>
      <c r="X31" s="1316">
        <f t="shared" si="1"/>
        <v>0</v>
      </c>
      <c r="Y31" s="446">
        <v>75</v>
      </c>
      <c r="Z31" s="66">
        <v>5</v>
      </c>
      <c r="AA31" s="66">
        <v>114</v>
      </c>
      <c r="AB31" s="66">
        <v>4</v>
      </c>
      <c r="AC31" s="182">
        <v>165</v>
      </c>
      <c r="AD31" s="530"/>
    </row>
    <row r="32" spans="1:30" ht="12.95" customHeight="1">
      <c r="A32" s="561">
        <v>552</v>
      </c>
      <c r="B32" s="568" t="s">
        <v>140</v>
      </c>
      <c r="C32" s="54"/>
      <c r="D32" s="54">
        <v>152</v>
      </c>
      <c r="E32" s="54">
        <v>1</v>
      </c>
      <c r="F32" s="54">
        <v>1181</v>
      </c>
      <c r="G32" s="54">
        <v>33</v>
      </c>
      <c r="H32" s="54">
        <v>17</v>
      </c>
      <c r="I32" s="54">
        <v>468</v>
      </c>
      <c r="J32" s="2452">
        <v>0</v>
      </c>
      <c r="K32" s="54">
        <v>9</v>
      </c>
      <c r="L32" s="54">
        <v>1</v>
      </c>
      <c r="M32" s="1316" t="str">
        <f>IF(OR(C32="",C32=0),"",C32-SUM(D32:L32))</f>
        <v/>
      </c>
      <c r="N32" s="54"/>
      <c r="O32" s="54">
        <v>66</v>
      </c>
      <c r="P32" s="54">
        <v>0</v>
      </c>
      <c r="Q32" s="54">
        <v>2</v>
      </c>
      <c r="R32" s="54">
        <v>0</v>
      </c>
      <c r="S32" s="54">
        <v>0</v>
      </c>
      <c r="T32" s="54">
        <v>0</v>
      </c>
      <c r="U32" s="54">
        <v>0</v>
      </c>
      <c r="V32" s="54">
        <v>8</v>
      </c>
      <c r="W32" s="54">
        <v>0</v>
      </c>
      <c r="X32" s="1316" t="str">
        <f>IF(OR(N32="",N32=0),"",N32-SUM(O32:W32))</f>
        <v/>
      </c>
      <c r="Y32" s="447">
        <v>46</v>
      </c>
      <c r="Z32" s="54">
        <v>0</v>
      </c>
      <c r="AA32" s="54">
        <v>25</v>
      </c>
      <c r="AB32" s="54">
        <v>1</v>
      </c>
      <c r="AC32" s="182">
        <v>77</v>
      </c>
      <c r="AD32" s="530"/>
    </row>
    <row r="33" spans="1:30" ht="12.95" customHeight="1">
      <c r="A33" s="561">
        <v>569</v>
      </c>
      <c r="B33" s="563" t="s">
        <v>108</v>
      </c>
      <c r="C33" s="88">
        <f>Drift!F80</f>
        <v>7100</v>
      </c>
      <c r="D33" s="54">
        <v>223</v>
      </c>
      <c r="E33" s="54">
        <v>8</v>
      </c>
      <c r="F33" s="54">
        <v>5696</v>
      </c>
      <c r="G33" s="54">
        <v>181</v>
      </c>
      <c r="H33" s="54">
        <v>50</v>
      </c>
      <c r="I33" s="54">
        <v>917</v>
      </c>
      <c r="J33" s="2452">
        <v>0</v>
      </c>
      <c r="K33" s="54">
        <v>25</v>
      </c>
      <c r="L33" s="54">
        <v>0</v>
      </c>
      <c r="M33" s="1316">
        <f t="shared" si="0"/>
        <v>0</v>
      </c>
      <c r="N33" s="444">
        <f>Drift!H80</f>
        <v>175</v>
      </c>
      <c r="O33" s="54">
        <v>51</v>
      </c>
      <c r="P33" s="54">
        <v>1</v>
      </c>
      <c r="Q33" s="54">
        <v>21</v>
      </c>
      <c r="R33" s="54">
        <v>3</v>
      </c>
      <c r="S33" s="54">
        <v>5</v>
      </c>
      <c r="T33" s="54">
        <v>1</v>
      </c>
      <c r="U33" s="54">
        <v>1</v>
      </c>
      <c r="V33" s="54">
        <v>92</v>
      </c>
      <c r="W33" s="54">
        <v>0</v>
      </c>
      <c r="X33" s="1316">
        <f t="shared" si="1"/>
        <v>0</v>
      </c>
      <c r="Y33" s="447">
        <v>151</v>
      </c>
      <c r="Z33" s="54">
        <v>48</v>
      </c>
      <c r="AA33" s="54">
        <v>1525</v>
      </c>
      <c r="AB33" s="54">
        <v>4</v>
      </c>
      <c r="AC33" s="182">
        <v>459</v>
      </c>
      <c r="AD33" s="530"/>
    </row>
    <row r="34" spans="1:30" ht="12.95" customHeight="1">
      <c r="A34" s="561">
        <v>554</v>
      </c>
      <c r="B34" s="568" t="s">
        <v>210</v>
      </c>
      <c r="C34" s="54"/>
      <c r="D34" s="54">
        <v>86</v>
      </c>
      <c r="E34" s="54">
        <v>5</v>
      </c>
      <c r="F34" s="54">
        <v>2800</v>
      </c>
      <c r="G34" s="54">
        <v>66</v>
      </c>
      <c r="H34" s="54">
        <v>15</v>
      </c>
      <c r="I34" s="54">
        <v>783</v>
      </c>
      <c r="J34" s="2452">
        <v>0</v>
      </c>
      <c r="K34" s="54">
        <v>15</v>
      </c>
      <c r="L34" s="54">
        <v>0</v>
      </c>
      <c r="M34" s="1316" t="str">
        <f>IF(OR(C34="",C34=0),"",C34-SUM(D34:L34))</f>
        <v/>
      </c>
      <c r="N34" s="54"/>
      <c r="O34" s="54">
        <v>3</v>
      </c>
      <c r="P34" s="54">
        <v>0</v>
      </c>
      <c r="Q34" s="54">
        <v>4</v>
      </c>
      <c r="R34" s="54">
        <v>0</v>
      </c>
      <c r="S34" s="54">
        <v>0</v>
      </c>
      <c r="T34" s="54">
        <v>1</v>
      </c>
      <c r="U34" s="54">
        <v>0</v>
      </c>
      <c r="V34" s="54">
        <v>22</v>
      </c>
      <c r="W34" s="54">
        <v>0</v>
      </c>
      <c r="X34" s="1316" t="str">
        <f>IF(OR(N34="",N34=0),"",N34-SUM(O34:W34))</f>
        <v/>
      </c>
      <c r="Y34" s="447">
        <v>51</v>
      </c>
      <c r="Z34" s="54">
        <v>6</v>
      </c>
      <c r="AA34" s="54">
        <v>469</v>
      </c>
      <c r="AB34" s="54">
        <v>1</v>
      </c>
      <c r="AC34" s="182">
        <v>177</v>
      </c>
      <c r="AD34" s="530"/>
    </row>
    <row r="35" spans="1:30" ht="12.95" customHeight="1">
      <c r="A35" s="561">
        <v>580</v>
      </c>
      <c r="B35" s="568" t="s">
        <v>141</v>
      </c>
      <c r="C35" s="88">
        <f>SUM(Drift!F81,Drift!F82,Drift!F84)</f>
        <v>1078</v>
      </c>
      <c r="D35" s="54">
        <v>109</v>
      </c>
      <c r="E35" s="54">
        <v>5</v>
      </c>
      <c r="F35" s="54">
        <v>810</v>
      </c>
      <c r="G35" s="54">
        <v>112</v>
      </c>
      <c r="H35" s="54">
        <v>11</v>
      </c>
      <c r="I35" s="54">
        <v>5</v>
      </c>
      <c r="J35" s="2452">
        <v>0</v>
      </c>
      <c r="K35" s="55">
        <v>26</v>
      </c>
      <c r="L35" s="190">
        <v>0</v>
      </c>
      <c r="M35" s="1316">
        <f t="shared" si="0"/>
        <v>0</v>
      </c>
      <c r="N35" s="444">
        <f>SUM(Drift!H81,Drift!H82,Drift!H84)</f>
        <v>10116</v>
      </c>
      <c r="O35" s="54">
        <v>203</v>
      </c>
      <c r="P35" s="54">
        <v>1</v>
      </c>
      <c r="Q35" s="54">
        <v>30</v>
      </c>
      <c r="R35" s="54">
        <v>2</v>
      </c>
      <c r="S35" s="54">
        <v>2</v>
      </c>
      <c r="T35" s="54">
        <v>6</v>
      </c>
      <c r="U35" s="54">
        <v>8</v>
      </c>
      <c r="V35" s="54">
        <v>9864</v>
      </c>
      <c r="W35" s="54">
        <v>0</v>
      </c>
      <c r="X35" s="1316">
        <f t="shared" si="1"/>
        <v>0</v>
      </c>
      <c r="Y35" s="446">
        <v>98</v>
      </c>
      <c r="Z35" s="54">
        <v>0</v>
      </c>
      <c r="AA35" s="54">
        <v>536</v>
      </c>
      <c r="AB35" s="54">
        <v>3</v>
      </c>
      <c r="AC35" s="105">
        <v>286</v>
      </c>
      <c r="AD35" s="530"/>
    </row>
    <row r="36" spans="1:30" ht="12.95" customHeight="1">
      <c r="A36" s="561">
        <v>600</v>
      </c>
      <c r="B36" s="563" t="s">
        <v>115</v>
      </c>
      <c r="C36" s="88">
        <f>Drift!F87</f>
        <v>7620</v>
      </c>
      <c r="D36" s="66">
        <v>319</v>
      </c>
      <c r="E36" s="66">
        <v>45</v>
      </c>
      <c r="F36" s="66">
        <v>6632</v>
      </c>
      <c r="G36" s="66">
        <v>155</v>
      </c>
      <c r="H36" s="66">
        <v>15</v>
      </c>
      <c r="I36" s="66">
        <v>293</v>
      </c>
      <c r="J36" s="2464">
        <v>0</v>
      </c>
      <c r="K36" s="190">
        <v>161</v>
      </c>
      <c r="L36" s="190">
        <v>0</v>
      </c>
      <c r="M36" s="443">
        <f t="shared" si="0"/>
        <v>0</v>
      </c>
      <c r="N36" s="444">
        <f>Drift!H87</f>
        <v>1295</v>
      </c>
      <c r="O36" s="66">
        <v>126</v>
      </c>
      <c r="P36" s="66">
        <v>6</v>
      </c>
      <c r="Q36" s="66">
        <v>40</v>
      </c>
      <c r="R36" s="66">
        <v>4</v>
      </c>
      <c r="S36" s="66">
        <v>1</v>
      </c>
      <c r="T36" s="66">
        <v>1</v>
      </c>
      <c r="U36" s="66">
        <v>12</v>
      </c>
      <c r="V36" s="66">
        <v>1105</v>
      </c>
      <c r="W36" s="66">
        <v>0</v>
      </c>
      <c r="X36" s="443">
        <f t="shared" si="1"/>
        <v>0</v>
      </c>
      <c r="Y36" s="447">
        <v>75</v>
      </c>
      <c r="Z36" s="66">
        <v>23</v>
      </c>
      <c r="AA36" s="66">
        <v>22018</v>
      </c>
      <c r="AB36" s="66">
        <v>29</v>
      </c>
      <c r="AC36" s="105">
        <v>482</v>
      </c>
      <c r="AD36" s="530"/>
    </row>
    <row r="37" spans="1:30" ht="12.95" customHeight="1">
      <c r="A37" s="561">
        <v>610</v>
      </c>
      <c r="B37" s="568" t="s">
        <v>142</v>
      </c>
      <c r="C37" s="88">
        <f>Drift!F88</f>
        <v>197</v>
      </c>
      <c r="D37" s="54">
        <v>28</v>
      </c>
      <c r="E37" s="54">
        <v>16</v>
      </c>
      <c r="F37" s="54">
        <v>112</v>
      </c>
      <c r="G37" s="54">
        <v>17</v>
      </c>
      <c r="H37" s="54">
        <v>2</v>
      </c>
      <c r="I37" s="54">
        <v>13</v>
      </c>
      <c r="J37" s="2452">
        <v>0</v>
      </c>
      <c r="K37" s="55">
        <v>9</v>
      </c>
      <c r="L37" s="190">
        <v>0</v>
      </c>
      <c r="M37" s="443">
        <f t="shared" si="0"/>
        <v>0</v>
      </c>
      <c r="N37" s="444">
        <f>Drift!H88</f>
        <v>159</v>
      </c>
      <c r="O37" s="54">
        <v>74</v>
      </c>
      <c r="P37" s="54">
        <v>4</v>
      </c>
      <c r="Q37" s="54">
        <v>26</v>
      </c>
      <c r="R37" s="54">
        <v>12</v>
      </c>
      <c r="S37" s="54">
        <v>1</v>
      </c>
      <c r="T37" s="54">
        <v>27</v>
      </c>
      <c r="U37" s="54">
        <v>3</v>
      </c>
      <c r="V37" s="54">
        <v>12</v>
      </c>
      <c r="W37" s="54">
        <v>0</v>
      </c>
      <c r="X37" s="443">
        <f t="shared" si="1"/>
        <v>0</v>
      </c>
      <c r="Y37" s="447">
        <v>13</v>
      </c>
      <c r="Z37" s="54">
        <v>1</v>
      </c>
      <c r="AA37" s="54">
        <v>3355</v>
      </c>
      <c r="AB37" s="54">
        <v>195</v>
      </c>
      <c r="AC37" s="105">
        <v>203</v>
      </c>
      <c r="AD37" s="530"/>
    </row>
    <row r="38" spans="1:30" ht="12.95" customHeight="1">
      <c r="A38" s="561">
        <v>890</v>
      </c>
      <c r="B38" s="568" t="s">
        <v>143</v>
      </c>
      <c r="C38" s="88">
        <f>Drift!F109</f>
        <v>5576</v>
      </c>
      <c r="D38" s="54">
        <v>4</v>
      </c>
      <c r="E38" s="54">
        <v>1916</v>
      </c>
      <c r="F38" s="54">
        <v>2884</v>
      </c>
      <c r="G38" s="54">
        <v>139</v>
      </c>
      <c r="H38" s="54">
        <v>247</v>
      </c>
      <c r="I38" s="54">
        <v>57</v>
      </c>
      <c r="J38" s="2452">
        <v>0</v>
      </c>
      <c r="K38" s="55">
        <v>325</v>
      </c>
      <c r="L38" s="190">
        <v>4</v>
      </c>
      <c r="M38" s="443">
        <f t="shared" si="0"/>
        <v>0</v>
      </c>
      <c r="N38" s="444">
        <f>Drift!H109</f>
        <v>1460</v>
      </c>
      <c r="O38" s="54">
        <v>17</v>
      </c>
      <c r="P38" s="54">
        <v>413</v>
      </c>
      <c r="Q38" s="54">
        <v>466</v>
      </c>
      <c r="R38" s="54">
        <v>0</v>
      </c>
      <c r="S38" s="54">
        <v>137</v>
      </c>
      <c r="T38" s="54">
        <v>409</v>
      </c>
      <c r="U38" s="54">
        <v>15</v>
      </c>
      <c r="V38" s="54">
        <v>3</v>
      </c>
      <c r="W38" s="54">
        <v>0</v>
      </c>
      <c r="X38" s="443">
        <f t="shared" si="1"/>
        <v>0</v>
      </c>
      <c r="Y38" s="447">
        <v>181</v>
      </c>
      <c r="Z38" s="54">
        <v>25</v>
      </c>
      <c r="AA38" s="54">
        <v>313</v>
      </c>
      <c r="AB38" s="54">
        <v>6</v>
      </c>
      <c r="AC38" s="105">
        <v>4209</v>
      </c>
      <c r="AD38" s="530"/>
    </row>
    <row r="39" spans="1:30" ht="12.95" customHeight="1">
      <c r="A39" s="561">
        <v>940</v>
      </c>
      <c r="B39" s="568" t="s">
        <v>144</v>
      </c>
      <c r="C39" s="88">
        <f>SUM(Drift!F111:F112)</f>
        <v>887</v>
      </c>
      <c r="D39" s="54">
        <v>20</v>
      </c>
      <c r="E39" s="54">
        <v>357</v>
      </c>
      <c r="F39" s="54">
        <v>293</v>
      </c>
      <c r="G39" s="54">
        <v>155</v>
      </c>
      <c r="H39" s="54">
        <v>7</v>
      </c>
      <c r="I39" s="54">
        <v>4</v>
      </c>
      <c r="J39" s="2452">
        <v>0</v>
      </c>
      <c r="K39" s="55">
        <v>51</v>
      </c>
      <c r="L39" s="190">
        <v>0</v>
      </c>
      <c r="M39" s="443">
        <f t="shared" si="0"/>
        <v>0</v>
      </c>
      <c r="N39" s="444">
        <f>SUM(Drift!H111:H112)</f>
        <v>458</v>
      </c>
      <c r="O39" s="54">
        <v>176</v>
      </c>
      <c r="P39" s="54">
        <v>100</v>
      </c>
      <c r="Q39" s="54">
        <v>60</v>
      </c>
      <c r="R39" s="54">
        <v>18</v>
      </c>
      <c r="S39" s="54">
        <v>8</v>
      </c>
      <c r="T39" s="54">
        <v>48</v>
      </c>
      <c r="U39" s="54">
        <v>36</v>
      </c>
      <c r="V39" s="54">
        <v>10</v>
      </c>
      <c r="W39" s="54">
        <v>2</v>
      </c>
      <c r="X39" s="443">
        <f t="shared" si="1"/>
        <v>0</v>
      </c>
      <c r="Y39" s="447">
        <v>449</v>
      </c>
      <c r="Z39" s="54">
        <v>40</v>
      </c>
      <c r="AA39" s="54">
        <v>735</v>
      </c>
      <c r="AB39" s="54">
        <v>72</v>
      </c>
      <c r="AC39" s="105">
        <v>718</v>
      </c>
      <c r="AD39" s="530"/>
    </row>
    <row r="40" spans="1:30" ht="12.95" customHeight="1">
      <c r="A40" s="2462" t="s">
        <v>287</v>
      </c>
      <c r="B40" s="2012" t="s">
        <v>36</v>
      </c>
      <c r="C40" s="420">
        <f>SUM(C9:C31,C33,C35:C39)</f>
        <v>130682</v>
      </c>
      <c r="D40" s="2460">
        <f>SUM(D9:D31,D33,D35:D39)</f>
        <v>15415</v>
      </c>
      <c r="E40" s="2460">
        <f t="shared" ref="E40:L40" si="2">SUM(E9:E31,E33,E35:E39)</f>
        <v>4132</v>
      </c>
      <c r="F40" s="2460">
        <f t="shared" si="2"/>
        <v>86731</v>
      </c>
      <c r="G40" s="2460">
        <f t="shared" si="2"/>
        <v>11926</v>
      </c>
      <c r="H40" s="2460">
        <f t="shared" si="2"/>
        <v>1873</v>
      </c>
      <c r="I40" s="2460">
        <f t="shared" si="2"/>
        <v>2403</v>
      </c>
      <c r="J40" s="2460">
        <f t="shared" si="2"/>
        <v>0</v>
      </c>
      <c r="K40" s="2460">
        <f t="shared" si="2"/>
        <v>8171</v>
      </c>
      <c r="L40" s="2460">
        <f t="shared" si="2"/>
        <v>31</v>
      </c>
      <c r="M40" s="377">
        <f>SUM(M9:M31,M33,M35:M39)</f>
        <v>0</v>
      </c>
      <c r="N40" s="445">
        <f>SUM(N9:N31,N33,N35:N39)</f>
        <v>27856</v>
      </c>
      <c r="O40" s="2460">
        <f>SUM(O9:O31,O33,O35:O39)</f>
        <v>4796</v>
      </c>
      <c r="P40" s="2460">
        <f t="shared" ref="P40:W40" si="3">SUM(P9:P31,P33,P35:P39)</f>
        <v>1439</v>
      </c>
      <c r="Q40" s="2460">
        <f t="shared" si="3"/>
        <v>2162</v>
      </c>
      <c r="R40" s="2460">
        <f t="shared" si="3"/>
        <v>108</v>
      </c>
      <c r="S40" s="2460">
        <f t="shared" si="3"/>
        <v>208</v>
      </c>
      <c r="T40" s="2460">
        <f t="shared" si="3"/>
        <v>1535</v>
      </c>
      <c r="U40" s="2460">
        <f t="shared" si="3"/>
        <v>5262</v>
      </c>
      <c r="V40" s="2460">
        <f t="shared" si="3"/>
        <v>12327</v>
      </c>
      <c r="W40" s="2460">
        <f t="shared" si="3"/>
        <v>19</v>
      </c>
      <c r="X40" s="377">
        <f t="shared" ref="X40:AC40" si="4">SUM(X9:X31,X33,X35:X39)</f>
        <v>0</v>
      </c>
      <c r="Y40" s="2606">
        <f t="shared" si="4"/>
        <v>11990</v>
      </c>
      <c r="Z40" s="2461">
        <f t="shared" si="4"/>
        <v>397</v>
      </c>
      <c r="AA40" s="2461">
        <f t="shared" si="4"/>
        <v>54669</v>
      </c>
      <c r="AB40" s="2461">
        <f t="shared" si="4"/>
        <v>636</v>
      </c>
      <c r="AC40" s="2605">
        <f t="shared" si="4"/>
        <v>21024</v>
      </c>
      <c r="AD40" s="530"/>
    </row>
    <row r="41" spans="1:30" ht="12" customHeight="1">
      <c r="A41" s="1414"/>
      <c r="B41" s="150"/>
      <c r="D41" s="171"/>
      <c r="E41" s="171"/>
      <c r="F41" s="171"/>
      <c r="G41" s="171"/>
      <c r="H41" s="171"/>
      <c r="I41" s="171"/>
      <c r="J41" s="1764"/>
      <c r="K41" s="171"/>
      <c r="L41" s="2449"/>
      <c r="M41" s="1396"/>
      <c r="N41" s="2453"/>
      <c r="O41" s="2450"/>
      <c r="P41" s="2450"/>
      <c r="Q41" s="2450"/>
      <c r="R41" s="2450"/>
      <c r="S41" s="2450"/>
      <c r="T41" s="2451"/>
      <c r="V41" s="2451"/>
      <c r="W41" s="2454"/>
      <c r="X41" s="145"/>
      <c r="Y41" s="2604"/>
      <c r="Z41" s="2604"/>
      <c r="AA41" s="2604"/>
      <c r="AB41" s="2604"/>
      <c r="AC41" s="2604"/>
      <c r="AD41" s="531"/>
    </row>
    <row r="42" spans="1:30" ht="12.75" customHeight="1">
      <c r="A42" s="1414"/>
      <c r="B42" s="2455"/>
      <c r="D42" s="171"/>
      <c r="E42" s="171"/>
      <c r="F42" s="171"/>
      <c r="G42" s="171"/>
      <c r="H42" s="171"/>
      <c r="I42" s="171"/>
      <c r="J42" s="2456"/>
      <c r="K42" s="171"/>
      <c r="L42" s="171"/>
      <c r="M42" s="2457"/>
      <c r="N42" s="2458"/>
      <c r="O42" s="259"/>
      <c r="P42" s="171"/>
      <c r="Q42" s="171"/>
      <c r="R42" s="171"/>
      <c r="S42" s="171"/>
      <c r="T42" s="1763"/>
      <c r="U42" s="347"/>
      <c r="V42" s="1763"/>
      <c r="W42" s="259"/>
      <c r="Y42" s="2459"/>
      <c r="Z42" s="2459"/>
      <c r="AA42" s="2459"/>
      <c r="AB42" s="2459"/>
      <c r="AC42" s="2459"/>
    </row>
    <row r="43" spans="1:30" ht="12.75" customHeight="1">
      <c r="A43" s="43"/>
      <c r="B43" s="43"/>
      <c r="E43" s="47"/>
      <c r="G43" s="47"/>
      <c r="H43" s="47"/>
      <c r="J43" s="170"/>
      <c r="K43" s="47"/>
      <c r="L43" s="171"/>
      <c r="R43" s="47"/>
      <c r="S43" s="47"/>
      <c r="U43" s="1764"/>
      <c r="V43" s="1763" t="str">
        <f>IF(V35&lt;0.9*N35,"Kontrollera ekonomisk bistånd","")</f>
        <v/>
      </c>
      <c r="W43" s="259"/>
      <c r="Y43" s="347" t="str">
        <f>IF(ABS(Y42)&gt;500,"Kontrollera mot verksamhetens intäkter.","")</f>
        <v/>
      </c>
      <c r="Z43" s="347" t="str">
        <f>IF(ABS(Z42)&gt;500,"Kontrollera mot verksamhetens intäkter.","")</f>
        <v/>
      </c>
      <c r="AA43" s="347" t="str">
        <f>IF(ABS(AA42)&gt;500,"Kontrollera mot verksamhetens intäkter.","")</f>
        <v/>
      </c>
      <c r="AB43" s="347" t="str">
        <f>IF(ABS(AB42)&gt;500,"Kontrollera mot verksamhetens intäkter.","")</f>
        <v/>
      </c>
      <c r="AC43" s="347" t="str">
        <f>IF(ABS(AC42)&gt;500,"Kontrollera mot verks.int.!","")</f>
        <v/>
      </c>
    </row>
    <row r="44" spans="1:30" ht="12.75" customHeight="1">
      <c r="B44" s="150"/>
      <c r="D44" s="533" t="str">
        <f>IF(D32&gt;D31,"Kol. D, därav &gt; total, rad 552",IF(E32&gt;E31,"Kol. E, därav &gt; total, rad 552",IF(F32&gt;F31,"Kol.F, därav &gt; total, rad 552",IF(G32&gt;G31,"Kol. G, därav &gt; total, rad 552",IF(H32&gt;H31,"Kol. H, därav &gt; total, rad 552","")))))</f>
        <v/>
      </c>
      <c r="F44" s="317" t="str">
        <f>IF(C31=0,"",IF(AND(D31&gt;0,D32=""),"rad 552 kol D ange belopp eller 0",IF(AND(E31&gt;0,E32=""),"rad 552 kol E ange belopp eller 0",IF(AND(F31&gt;0,F32=""),"rad 552 kol F ange belopp eller 0",IF(AND(G31&gt;0,G32=""),"rad 552 kol G ange belopp eller 0",IF(AND(H31&gt;0,H32=""),"rad 552 kol H ange belopp eller 0",""))))))</f>
        <v/>
      </c>
      <c r="I44" s="533" t="str">
        <f>IF(I32&gt;I31,"Kol. I, därav &gt; total, rad 552",IF(J32&gt;J31,"Kol. J, därav &gt; total, rad 552",IF(K32&gt;K31,"Kol. K, därav &gt; total, rad 552",IF(L32&gt;L31,"Kol. L, därav &gt; total, rad 552",""))))</f>
        <v/>
      </c>
      <c r="K44" s="1315" t="str">
        <f>IF(C31=0,"",IF(AND(I31&gt;0,I32=""),"rad 552 kol I ange belopp eller 0",IF(AND(J31&gt;0,J32=""),"rad 552 kol J ange belopp eller 0 ",IF(AND(K31&gt;0,K32=""),"rad 552 kol K ange belopp eller 0",IF(AND(L31&gt;0,L32=""),"rad 552 kol L ange belopp eller 0","")))))</f>
        <v/>
      </c>
      <c r="L44" s="171"/>
      <c r="M44" s="171"/>
      <c r="O44" s="346" t="str">
        <f>IF(O32&gt;O31,"Kol. O, därav &gt; total, rad 552",IF(P32&gt;P31,"Kol. P, därav &gt; total, rad 552",IF(Q32&gt;Q31,"Kol. Q, därav &gt; total, rad 552",IF(R32&gt;R31,"Kol. R, därav &gt; total, rad 552",IF(S32&gt;S31,"Kol. S, därav &gt; total, rad 552","")))))</f>
        <v/>
      </c>
      <c r="Q44" s="317" t="str">
        <f>IF(N31=0,"",IF(AND(O31&gt;0,O32=""),"rad 552 kol O ange belopp eller 0",IF(AND(P31&gt;0,P32=""),"rad 552 kol P ange belopp eller 0",IF(AND(Q31&gt;0,Q32=""),"rad 552 kol Q ange belopp eller 0",IF(AND(R31&gt;0,R32=""),"rad 552 kol R ange belopp eller 0",IF(AND(S31&gt;0,S32=""),"på rad 552 kol S ange belopp eller 0",""))))))</f>
        <v/>
      </c>
      <c r="R44" s="171"/>
      <c r="S44" s="346" t="str">
        <f>IF(T32&gt;T31,"Kol. T, därav &gt; total, rad 552",IF(U32&gt;U31,"Kol. U, därav &gt; total, rad 552",IF(V32&gt;V31,"Kol. V, därav &gt; total, rad 552",IF(W32&gt;W31,"Kol. W, därav &gt; total, rad 552",""))))</f>
        <v/>
      </c>
      <c r="T44" s="1315" t="str">
        <f>IF(N31=0,"",IF(AND(T31&gt;0,T32=""),"rad 552 kol T ange belopp eller 0",IF(AND(U31&gt;0,U32=""),"rad 552 kol U ange belopp eller 0",IF(AND(V31&gt;0,V32=""),"rad 552 kol V ange belopp eller 0",IF(AND(W31&gt;0,W32=""),"rad 552 kol W ange belopp eller 0","")))))</f>
        <v/>
      </c>
      <c r="V44" s="332">
        <f>'Verks int o kostn'!I41-U29</f>
        <v>-18</v>
      </c>
      <c r="W44" s="332">
        <f>'Verks int o kostn'!D20-AC29</f>
        <v>-815</v>
      </c>
      <c r="X44" s="346" t="str">
        <f>IF(Y32&gt;Y31,"kolY,rad552,därav&gt;total",IF(Z32&gt;Z31,"kolZ,rad552ldärav&gt;total",IF(AA32&gt;AA31,"kolAA,rad552,därav&gt;total",IF(AB32&gt;AB31,"kolAB,rad552,därav&gt;total",IF(AC32&gt;AC31,"kolAC,rad552,därav&gt;total","")))))</f>
        <v/>
      </c>
      <c r="Y44" s="317" t="str">
        <f>IF(AND(Y31&gt;0,Y32=""),"rad 552 ange belopp eller 0","")</f>
        <v/>
      </c>
      <c r="Z44" s="317" t="str">
        <f>IF(AND(Z31&gt;0,Z32=""),"rad 552 ange belopp eller 0","")</f>
        <v/>
      </c>
      <c r="AA44" s="317" t="str">
        <f>IF(AND(AA31&gt;0,AA32=""),"rad 552 ange belopp eller 0","")</f>
        <v/>
      </c>
      <c r="AB44" s="317" t="str">
        <f>IF(AND(AB31&gt;0,AB32=""),"rad 552 ange belopp eller 0","")</f>
        <v/>
      </c>
      <c r="AC44" s="317" t="str">
        <f>IF(AND(AC31&gt;0,AC32=""),"rad 552 ange belopp eller 0","")</f>
        <v/>
      </c>
    </row>
    <row r="45" spans="1:30" ht="12.75" customHeight="1">
      <c r="B45" s="150"/>
      <c r="D45" s="534" t="str">
        <f>IF(D34&gt;D33,"Kol. D, därav &gt; total, rad 554",IF(E34&gt;E33,"Kol. E, därav &gt; total, rad 554",IF(F34&gt;F33,"Kol.F, därav &gt; total, rad 554",IF(G34&gt;G33,"Kol. G, därav &gt; total, rad 554",IF(H34&gt;H33,"Kol. H, därav &gt; total, rad 554","")))))</f>
        <v/>
      </c>
      <c r="F45" s="317" t="str">
        <f>IF(C33=0,"",IF(AND(D33&gt;0,D34=""),"rad 554 kol D ange belopp eller 0",IF(AND(E33&gt;0,E34=""),"rad 554 kol E ange belopp eller 0",IF(AND(F33&gt;0,F34=""),"rad 554 kol F ange belopp eller 0",IF(AND(G33&gt;0,G34=""),"rad 554 kol G ange belopp eller 0",IF(AND(H33&gt;0,H34=""),"rad 554 kol H ange belopp eller 0",""))))))</f>
        <v/>
      </c>
      <c r="G45" s="171"/>
      <c r="H45" s="171"/>
      <c r="I45" s="533" t="str">
        <f>IF(I34&gt;I33,"Kol. I, därav &gt; total, rad 554",IF(J34&gt;J33,"Kol. J, därav &gt; total, rad 554",IF(K34&gt;K33,"Kol. K, därav &gt; total, rad 554",IF(L34&gt;L33,"Kol. L, därav &gt; total, rad 554",""))))</f>
        <v/>
      </c>
      <c r="K45" s="1315" t="str">
        <f>IF(C33=0,"",IF(AND(I33&gt;0,I34=""),"rad 554 kol I ange belopp eller 0",IF(AND(J33&gt;0,J34=""),"rad 554 kol J ange belopp eller 0",IF(AND(K33&gt;0,K34=""),"rad 554 kol K ange belopp eller 0",IF(AND(L33&gt;0,L34=""),"rad 554 kol L ange belopp eller 0","")))))</f>
        <v/>
      </c>
      <c r="L45" s="171"/>
      <c r="O45" s="346" t="str">
        <f>IF(O34&gt;O33,"Kol. O, därav &gt; total, rad 554",IF(P34&gt;P33,"Kol. P, därav &gt; total, rad 554",IF(Q34&gt;Q33,"Kol.Q, därav &gt; total, rad 554",IF(R34&gt;R33,"Kol.R, därav &gt; total, rad 554",IF(S34&gt;S33,"Kol.S, därav &gt; total, rad 554","")))))</f>
        <v/>
      </c>
      <c r="Q45" s="317" t="str">
        <f>IF(N33=0,"",IF(AND(O33&gt;0,O34=""),"rad 554 kol O ange belopp eller 0 ",IF(AND(P33&gt;0,P34=""),"rad 554 kol P ange belopp eller 0",IF(AND(Q33&gt;0,Q34=""),"rad 554 kol Q ange belopp eller 0",IF(AND(R33&gt;0,R34=""),"rad 554 kol R ange belopp eller 0",IF(AND(S33&gt;0,S34=""),"rad 554 kol S ange belopp eller 0",""))))))</f>
        <v/>
      </c>
      <c r="R45" s="171"/>
      <c r="S45" s="346" t="str">
        <f>IF(T34&gt;T33,"Kol. T därav &gt; total, rad 554",IF(U34&gt;U33,"Kol. U därav &gt; total, rad 554",IF(V34&gt;V33,"Kol. V därav &gt; total, rad 554",IF(W34&gt;W33,"Kol. W därav &gt; total, rad 554",""))))</f>
        <v/>
      </c>
      <c r="T45" s="1315" t="str">
        <f>IF(N33=0,"",IF(AND(T33&gt;0,T34=""),"rad 554 kol T ange belopp eller 0",IF(AND(U33&gt;0,U34=""),"rad 554 kol U ange belopp eller 0",IF(AND(V33&gt;0,V34=""),"rad 554 kol V ange belopp eller 0",IF(AND(W33&gt;0,W34=""),"rad 554 kol W ange belopp eller 0","")))))</f>
        <v/>
      </c>
      <c r="V45" s="172"/>
      <c r="W45" s="259"/>
      <c r="X45" s="346" t="str">
        <f>IF(Y34&gt;Y33,"kolY,rad554,därav&gt;total",IF(Z34&gt;Z33,"kolZ,rad554 därav&gt;total",IF(AA34&gt;AA33,"kolAA,rad554,därav&gt;total",IF(AB34&gt;AB33,"kolAB,rad554,därav&gt;total",IF(AC34&gt;AC33,"kolAC,rad554,därav&gt;total","")))))</f>
        <v/>
      </c>
      <c r="Y45" s="317" t="str">
        <f>IF(AND(Y33&gt;0,Y34=""),"rad 554 ange belopp eller 0","")</f>
        <v/>
      </c>
      <c r="Z45" s="317" t="str">
        <f>IF(AND(Z33&gt;0,Z34=""),"rad 554 ange belopp eller 0","")</f>
        <v/>
      </c>
      <c r="AA45" s="317" t="str">
        <f>IF(AND(AA33&gt;0,AA34=""),"rad 554 ange belopp eller 0","")</f>
        <v/>
      </c>
      <c r="AB45" s="317" t="str">
        <f>IF(AND(AB33&gt;0,AB34=""),"rad 554 ange belopp eller 0","")</f>
        <v/>
      </c>
      <c r="AC45" s="317" t="str">
        <f>IF(AND(AC33&gt;0,AC34=""),"rad 554 ange belopp eller 0","")</f>
        <v/>
      </c>
    </row>
    <row r="46" spans="1:30" ht="9.75" customHeight="1">
      <c r="C46" s="8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8"/>
      <c r="O46" s="10"/>
      <c r="P46" s="10"/>
      <c r="Q46" s="10"/>
      <c r="R46" s="10"/>
      <c r="S46" s="10"/>
      <c r="T46" s="10"/>
      <c r="V46" s="10"/>
      <c r="W46" s="10"/>
      <c r="X46" s="10"/>
      <c r="Y46" s="8"/>
      <c r="Z46" s="8"/>
      <c r="AA46" s="7"/>
      <c r="AB46" s="10"/>
      <c r="AC46" s="2447"/>
    </row>
    <row r="47" spans="1:30" ht="10.5" customHeight="1">
      <c r="A47" s="43"/>
      <c r="B47" s="43"/>
      <c r="C47" s="2699"/>
      <c r="D47" s="2699"/>
      <c r="E47" s="2699"/>
      <c r="F47" s="2699"/>
      <c r="G47" s="2699"/>
      <c r="H47" s="2699"/>
      <c r="L47" s="1909"/>
      <c r="M47" s="178"/>
      <c r="N47" s="2699"/>
      <c r="O47" s="2699"/>
      <c r="P47" s="2699"/>
      <c r="Q47" s="2699"/>
      <c r="R47" s="2699"/>
      <c r="S47" s="2699"/>
      <c r="T47" s="170"/>
      <c r="U47" s="1910"/>
      <c r="V47" s="1908"/>
      <c r="W47" s="1908"/>
      <c r="X47" s="1908"/>
      <c r="Y47" s="2699"/>
      <c r="Z47" s="2699"/>
      <c r="AA47" s="2699"/>
      <c r="AB47" s="2699"/>
      <c r="AC47" s="2699"/>
    </row>
    <row r="48" spans="1:30" ht="9.75" customHeight="1">
      <c r="A48" s="43"/>
      <c r="B48" s="43"/>
      <c r="C48" s="2699"/>
      <c r="D48" s="2699"/>
      <c r="E48" s="2699"/>
      <c r="F48" s="2699"/>
      <c r="G48" s="2699"/>
      <c r="H48" s="2699"/>
      <c r="L48" s="1909"/>
      <c r="M48" s="178"/>
      <c r="N48" s="2699"/>
      <c r="O48" s="2699"/>
      <c r="P48" s="2699"/>
      <c r="Q48" s="2699"/>
      <c r="R48" s="2699"/>
      <c r="S48" s="2699"/>
      <c r="T48" s="46"/>
      <c r="U48" s="1910"/>
      <c r="V48" s="1908"/>
      <c r="W48" s="1908"/>
      <c r="X48" s="1908"/>
      <c r="Y48" s="2699"/>
      <c r="Z48" s="2699"/>
      <c r="AA48" s="2699"/>
      <c r="AB48" s="2699"/>
      <c r="AC48" s="2699"/>
    </row>
    <row r="49" spans="1:29" ht="12.75">
      <c r="A49" s="43"/>
      <c r="B49" s="43"/>
      <c r="C49" s="2699"/>
      <c r="D49" s="2699"/>
      <c r="E49" s="2699"/>
      <c r="F49" s="2699"/>
      <c r="G49" s="2699"/>
      <c r="H49" s="2699"/>
      <c r="L49" s="1913"/>
      <c r="M49" s="2448"/>
      <c r="N49" s="2699"/>
      <c r="O49" s="2699"/>
      <c r="P49" s="2699"/>
      <c r="Q49" s="2699"/>
      <c r="R49" s="2699"/>
      <c r="S49" s="2699"/>
      <c r="T49" s="10"/>
      <c r="U49" s="1907"/>
      <c r="V49" s="1908"/>
      <c r="W49" s="1908"/>
      <c r="X49" s="1908"/>
      <c r="Y49" s="2699"/>
      <c r="Z49" s="2699"/>
      <c r="AA49" s="2699"/>
      <c r="AB49" s="2699"/>
      <c r="AC49" s="2699"/>
    </row>
    <row r="50" spans="1:29">
      <c r="A50" s="43"/>
      <c r="B50" s="43"/>
      <c r="C50" s="2699"/>
      <c r="D50" s="2699"/>
      <c r="E50" s="2699"/>
      <c r="F50" s="2699"/>
      <c r="G50" s="2699"/>
      <c r="H50" s="2699"/>
      <c r="L50" s="1913"/>
      <c r="M50" s="2448"/>
      <c r="N50" s="2699"/>
      <c r="O50" s="2699"/>
      <c r="P50" s="2699"/>
      <c r="Q50" s="2699"/>
      <c r="R50" s="2699"/>
      <c r="S50" s="2699"/>
      <c r="T50" s="10"/>
      <c r="Y50" s="2699"/>
      <c r="Z50" s="2699"/>
      <c r="AA50" s="2699"/>
      <c r="AB50" s="2699"/>
      <c r="AC50" s="2699"/>
    </row>
    <row r="51" spans="1:29" ht="12" customHeight="1">
      <c r="A51" s="43"/>
      <c r="B51" s="43"/>
      <c r="L51" s="260"/>
      <c r="M51" s="43"/>
      <c r="T51" s="43"/>
      <c r="U51" s="43"/>
      <c r="V51" s="43"/>
      <c r="W51" s="43"/>
      <c r="X51" s="43"/>
    </row>
    <row r="52" spans="1:29"/>
    <row r="53" spans="1:29"/>
    <row r="54" spans="1:29"/>
    <row r="55" spans="1:29"/>
    <row r="56" spans="1:29" hidden="1"/>
    <row r="57" spans="1:29" hidden="1"/>
    <row r="58" spans="1:29" hidden="1"/>
    <row r="59" spans="1:29" hidden="1"/>
    <row r="60" spans="1:29" hidden="1"/>
    <row r="61" spans="1:29" hidden="1"/>
    <row r="62" spans="1:29" hidden="1"/>
    <row r="63" spans="1:29" hidden="1"/>
    <row r="64" spans="1:29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</sheetData>
  <sheetProtection password="CBFD" sheet="1" objects="1" scenarios="1"/>
  <customSheetViews>
    <customSheetView guid="{27C9E95B-0E2B-454F-B637-1CECC9579A10}" showGridLines="0" hiddenRows="1" hiddenColumns="1" showRuler="0">
      <pane xSplit="2" topLeftCell="J1" activePane="topRight" state="frozen"/>
      <selection pane="topRight" activeCell="AD22" sqref="AD22"/>
      <colBreaks count="2" manualBreakCount="2">
        <brk id="13" max="1048575" man="1"/>
        <brk id="24" max="1048575" man="1"/>
      </colBreaks>
      <pageMargins left="0.70866141732283472" right="0.70866141732283472" top="0.74803149606299213" bottom="0.41" header="0.31496062992125984" footer="0.31496062992125984"/>
      <pageSetup paperSize="9" scale="83" orientation="landscape" r:id="rId1"/>
      <headerFooter alignWithMargins="0">
        <oddHeader>&amp;L&amp;8Statistiska Centralbyrån
Offentlig ekonomi&amp;R&amp;P</oddHeader>
      </headerFooter>
    </customSheetView>
    <customSheetView guid="{99FBDEB7-DD08-4F57-81F4-3C180403E153}" showGridLines="0" hiddenRows="1" hiddenColumns="1">
      <pane xSplit="2" topLeftCell="C1" activePane="topRight" state="frozen"/>
      <selection pane="topRight" activeCell="J2" sqref="J2"/>
      <colBreaks count="2" manualBreakCount="2">
        <brk id="13" max="1048575" man="1"/>
        <brk id="24" max="1048575" man="1"/>
      </colBreaks>
      <pageMargins left="0.70866141732283472" right="0.70866141732283472" top="0.74803149606299213" bottom="0.41" header="0.31496062992125984" footer="0.31496062992125984"/>
      <pageSetup paperSize="9" scale="83" orientation="landscape" r:id="rId2"/>
      <headerFooter>
        <oddHeader>&amp;L&amp;8Statistiska Centralbyrån
Offentlig ekonomi&amp;R&amp;P</oddHeader>
      </headerFooter>
    </customSheetView>
    <customSheetView guid="{97D6DB71-3F4C-4C5F-8C5B-51E3EBF78932}" showPageBreaks="1" showGridLines="0" hiddenRows="1" hiddenColumns="1" topLeftCell="A4">
      <pane xSplit="2" topLeftCell="X1" activePane="topRight" state="frozen"/>
      <selection pane="topRight" activeCell="J2" sqref="J2"/>
      <colBreaks count="2" manualBreakCount="2">
        <brk id="13" max="1048575" man="1"/>
        <brk id="24" max="1048575" man="1"/>
      </colBreaks>
      <pageMargins left="0.70866141732283472" right="0.70866141732283472" top="0.74803149606299213" bottom="0.41" header="0.31496062992125984" footer="0.31496062992125984"/>
      <pageSetup paperSize="9" scale="83" orientation="landscape" r:id="rId3"/>
      <headerFooter>
        <oddHeader>&amp;L&amp;8Statistiska Centralbyrån
Offentlig ekonomi&amp;R&amp;P</oddHeader>
      </headerFooter>
    </customSheetView>
  </customSheetViews>
  <mergeCells count="3">
    <mergeCell ref="C47:H50"/>
    <mergeCell ref="N47:S50"/>
    <mergeCell ref="Y47:AC50"/>
  </mergeCells>
  <phoneticPr fontId="95" type="noConversion"/>
  <conditionalFormatting sqref="D32:L32 D34:L34 O34:W34 O32:W32 Y32:AC32 Y34:AC34">
    <cfRule type="cellIs" dxfId="66" priority="35" stopIfTrue="1" operator="lessThan">
      <formula>-500</formula>
    </cfRule>
    <cfRule type="cellIs" dxfId="65" priority="36" stopIfTrue="1" operator="greaterThan">
      <formula>D31</formula>
    </cfRule>
  </conditionalFormatting>
  <conditionalFormatting sqref="M9:M26 M30:M40 X9:X40">
    <cfRule type="cellIs" dxfId="64" priority="22" stopIfTrue="1" operator="notBetween">
      <formula>-500</formula>
      <formula>500</formula>
    </cfRule>
  </conditionalFormatting>
  <conditionalFormatting sqref="M27:M29">
    <cfRule type="cellIs" dxfId="63" priority="6" stopIfTrue="1" operator="notBetween">
      <formula>-10</formula>
      <formula>10</formula>
    </cfRule>
  </conditionalFormatting>
  <conditionalFormatting sqref="D9:L39 Y9:AC39 O9:W39">
    <cfRule type="cellIs" dxfId="62" priority="4" stopIfTrue="1" operator="lessThan">
      <formula>-500</formula>
    </cfRule>
  </conditionalFormatting>
  <conditionalFormatting sqref="J9:J39">
    <cfRule type="cellIs" dxfId="61" priority="3" stopIfTrue="1" operator="greaterThan">
      <formula>1</formula>
    </cfRule>
  </conditionalFormatting>
  <conditionalFormatting sqref="U31">
    <cfRule type="cellIs" dxfId="60" priority="2" stopIfTrue="1" operator="greaterThan">
      <formula>1</formula>
    </cfRule>
  </conditionalFormatting>
  <conditionalFormatting sqref="U33">
    <cfRule type="cellIs" dxfId="59" priority="1" stopIfTrue="1" operator="greaterThan">
      <formula>1</formula>
    </cfRule>
  </conditionalFormatting>
  <dataValidations count="1">
    <dataValidation type="decimal" operator="lessThan" allowBlank="1" showInputMessage="1" showErrorMessage="1" error="Beloppet ska vara i 1000 tal kr" sqref="D9:L39 O9:W39 Y9:AC39 C32 C34 N32 N34">
      <formula1>99999999</formula1>
    </dataValidation>
  </dataValidations>
  <pageMargins left="0.70866141732283472" right="0.70866141732283472" top="0.54" bottom="0.17" header="0.19685039370078741" footer="0.15748031496062992"/>
  <pageSetup paperSize="9" scale="65" orientation="landscape" r:id="rId4"/>
  <headerFooter>
    <oddHeader>&amp;L&amp;8Statistiska Centralbyrån
Offentlig ekonomi&amp;R&amp;P</oddHeader>
  </headerFooter>
  <colBreaks count="2" manualBreakCount="2">
    <brk id="13" max="1048575" man="1"/>
    <brk id="2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:IV104"/>
  <sheetViews>
    <sheetView showGridLines="0" zoomScaleNormal="100" workbookViewId="0">
      <pane xSplit="2" ySplit="7" topLeftCell="C8" activePane="bottomRight" state="frozen"/>
      <selection activeCell="I28" sqref="I28"/>
      <selection pane="topRight" activeCell="I28" sqref="I28"/>
      <selection pane="bottomLeft" activeCell="I28" sqref="I28"/>
      <selection pane="bottomRight" activeCell="Q12" sqref="Q12"/>
    </sheetView>
  </sheetViews>
  <sheetFormatPr defaultColWidth="0" defaultRowHeight="0" customHeight="1" zeroHeight="1"/>
  <cols>
    <col min="1" max="1" width="4" style="274" customWidth="1"/>
    <col min="2" max="2" width="27.140625" style="221" customWidth="1"/>
    <col min="3" max="3" width="10.140625" style="221" customWidth="1"/>
    <col min="4" max="5" width="10.28515625" style="221" customWidth="1"/>
    <col min="6" max="6" width="9.7109375" style="221" customWidth="1"/>
    <col min="7" max="7" width="8.42578125" style="221" customWidth="1"/>
    <col min="8" max="8" width="8.42578125" style="275" hidden="1" customWidth="1"/>
    <col min="9" max="9" width="14.28515625" style="221" customWidth="1"/>
    <col min="10" max="10" width="5.7109375" style="221" customWidth="1"/>
    <col min="11" max="11" width="1.28515625" style="222" customWidth="1"/>
    <col min="12" max="12" width="0.85546875" style="222" customWidth="1"/>
    <col min="13" max="13" width="10.28515625" style="175" customWidth="1"/>
    <col min="14" max="14" width="1" style="175" customWidth="1"/>
    <col min="15" max="15" width="0.85546875" style="175" customWidth="1"/>
    <col min="16" max="16" width="0.5703125" style="276" customWidth="1"/>
    <col min="17" max="17" width="46" style="4" customWidth="1"/>
    <col min="18" max="23" width="8.42578125" style="174" customWidth="1"/>
    <col min="24" max="24" width="8.42578125" style="175" customWidth="1"/>
    <col min="25" max="26" width="9.140625" style="174" customWidth="1"/>
    <col min="27" max="16384" width="0" style="174" hidden="1"/>
  </cols>
  <sheetData>
    <row r="1" spans="1:256" ht="21.75">
      <c r="A1" s="82" t="str">
        <f>"Specificering pedagogisk verksamhet "&amp;År&amp;", miljoner kr"</f>
        <v>Specificering pedagogisk verksamhet 2017, miljoner kr</v>
      </c>
      <c r="B1" s="83"/>
      <c r="C1" s="83"/>
      <c r="D1" s="83"/>
      <c r="E1" s="173"/>
      <c r="F1" s="173"/>
      <c r="G1" s="173"/>
      <c r="H1" s="261"/>
      <c r="I1" s="523" t="s">
        <v>471</v>
      </c>
      <c r="J1" s="520" t="str">
        <f>'Kn Information'!A2</f>
        <v>RIKSTOTAL</v>
      </c>
      <c r="K1" s="201"/>
      <c r="L1" s="201"/>
      <c r="M1" s="1329"/>
      <c r="N1" s="173"/>
      <c r="O1" s="82"/>
      <c r="P1" s="144"/>
      <c r="Q1" s="173"/>
      <c r="R1" s="173"/>
      <c r="S1" s="173"/>
      <c r="T1" s="173"/>
      <c r="U1" s="173"/>
      <c r="V1" s="173"/>
      <c r="W1" s="173"/>
      <c r="X1" s="2466"/>
      <c r="Y1" s="209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3"/>
      <c r="GD1" s="173"/>
      <c r="GE1" s="173"/>
      <c r="GF1" s="173"/>
      <c r="GG1" s="173"/>
      <c r="GH1" s="173"/>
      <c r="GI1" s="173"/>
      <c r="GJ1" s="173"/>
      <c r="GK1" s="173"/>
      <c r="GL1" s="173"/>
      <c r="GM1" s="173"/>
      <c r="GN1" s="173"/>
      <c r="GO1" s="173"/>
      <c r="GP1" s="173"/>
      <c r="GQ1" s="173"/>
      <c r="GR1" s="173"/>
      <c r="GS1" s="173"/>
      <c r="GT1" s="173"/>
      <c r="GU1" s="173"/>
      <c r="GV1" s="173"/>
      <c r="GW1" s="173"/>
      <c r="GX1" s="173"/>
      <c r="GY1" s="173"/>
      <c r="GZ1" s="173"/>
      <c r="HA1" s="173"/>
      <c r="HB1" s="173"/>
      <c r="HC1" s="173"/>
      <c r="HD1" s="173"/>
      <c r="HE1" s="173"/>
      <c r="HF1" s="173"/>
      <c r="HG1" s="173"/>
      <c r="HH1" s="173"/>
      <c r="HI1" s="173"/>
      <c r="HJ1" s="173"/>
      <c r="HK1" s="173"/>
      <c r="HL1" s="173"/>
      <c r="HM1" s="173"/>
      <c r="HN1" s="173"/>
      <c r="HO1" s="173"/>
      <c r="HP1" s="173"/>
      <c r="HQ1" s="173"/>
      <c r="HR1" s="173"/>
      <c r="HS1" s="173"/>
      <c r="HT1" s="173"/>
      <c r="HU1" s="173"/>
      <c r="HV1" s="173"/>
      <c r="HW1" s="173"/>
      <c r="HX1" s="173"/>
      <c r="HY1" s="173"/>
      <c r="HZ1" s="173"/>
      <c r="IA1" s="173"/>
      <c r="IB1" s="173"/>
      <c r="IC1" s="173"/>
      <c r="ID1" s="173"/>
      <c r="IE1" s="173"/>
      <c r="IF1" s="173"/>
      <c r="IG1" s="173"/>
      <c r="IH1" s="173"/>
      <c r="II1" s="173"/>
      <c r="IJ1" s="173"/>
      <c r="IK1" s="173"/>
      <c r="IL1" s="173"/>
      <c r="IM1" s="173"/>
      <c r="IN1" s="173"/>
      <c r="IO1" s="173"/>
      <c r="IP1" s="173"/>
      <c r="IQ1" s="173"/>
      <c r="IR1" s="173"/>
      <c r="IS1" s="173"/>
      <c r="IT1" s="173"/>
      <c r="IU1" s="173"/>
      <c r="IV1" s="173"/>
    </row>
    <row r="2" spans="1:256" ht="17.25" customHeight="1">
      <c r="A2" s="1291"/>
      <c r="C2" s="1372"/>
      <c r="D2" s="45"/>
      <c r="E2" s="209"/>
      <c r="F2" s="209"/>
      <c r="G2" s="263"/>
      <c r="H2" s="264"/>
      <c r="I2" s="45"/>
      <c r="K2" s="1449"/>
      <c r="L2" s="174"/>
      <c r="O2" s="2229"/>
      <c r="P2" s="45"/>
      <c r="Q2" s="1322"/>
      <c r="X2" s="174"/>
    </row>
    <row r="3" spans="1:256" ht="17.25" customHeight="1" thickBot="1">
      <c r="C3" s="1372"/>
      <c r="D3" s="45"/>
      <c r="E3" s="263"/>
      <c r="F3" s="263"/>
      <c r="G3" s="263"/>
      <c r="H3" s="264"/>
      <c r="I3" s="45"/>
      <c r="K3" s="265"/>
      <c r="L3" s="265"/>
      <c r="M3" s="1324"/>
      <c r="N3" s="1324"/>
      <c r="O3" s="2230"/>
      <c r="P3" s="8"/>
      <c r="Q3" s="1323"/>
      <c r="X3" s="228"/>
    </row>
    <row r="4" spans="1:256" ht="11.25" customHeight="1">
      <c r="A4" s="1393" t="s">
        <v>656</v>
      </c>
      <c r="B4" s="1392" t="s">
        <v>470</v>
      </c>
      <c r="C4" s="2473" t="s">
        <v>145</v>
      </c>
      <c r="D4" s="1383"/>
      <c r="E4" s="816" t="s">
        <v>145</v>
      </c>
      <c r="F4" s="1383"/>
      <c r="G4" s="1382"/>
      <c r="H4" s="266" t="s">
        <v>608</v>
      </c>
      <c r="I4" s="2749" t="s">
        <v>1319</v>
      </c>
      <c r="J4" s="2750"/>
      <c r="K4" s="2750"/>
      <c r="L4" s="2751"/>
      <c r="M4" s="2734" t="s">
        <v>1066</v>
      </c>
      <c r="N4" s="2483"/>
      <c r="O4" s="2484"/>
      <c r="P4" s="2493" t="s">
        <v>42</v>
      </c>
      <c r="Q4" s="2740" t="s">
        <v>63</v>
      </c>
      <c r="R4" s="267"/>
      <c r="S4" s="267"/>
      <c r="X4" s="1403"/>
    </row>
    <row r="5" spans="1:256" ht="12.75" customHeight="1">
      <c r="A5" s="1394" t="s">
        <v>659</v>
      </c>
      <c r="B5" s="860"/>
      <c r="C5" s="1085" t="s">
        <v>47</v>
      </c>
      <c r="D5" s="2743" t="s">
        <v>896</v>
      </c>
      <c r="E5" s="818" t="s">
        <v>152</v>
      </c>
      <c r="F5" s="2743" t="s">
        <v>513</v>
      </c>
      <c r="G5" s="2746" t="s">
        <v>1320</v>
      </c>
      <c r="H5" s="153"/>
      <c r="I5" s="2752"/>
      <c r="J5" s="2753"/>
      <c r="K5" s="2753"/>
      <c r="L5" s="2754"/>
      <c r="M5" s="2735"/>
      <c r="N5" s="2483"/>
      <c r="O5" s="150"/>
      <c r="P5" s="2494" t="s">
        <v>810</v>
      </c>
      <c r="Q5" s="2741"/>
      <c r="R5" s="267"/>
      <c r="S5" s="267"/>
      <c r="X5" s="1403"/>
    </row>
    <row r="6" spans="1:256" ht="36.75" customHeight="1">
      <c r="A6" s="1086"/>
      <c r="B6" s="860"/>
      <c r="C6" s="1085"/>
      <c r="D6" s="2744"/>
      <c r="E6" s="566"/>
      <c r="F6" s="2744"/>
      <c r="G6" s="2747"/>
      <c r="H6" s="153"/>
      <c r="I6" s="1461"/>
      <c r="J6" s="1478"/>
      <c r="K6" s="1478"/>
      <c r="L6" s="1479"/>
      <c r="M6" s="2736"/>
      <c r="N6" s="2485"/>
      <c r="O6" s="150"/>
      <c r="P6" s="2495" t="s">
        <v>1308</v>
      </c>
      <c r="Q6" s="2741"/>
      <c r="S6" s="267"/>
      <c r="X6" s="1400"/>
      <c r="IV6" s="2739"/>
    </row>
    <row r="7" spans="1:256" ht="93.75" customHeight="1" thickBot="1">
      <c r="A7" s="1079"/>
      <c r="B7" s="860"/>
      <c r="C7" s="1081"/>
      <c r="D7" s="2745"/>
      <c r="E7" s="566"/>
      <c r="F7" s="2745"/>
      <c r="G7" s="2748"/>
      <c r="H7" s="153"/>
      <c r="I7" s="1480"/>
      <c r="J7" s="860"/>
      <c r="K7" s="1482"/>
      <c r="L7" s="1481"/>
      <c r="M7" s="2474" t="str">
        <f>"År "&amp;År</f>
        <v>År 2017</v>
      </c>
      <c r="N7" s="1403"/>
      <c r="O7" s="1403"/>
      <c r="P7" s="2496" t="s">
        <v>1309</v>
      </c>
      <c r="Q7" s="2742"/>
      <c r="R7" s="2472"/>
      <c r="S7" s="267"/>
      <c r="X7" s="1403"/>
      <c r="IV7" s="2739"/>
    </row>
    <row r="8" spans="1:256" ht="12.75">
      <c r="A8" s="1106" t="s">
        <v>407</v>
      </c>
      <c r="B8" s="1107" t="s">
        <v>570</v>
      </c>
      <c r="C8" s="127">
        <f>Drift!P47</f>
        <v>83611</v>
      </c>
      <c r="D8" s="128">
        <f>SUM(Motpart!D13:L13)</f>
        <v>14829</v>
      </c>
      <c r="E8" s="128">
        <f>Drift!W47</f>
        <v>18493</v>
      </c>
      <c r="F8" s="128">
        <f>Motpart!Y13</f>
        <v>350</v>
      </c>
      <c r="G8" s="135">
        <f>Drift!V47</f>
        <v>8264</v>
      </c>
      <c r="H8" s="154"/>
      <c r="I8" s="1070" t="s">
        <v>977</v>
      </c>
      <c r="J8" s="1580">
        <v>607</v>
      </c>
      <c r="K8" s="1468"/>
      <c r="L8" s="1469"/>
      <c r="M8" s="2475">
        <f>(C8-F8-G8)*1000/J8</f>
        <v>123553.54200988468</v>
      </c>
      <c r="N8" s="1345"/>
      <c r="O8" s="2486"/>
      <c r="P8" s="2490" t="str">
        <f>IF(M8="","",IF(AND(O8&gt;-3%,O8&lt;3%),"",IF(OR(AND(M8&lt;132000,M8&gt;73000),M8=0),IF(AND(O8&gt;-20%,O8&lt;20%),"","Kommentera förändringen"),"Kommentera riksavvikelsen")))</f>
        <v/>
      </c>
      <c r="Q8" s="1258" t="s">
        <v>983</v>
      </c>
      <c r="R8" s="2470"/>
      <c r="S8" s="267"/>
      <c r="X8" s="1345"/>
    </row>
    <row r="9" spans="1:256" s="1308" customFormat="1" ht="11.25">
      <c r="A9" s="1108" t="s">
        <v>326</v>
      </c>
      <c r="B9" s="1109" t="s">
        <v>374</v>
      </c>
      <c r="C9" s="375">
        <f>C8-G8-D8</f>
        <v>60518</v>
      </c>
      <c r="D9" s="1087"/>
      <c r="E9" s="1093"/>
      <c r="F9" s="1093"/>
      <c r="G9" s="1099"/>
      <c r="H9" s="155">
        <v>850</v>
      </c>
      <c r="I9" s="1462"/>
      <c r="J9" s="1463"/>
      <c r="K9" s="1466"/>
      <c r="L9" s="1467"/>
      <c r="M9" s="643">
        <f>C9*1000/J8</f>
        <v>99700.164744645794</v>
      </c>
      <c r="N9" s="1345"/>
      <c r="O9" s="2486"/>
      <c r="P9" s="2490" t="str">
        <f>IF(M9="","",IF(AND(O9&gt;-3%,O9&lt;3%),"",IF(OR(AND(M9&lt;129000,M9&gt;23000),M9=0),IF(AND(O9&gt;-20%,O9&lt;20%),"","Kommentera förändringen"),"Kommentera riksavvikelsen")))</f>
        <v/>
      </c>
      <c r="Q9" s="1141" t="s">
        <v>984</v>
      </c>
      <c r="R9" s="2737"/>
      <c r="S9" s="2738"/>
      <c r="T9" s="2738"/>
      <c r="U9" s="2738"/>
      <c r="V9" s="2738"/>
      <c r="W9" s="2738"/>
      <c r="X9" s="1345"/>
      <c r="Y9" s="1306"/>
      <c r="Z9" s="1306"/>
    </row>
    <row r="10" spans="1:256" s="1306" customFormat="1" ht="18.75">
      <c r="A10" s="1108" t="s">
        <v>324</v>
      </c>
      <c r="B10" s="1110" t="s">
        <v>375</v>
      </c>
      <c r="C10" s="88">
        <f>Drift!C47+Drift!D47</f>
        <v>44080</v>
      </c>
      <c r="D10" s="1087"/>
      <c r="E10" s="1094"/>
      <c r="F10" s="1094"/>
      <c r="G10" s="1099"/>
      <c r="H10" s="155">
        <v>851</v>
      </c>
      <c r="I10" s="1462"/>
      <c r="J10" s="1463"/>
      <c r="K10" s="1146"/>
      <c r="L10" s="1464"/>
      <c r="M10" s="643">
        <f>IF(C10=0,0,C10*100/C9)</f>
        <v>72.83783337188936</v>
      </c>
      <c r="N10" s="1345"/>
      <c r="O10" s="2486"/>
      <c r="P10" s="2490" t="str">
        <f>IF(M10="","",IF(AND(O10&gt;-3%,O10&lt;3%),"",IF(OR(AND(M10&lt;85,M10&gt;61),M10=0),IF(AND(O10&gt;-20%,O10&lt;20%),"","Kommentera förändringen"),"Kommentera riksavvikelsen")))</f>
        <v/>
      </c>
      <c r="Q10" s="1141" t="s">
        <v>376</v>
      </c>
      <c r="R10" s="2738"/>
      <c r="S10" s="2738"/>
      <c r="T10" s="2738"/>
      <c r="U10" s="2738"/>
      <c r="V10" s="2738"/>
      <c r="W10" s="2738"/>
      <c r="X10" s="1345"/>
    </row>
    <row r="11" spans="1:256" s="1306" customFormat="1" ht="11.25">
      <c r="A11" s="1108" t="s">
        <v>327</v>
      </c>
      <c r="B11" s="1110" t="s">
        <v>567</v>
      </c>
      <c r="C11" s="278">
        <v>8803</v>
      </c>
      <c r="D11" s="1088"/>
      <c r="E11" s="255">
        <v>213</v>
      </c>
      <c r="F11" s="1094"/>
      <c r="G11" s="277">
        <v>190</v>
      </c>
      <c r="H11" s="155"/>
      <c r="I11" s="860"/>
      <c r="J11" s="1581"/>
      <c r="K11" s="1140"/>
      <c r="L11" s="1465"/>
      <c r="M11" s="643">
        <f>(C11-E11)*1000/J8</f>
        <v>14151.565074135091</v>
      </c>
      <c r="N11" s="1345"/>
      <c r="O11" s="2486"/>
      <c r="P11" s="2490" t="str">
        <f>IF(M11="","",IF(AND(O11&gt;-3%,O11&lt;3%),"",IF(OR(AND(M11&lt;23000,M11&gt;3000),M11=0),IF(AND(O11&gt;-20%,O11&lt;20%),"","Kommentera förändringen"),"Kommentera riksavvikelsen")))</f>
        <v/>
      </c>
      <c r="Q11" s="1141" t="s">
        <v>985</v>
      </c>
      <c r="R11" s="2738"/>
      <c r="S11" s="2738"/>
      <c r="T11" s="2738"/>
      <c r="U11" s="2738"/>
      <c r="V11" s="2738"/>
      <c r="W11" s="2738"/>
      <c r="X11" s="1345"/>
    </row>
    <row r="12" spans="1:256" s="1306" customFormat="1" ht="11.25">
      <c r="A12" s="1108" t="s">
        <v>473</v>
      </c>
      <c r="B12" s="1110" t="s">
        <v>1278</v>
      </c>
      <c r="C12" s="1091"/>
      <c r="D12" s="1089"/>
      <c r="E12" s="89">
        <f>Drift!R47</f>
        <v>4483</v>
      </c>
      <c r="F12" s="1095"/>
      <c r="G12" s="1325"/>
      <c r="H12" s="167" t="s">
        <v>582</v>
      </c>
      <c r="I12" s="1143"/>
      <c r="J12" s="1463"/>
      <c r="K12" s="1466"/>
      <c r="L12" s="1467"/>
      <c r="M12" s="643">
        <f>(Motpart!G13+Motpart!K13)*1000/J8</f>
        <v>594.72817133443164</v>
      </c>
      <c r="N12" s="1345"/>
      <c r="O12" s="2486"/>
      <c r="P12" s="2491" t="str">
        <f>IF(M12="","",IF(AND(O12&gt;-3%,O12&lt;3%),"",IF(OR(AND(M12&lt;5000,M12&gt;0),M12=0),IF(OR(AND(O12&gt;-50%,O12&lt;50%),X12&lt;750),"","Kommentera förändringen"),"Kommentera riksavvikelsen")))</f>
        <v/>
      </c>
      <c r="Q12" s="1141" t="s">
        <v>986</v>
      </c>
      <c r="R12" s="2738"/>
      <c r="S12" s="2738"/>
      <c r="T12" s="2738"/>
      <c r="U12" s="2738"/>
      <c r="V12" s="2738"/>
      <c r="W12" s="2738"/>
      <c r="X12" s="1345"/>
    </row>
    <row r="13" spans="1:256" s="1306" customFormat="1" ht="11.25">
      <c r="A13" s="1108" t="s">
        <v>474</v>
      </c>
      <c r="B13" s="1110" t="s">
        <v>475</v>
      </c>
      <c r="C13" s="1092"/>
      <c r="D13" s="1089"/>
      <c r="E13" s="255">
        <v>430</v>
      </c>
      <c r="F13" s="1095"/>
      <c r="G13" s="1325"/>
      <c r="H13" s="168" t="s">
        <v>583</v>
      </c>
      <c r="I13" s="1143"/>
      <c r="J13" s="1463"/>
      <c r="K13" s="1466"/>
      <c r="L13" s="1467"/>
      <c r="M13" s="643">
        <f>F8*1000/J8</f>
        <v>576.60626029654031</v>
      </c>
      <c r="N13" s="1345"/>
      <c r="O13" s="2486"/>
      <c r="P13" s="2490" t="str">
        <f>IF(M13="","",IF(AND(O13&gt;-3%,O13&lt;3%),"",IF(OR(AND(M13&lt;3000,M13&gt;0),M13=0),IF(OR(AND(O13&gt;-50%,O13&lt;50%),X13&lt;490),"","Kommentera förändringen"),"Kommentera riksavvikelsen")))</f>
        <v/>
      </c>
      <c r="Q13" s="1141" t="s">
        <v>987</v>
      </c>
      <c r="R13" s="2738"/>
      <c r="S13" s="2738"/>
      <c r="T13" s="2738"/>
      <c r="U13" s="2738"/>
      <c r="V13" s="2738"/>
      <c r="W13" s="2738"/>
      <c r="X13" s="1345"/>
    </row>
    <row r="14" spans="1:256" s="1306" customFormat="1" ht="11.25">
      <c r="A14" s="1111" t="s">
        <v>599</v>
      </c>
      <c r="B14" s="1112"/>
      <c r="C14" s="1092"/>
      <c r="D14" s="1090"/>
      <c r="E14" s="1098"/>
      <c r="F14" s="1096"/>
      <c r="G14" s="1325"/>
      <c r="H14" s="167" t="s">
        <v>584</v>
      </c>
      <c r="I14" s="1143"/>
      <c r="J14" s="1463"/>
      <c r="K14" s="1466"/>
      <c r="L14" s="1467"/>
      <c r="M14" s="643">
        <f>((Motpart!D13+Motpart!E13+Motpart!F13+Motpart!J13)-((Motpart!D13+Motpart!E13+Motpart!F13+Motpart!J13)*0.06))*1000/J8</f>
        <v>22372.619439868206</v>
      </c>
      <c r="N14" s="1345"/>
      <c r="O14" s="2486"/>
      <c r="P14" s="2490" t="str">
        <f>IF(M14="","",IF(AND(O14&gt;-3%,O14&lt;3%),"",IF(OR(AND(M14&lt;65000,M14&gt;0),M14=0),IF(OR(AND(O14&gt;-30%,O14&lt;30%),X14&lt;680),"","Kommentera förändringen"),"Kommentera riksavvikelsen")))</f>
        <v/>
      </c>
      <c r="Q14" s="1141" t="s">
        <v>988</v>
      </c>
      <c r="R14" s="2738"/>
      <c r="S14" s="2738"/>
      <c r="T14" s="2738"/>
      <c r="U14" s="2738"/>
      <c r="V14" s="2738"/>
      <c r="W14" s="2738"/>
      <c r="X14" s="1345"/>
    </row>
    <row r="15" spans="1:256" s="1309" customFormat="1" ht="12" thickBot="1">
      <c r="A15" s="1111" t="s">
        <v>322</v>
      </c>
      <c r="B15" s="1112"/>
      <c r="C15" s="1092"/>
      <c r="D15" s="1090"/>
      <c r="E15" s="1090"/>
      <c r="F15" s="1097"/>
      <c r="G15" s="1100"/>
      <c r="H15" s="156"/>
      <c r="I15" s="1477"/>
      <c r="J15" s="1582"/>
      <c r="K15" s="1142"/>
      <c r="L15" s="1475"/>
      <c r="M15" s="2478">
        <f>IF(C9=0,0,(E12-E13)*100/C9)</f>
        <v>6.6971810039988107</v>
      </c>
      <c r="N15" s="1345"/>
      <c r="O15" s="2486"/>
      <c r="P15" s="2490" t="str">
        <f>IF(M15="","",IF(OR(AND(M15&lt;12,M15&gt;0),M15=0),"","Kommentera avg.finans."))</f>
        <v/>
      </c>
      <c r="Q15" s="2467" t="s">
        <v>546</v>
      </c>
      <c r="R15" s="2471"/>
      <c r="S15" s="1306"/>
      <c r="T15" s="1306"/>
      <c r="U15" s="1306"/>
      <c r="V15" s="1306"/>
      <c r="W15" s="1306"/>
      <c r="X15" s="1345"/>
      <c r="Y15" s="1306"/>
      <c r="Z15" s="1306"/>
    </row>
    <row r="16" spans="1:256" ht="12.75">
      <c r="A16" s="1113" t="s">
        <v>714</v>
      </c>
      <c r="B16" s="1114" t="s">
        <v>571</v>
      </c>
      <c r="C16" s="86">
        <f>Drift!P50</f>
        <v>20960</v>
      </c>
      <c r="D16" s="87">
        <f>SUM(Motpart!D15:L15)</f>
        <v>2250</v>
      </c>
      <c r="E16" s="91">
        <f>Drift!W50</f>
        <v>6981</v>
      </c>
      <c r="F16" s="87">
        <f>Motpart!Y15</f>
        <v>148</v>
      </c>
      <c r="G16" s="136">
        <f>Drift!V50</f>
        <v>2686</v>
      </c>
      <c r="H16" s="153"/>
      <c r="I16" s="1070" t="s">
        <v>978</v>
      </c>
      <c r="J16" s="1580">
        <v>843</v>
      </c>
      <c r="K16" s="1476"/>
      <c r="L16" s="1469"/>
      <c r="M16" s="2476">
        <f>(C16-G16-F16)*1000/J16</f>
        <v>21501.779359430606</v>
      </c>
      <c r="N16" s="1345"/>
      <c r="O16" s="2487"/>
      <c r="P16" s="2301" t="str">
        <f>IF(M16="","",IF(AND(O16&gt;-3%,O16&lt;3%),"",IF(OR(AND(M16&lt;30000,M16&gt;8000),M16=0),IF(AND(O16&gt;-20%,O16&lt;20%),"","Kommentera förändringen"),"Kommentera riksavvikelsen")))</f>
        <v/>
      </c>
      <c r="Q16" s="2468" t="s">
        <v>1028</v>
      </c>
      <c r="R16" s="2470"/>
      <c r="S16" s="267"/>
      <c r="X16" s="1345"/>
    </row>
    <row r="17" spans="1:256" ht="12.75">
      <c r="A17" s="1108" t="s">
        <v>390</v>
      </c>
      <c r="B17" s="1115" t="s">
        <v>374</v>
      </c>
      <c r="C17" s="375">
        <f>C16-G16-D16</f>
        <v>16024</v>
      </c>
      <c r="D17" s="1101"/>
      <c r="E17" s="1102"/>
      <c r="F17" s="1102"/>
      <c r="G17" s="1099"/>
      <c r="H17" s="157" t="s">
        <v>281</v>
      </c>
      <c r="I17" s="1462"/>
      <c r="J17" s="1463"/>
      <c r="K17" s="1466"/>
      <c r="L17" s="1467"/>
      <c r="M17" s="643">
        <f>C17*1000/J16</f>
        <v>19008.303677342825</v>
      </c>
      <c r="N17" s="1345"/>
      <c r="O17" s="2487"/>
      <c r="P17" s="2301" t="str">
        <f>IF(M17="","",IF(AND(O17&gt;-3%,O17&lt;3%),"",IF(OR(AND(M17&lt;27000,M17&gt;7000),M17=0),IF(AND(O17&gt;-20%,O17&lt;20%),"","Kommentera förändringen"),"Kommentera riksavvikelsen")))</f>
        <v/>
      </c>
      <c r="Q17" s="1141" t="s">
        <v>1029</v>
      </c>
      <c r="R17" s="2737"/>
      <c r="S17" s="2699"/>
      <c r="T17" s="2699"/>
      <c r="U17" s="2699"/>
      <c r="V17" s="2699"/>
      <c r="W17" s="2699"/>
      <c r="X17" s="1345"/>
    </row>
    <row r="18" spans="1:256" ht="18.75">
      <c r="A18" s="1108" t="s">
        <v>391</v>
      </c>
      <c r="B18" s="1116" t="s">
        <v>375</v>
      </c>
      <c r="C18" s="88">
        <f>Drift!C50+Drift!D50</f>
        <v>11771</v>
      </c>
      <c r="D18" s="1101"/>
      <c r="E18" s="1094"/>
      <c r="F18" s="1094"/>
      <c r="G18" s="1099"/>
      <c r="H18" s="155" t="s">
        <v>610</v>
      </c>
      <c r="I18" s="1462"/>
      <c r="J18" s="1463"/>
      <c r="K18" s="1146"/>
      <c r="L18" s="1464"/>
      <c r="M18" s="643">
        <f>IF(C18=0,0,(C18*100/C17))</f>
        <v>73.458562156764856</v>
      </c>
      <c r="N18" s="1345"/>
      <c r="O18" s="2487"/>
      <c r="P18" s="2301" t="str">
        <f>IF(M18="","",IF(AND(O18&gt;-3%,O18&lt;3%),"",IF(OR(AND(M18&lt;94,M18&gt;51),M18=0),IF(AND(O18&gt;-20%,O18&lt;20%),"","Kommentera förändringen"),"Kommentera riksavvikelsen")))</f>
        <v/>
      </c>
      <c r="Q18" s="1141" t="s">
        <v>385</v>
      </c>
      <c r="R18" s="2699"/>
      <c r="S18" s="2699"/>
      <c r="T18" s="2699"/>
      <c r="U18" s="2699"/>
      <c r="V18" s="2699"/>
      <c r="W18" s="2699"/>
      <c r="X18" s="1345"/>
    </row>
    <row r="19" spans="1:256" ht="12.75">
      <c r="A19" s="1108" t="s">
        <v>392</v>
      </c>
      <c r="B19" s="1110" t="s">
        <v>567</v>
      </c>
      <c r="C19" s="278">
        <v>2553</v>
      </c>
      <c r="D19" s="1101"/>
      <c r="E19" s="255">
        <v>46</v>
      </c>
      <c r="F19" s="1096"/>
      <c r="G19" s="277">
        <v>40</v>
      </c>
      <c r="H19" s="153"/>
      <c r="I19" s="1462"/>
      <c r="J19" s="1581"/>
      <c r="K19" s="1140"/>
      <c r="L19" s="1465"/>
      <c r="M19" s="776">
        <f>(C19-E19)*1000/J16</f>
        <v>2973.9027283511268</v>
      </c>
      <c r="N19" s="1345"/>
      <c r="O19" s="2487"/>
      <c r="P19" s="2301" t="str">
        <f>IF(M19="","",IF(AND(O19&gt;-3%,O19&lt;3%),"",IF(OR(AND(M19&lt;7000,M19&gt;0),M19=0),IF(AND(O19&gt;-20%,O19&lt;20%),"","Kommentera förändringen"),"Kommentera riksavvikelsen")))</f>
        <v/>
      </c>
      <c r="Q19" s="1141" t="s">
        <v>1030</v>
      </c>
      <c r="R19" s="2699"/>
      <c r="S19" s="2699"/>
      <c r="T19" s="2699"/>
      <c r="U19" s="2699"/>
      <c r="V19" s="2699"/>
      <c r="W19" s="2699"/>
      <c r="X19" s="1345"/>
    </row>
    <row r="20" spans="1:256" ht="12.75">
      <c r="A20" s="1108" t="s">
        <v>585</v>
      </c>
      <c r="B20" s="1110" t="s">
        <v>514</v>
      </c>
      <c r="C20" s="1091"/>
      <c r="D20" s="1089"/>
      <c r="E20" s="92">
        <f>Drift!R50</f>
        <v>2825</v>
      </c>
      <c r="F20" s="1095"/>
      <c r="G20" s="1325"/>
      <c r="H20" s="430" t="s">
        <v>611</v>
      </c>
      <c r="I20" s="1143"/>
      <c r="J20" s="1463"/>
      <c r="K20" s="1466"/>
      <c r="L20" s="1467"/>
      <c r="M20" s="643">
        <f>IF(D16=0,0,(Motpart!G15+Motpart!K15)*1000/J16)</f>
        <v>190.98457888493476</v>
      </c>
      <c r="N20" s="1345"/>
      <c r="O20" s="2487"/>
      <c r="P20" s="2301" t="str">
        <f>IF(M20="","",IF(AND(O20&gt;-3%,O20&lt;3%),"",IF(OR(AND(M20&lt;1000,M20&gt;0),M20=0),IF(OR(AND(O20&gt;-50%,O20&lt;50%),X20&lt;198),"","Kommentera förändringen"),"Kommentera riksavvikelsen")))</f>
        <v/>
      </c>
      <c r="Q20" s="1141" t="s">
        <v>1031</v>
      </c>
      <c r="R20" s="2699"/>
      <c r="S20" s="2699"/>
      <c r="T20" s="2699"/>
      <c r="U20" s="2699"/>
      <c r="V20" s="2699"/>
      <c r="W20" s="2699"/>
      <c r="X20" s="1345"/>
    </row>
    <row r="21" spans="1:256" ht="12.75">
      <c r="A21" s="1108" t="s">
        <v>586</v>
      </c>
      <c r="B21" s="1110" t="s">
        <v>475</v>
      </c>
      <c r="C21" s="1092"/>
      <c r="D21" s="1089"/>
      <c r="E21" s="255">
        <v>140</v>
      </c>
      <c r="F21" s="1095"/>
      <c r="G21" s="1325"/>
      <c r="H21" s="430" t="s">
        <v>612</v>
      </c>
      <c r="I21" s="1143"/>
      <c r="J21" s="1463"/>
      <c r="K21" s="1466"/>
      <c r="L21" s="1467"/>
      <c r="M21" s="643">
        <f>IF(F16=0,0,(F16*1000/J16))</f>
        <v>175.56346381969158</v>
      </c>
      <c r="N21" s="1345"/>
      <c r="O21" s="2487"/>
      <c r="P21" s="2301" t="str">
        <f>IF(M21="","",IF(AND(O21&gt;-3%,O21&lt;3%),"",IF(OR(AND(M21&lt;900,M21&gt;0),M21=0),IF(OR(AND(O21&gt;-50%,O21&lt;50%),X21&lt;202),"","Kommentera förändringen"),"Kommentera riksavvikelsen")))</f>
        <v/>
      </c>
      <c r="Q21" s="1141" t="s">
        <v>1032</v>
      </c>
      <c r="R21" s="2699"/>
      <c r="S21" s="2699"/>
      <c r="T21" s="2699"/>
      <c r="U21" s="2699"/>
      <c r="V21" s="2699"/>
      <c r="W21" s="2699"/>
      <c r="X21" s="1345"/>
      <c r="IV21" s="267"/>
    </row>
    <row r="22" spans="1:256" ht="12.75">
      <c r="A22" s="1111" t="s">
        <v>598</v>
      </c>
      <c r="B22" s="1117"/>
      <c r="C22" s="1092"/>
      <c r="D22" s="1090"/>
      <c r="E22" s="1098"/>
      <c r="F22" s="1096"/>
      <c r="G22" s="1325"/>
      <c r="H22" s="430" t="s">
        <v>613</v>
      </c>
      <c r="I22" s="1143"/>
      <c r="J22" s="1463"/>
      <c r="K22" s="1466"/>
      <c r="L22" s="1467"/>
      <c r="M22" s="643">
        <f>IF(D16=0,0,((Motpart!D15+Motpart!E15+Motpart!F15+Motpart!I15+Motpart!J15)-((Motpart!D15+Motpart!E15+Motpart!F15+Motpart!J15)*0.06))*1000/J16)</f>
        <v>2332.5029655990511</v>
      </c>
      <c r="N22" s="1345"/>
      <c r="O22" s="2487"/>
      <c r="P22" s="2301" t="str">
        <f>IF(M22="","",IF(AND(O22&gt;-3%,O22&lt;3%),"",IF(OR(AND(M22&lt;7500,M22&gt;0),M22=0),IF(OR(AND(O22&gt;-50%,O22&lt;50%),X22&lt;204),"","Kommentera förändringen"),"Kommentera riksavvikelsen")))</f>
        <v/>
      </c>
      <c r="Q22" s="1141" t="s">
        <v>1033</v>
      </c>
      <c r="R22" s="2699"/>
      <c r="S22" s="2699"/>
      <c r="T22" s="2699"/>
      <c r="U22" s="2699"/>
      <c r="V22" s="2699"/>
      <c r="W22" s="2699"/>
      <c r="X22" s="1345"/>
      <c r="IV22" s="267"/>
    </row>
    <row r="23" spans="1:256" ht="13.5" thickBot="1">
      <c r="A23" s="1111" t="s">
        <v>587</v>
      </c>
      <c r="B23" s="1117"/>
      <c r="C23" s="1092"/>
      <c r="D23" s="1090"/>
      <c r="E23" s="1090"/>
      <c r="F23" s="1090"/>
      <c r="G23" s="1100"/>
      <c r="H23" s="431"/>
      <c r="I23" s="662"/>
      <c r="J23" s="1582"/>
      <c r="K23" s="1142"/>
      <c r="L23" s="1475"/>
      <c r="M23" s="2477">
        <f>IF(E20=0,0,(E20-E21)*100/C17)</f>
        <v>16.756115826260608</v>
      </c>
      <c r="N23" s="1345"/>
      <c r="O23" s="2487"/>
      <c r="P23" s="2301" t="str">
        <f>IF(M23="","",IF(OR(AND(M23&lt;31,M23&gt;0),M23=0),"","Kommentera avg.finans."))</f>
        <v/>
      </c>
      <c r="Q23" s="2467" t="s">
        <v>550</v>
      </c>
      <c r="R23" s="2469"/>
      <c r="S23" s="267"/>
      <c r="X23" s="1345"/>
      <c r="IV23" s="267"/>
    </row>
    <row r="24" spans="1:256" ht="12.75">
      <c r="A24" s="1113" t="s">
        <v>396</v>
      </c>
      <c r="B24" s="1118" t="s">
        <v>572</v>
      </c>
      <c r="C24" s="86">
        <f>Drift!P53</f>
        <v>8085</v>
      </c>
      <c r="D24" s="87">
        <f>SUM(Motpart!D17:L17)</f>
        <v>883</v>
      </c>
      <c r="E24" s="87">
        <f>Drift!W53</f>
        <v>1388</v>
      </c>
      <c r="F24" s="87">
        <f>Motpart!Y17</f>
        <v>43</v>
      </c>
      <c r="G24" s="136">
        <f>Drift!V53</f>
        <v>1009</v>
      </c>
      <c r="H24" s="167"/>
      <c r="I24" s="1070" t="s">
        <v>979</v>
      </c>
      <c r="J24" s="1580">
        <v>121</v>
      </c>
      <c r="K24" s="1471"/>
      <c r="L24" s="1469"/>
      <c r="M24" s="2476">
        <f>(C24-G24-F24)*1000/J24</f>
        <v>58123.966942148763</v>
      </c>
      <c r="N24" s="1345"/>
      <c r="O24" s="2487"/>
      <c r="P24" s="2301" t="str">
        <f>IF(M24="","",IF(AND(O24&gt;-3%,O24&lt;3%),"",IF(OR(AND(M24&lt;95000,M24&gt;0),M24=0),IF(AND(O24&gt;-30%,O24&lt;30%),"","Kommentera förändringen"),"Kommentera riksavvikelsen")))</f>
        <v/>
      </c>
      <c r="Q24" s="1258" t="s">
        <v>1022</v>
      </c>
      <c r="R24" s="2470"/>
      <c r="S24" s="267"/>
      <c r="X24" s="1345"/>
    </row>
    <row r="25" spans="1:256" ht="12.75">
      <c r="A25" s="1108" t="s">
        <v>393</v>
      </c>
      <c r="B25" s="1119" t="s">
        <v>374</v>
      </c>
      <c r="C25" s="375">
        <f>C24-G24-D24</f>
        <v>6193</v>
      </c>
      <c r="D25" s="1101"/>
      <c r="E25" s="1102"/>
      <c r="F25" s="1102"/>
      <c r="G25" s="1099"/>
      <c r="H25" s="430" t="s">
        <v>614</v>
      </c>
      <c r="I25" s="1143"/>
      <c r="J25" s="1463"/>
      <c r="K25" s="1466"/>
      <c r="L25" s="1467"/>
      <c r="M25" s="643">
        <f>C25*1000/J24</f>
        <v>51181.818181818184</v>
      </c>
      <c r="N25" s="1345"/>
      <c r="O25" s="2487"/>
      <c r="P25" s="2301" t="str">
        <f>IF(M25="","",IF(AND(O25&gt;-3%,O25&lt;3%),"",IF(OR(AND(M25&lt;93000,M25&gt;0),M25=0),IF(AND(O25&gt;-30%,O25&lt;30%),"","Kommentera förändringen"),"Kommentera riksavvikelsen")))</f>
        <v/>
      </c>
      <c r="Q25" s="1141" t="s">
        <v>1023</v>
      </c>
      <c r="R25" s="2737"/>
      <c r="S25" s="2699"/>
      <c r="T25" s="2699"/>
      <c r="U25" s="2699"/>
      <c r="V25" s="2699"/>
      <c r="W25" s="2699"/>
      <c r="X25" s="1345"/>
    </row>
    <row r="26" spans="1:256" ht="12.75">
      <c r="A26" s="1108" t="s">
        <v>394</v>
      </c>
      <c r="B26" s="1120" t="s">
        <v>539</v>
      </c>
      <c r="C26" s="90">
        <f>Drift!C53+Drift!D53</f>
        <v>4148</v>
      </c>
      <c r="D26" s="1101"/>
      <c r="E26" s="1094"/>
      <c r="F26" s="1094"/>
      <c r="G26" s="1099"/>
      <c r="H26" s="167" t="s">
        <v>396</v>
      </c>
      <c r="I26" s="1143"/>
      <c r="J26" s="1463"/>
      <c r="K26" s="1146"/>
      <c r="L26" s="1464"/>
      <c r="M26" s="776">
        <f>IF(C26=0,0,C26*100/C25)</f>
        <v>66.978847085419019</v>
      </c>
      <c r="N26" s="1345"/>
      <c r="O26" s="2487"/>
      <c r="P26" s="2301" t="str">
        <f>IF(M26="","",IF(AND(O26&gt;-3%,O26&lt;3%),"",IF(OR(AND(M26&lt;100,M26&gt;0),M26=0),IF(AND(O26&gt;-20%,O26&lt;20%),"","Kommentera förändringen"),"Kommentera riksavvikelsen")))</f>
        <v/>
      </c>
      <c r="Q26" s="1141" t="s">
        <v>386</v>
      </c>
      <c r="R26" s="2699"/>
      <c r="S26" s="2699"/>
      <c r="T26" s="2699"/>
      <c r="U26" s="2699"/>
      <c r="V26" s="2699"/>
      <c r="W26" s="2699"/>
      <c r="X26" s="1345"/>
    </row>
    <row r="27" spans="1:256" ht="12.75">
      <c r="A27" s="1111" t="s">
        <v>395</v>
      </c>
      <c r="B27" s="1110" t="s">
        <v>567</v>
      </c>
      <c r="C27" s="278">
        <v>1151</v>
      </c>
      <c r="D27" s="1101"/>
      <c r="E27" s="255">
        <v>20</v>
      </c>
      <c r="F27" s="1096"/>
      <c r="G27" s="277">
        <v>17</v>
      </c>
      <c r="H27" s="430"/>
      <c r="I27" s="1143"/>
      <c r="J27" s="1258"/>
      <c r="K27" s="1140"/>
      <c r="L27" s="1465"/>
      <c r="M27" s="643">
        <f>(C27-E27)*1000/J24</f>
        <v>9347.1074380165282</v>
      </c>
      <c r="N27" s="1345"/>
      <c r="O27" s="2487"/>
      <c r="P27" s="2301" t="str">
        <f>IF(M27="","",IF(AND(O27&gt;-3%,O27&lt;3%),"",IF(OR(AND(M27&lt;23381,M27&gt;0),M27=0),IF(AND(O27&gt;-20%,O27&lt;30%),"","Kommentera förändringen"),"Kommentera riksavvikelsen")))</f>
        <v/>
      </c>
      <c r="Q27" s="1141" t="s">
        <v>1024</v>
      </c>
      <c r="R27" s="2699"/>
      <c r="S27" s="2699"/>
      <c r="T27" s="2699"/>
      <c r="U27" s="2699"/>
      <c r="V27" s="2699"/>
      <c r="W27" s="2699"/>
      <c r="X27" s="1345"/>
    </row>
    <row r="28" spans="1:256" ht="12.75">
      <c r="A28" s="1111" t="s">
        <v>588</v>
      </c>
      <c r="B28" s="1121"/>
      <c r="C28" s="1101"/>
      <c r="D28" s="1101"/>
      <c r="E28" s="1101"/>
      <c r="F28" s="1096"/>
      <c r="G28" s="1325"/>
      <c r="H28" s="167" t="s">
        <v>615</v>
      </c>
      <c r="I28" s="1143"/>
      <c r="J28" s="1463"/>
      <c r="K28" s="1466"/>
      <c r="L28" s="1467"/>
      <c r="M28" s="1346">
        <f>(Motpart!G17+Motpart!K17)*1000/J24</f>
        <v>380.16528925619832</v>
      </c>
      <c r="N28" s="1345"/>
      <c r="O28" s="2487"/>
      <c r="P28" s="2301" t="str">
        <f>IF(M28="","",IF(AND(O28&gt;-3%,O28&lt;3%),"",IF(OR(AND(M28&lt;5500,M28&gt;0),M28=0),IF(OR(AND(O28&gt;-50%,O28&lt;50%),X28&lt;228),"","Kommentera förändringen"),"Kommentera riksavvikelsen")))</f>
        <v/>
      </c>
      <c r="Q28" s="1141" t="s">
        <v>1025</v>
      </c>
      <c r="R28" s="2699"/>
      <c r="S28" s="2699"/>
      <c r="T28" s="2699"/>
      <c r="U28" s="2699"/>
      <c r="V28" s="2699"/>
      <c r="W28" s="2699"/>
      <c r="X28" s="1345"/>
    </row>
    <row r="29" spans="1:256" ht="12.75">
      <c r="A29" s="1111" t="s">
        <v>589</v>
      </c>
      <c r="B29" s="1122"/>
      <c r="C29" s="1101"/>
      <c r="D29" s="1101"/>
      <c r="E29" s="1101"/>
      <c r="F29" s="1096"/>
      <c r="G29" s="1325"/>
      <c r="H29" s="429" t="s">
        <v>616</v>
      </c>
      <c r="I29" s="1143"/>
      <c r="J29" s="1463"/>
      <c r="K29" s="1466"/>
      <c r="L29" s="1467"/>
      <c r="M29" s="2478">
        <f>F24*1000/J24</f>
        <v>355.37190082644628</v>
      </c>
      <c r="N29" s="1345"/>
      <c r="O29" s="2487"/>
      <c r="P29" s="2301" t="str">
        <f>IF(M29="","",IF(AND(O29&gt;-3%,O29&lt;3%),"",IF(OR(AND(M29&lt;8000,M29&gt;0),M29=0),IF(OR(AND(O29&gt;-50%,O29&lt;50%),X29&lt;210),"","Kommentera förändringen"),"Kommentera riksavvikelsen")))</f>
        <v/>
      </c>
      <c r="Q29" s="1141" t="s">
        <v>1026</v>
      </c>
      <c r="R29" s="2699"/>
      <c r="S29" s="2699"/>
      <c r="T29" s="2699"/>
      <c r="U29" s="2699"/>
      <c r="V29" s="2699"/>
      <c r="W29" s="2699"/>
      <c r="X29" s="1345"/>
    </row>
    <row r="30" spans="1:256" ht="13.5" thickBot="1">
      <c r="A30" s="1111" t="s">
        <v>597</v>
      </c>
      <c r="B30" s="1123"/>
      <c r="C30" s="1101"/>
      <c r="D30" s="1101"/>
      <c r="E30" s="1101"/>
      <c r="F30" s="1096"/>
      <c r="G30" s="1326"/>
      <c r="H30" s="432" t="s">
        <v>617</v>
      </c>
      <c r="I30" s="662"/>
      <c r="J30" s="1472"/>
      <c r="K30" s="1473"/>
      <c r="L30" s="1474"/>
      <c r="M30" s="647">
        <f>(Motpart!D17+Motpart!E17+Motpart!F17+Motpart!I17+Motpart!J17-(Motpart!D17+Motpart!E17+Motpart!F17+Motpart!J17)*0.06)*1000/J24</f>
        <v>6499.0082644628101</v>
      </c>
      <c r="N30" s="1345"/>
      <c r="O30" s="2487"/>
      <c r="P30" s="2301" t="str">
        <f>IF(M30="","",IF(OR(AND(M30&lt;21000,M30&gt;0),M30=0),IF(OR(AND(O30&gt;-30%,O30&lt;50%),X30&lt;325),"","Kommentera förändringen"),"Kommentera riksavvikelsen"))</f>
        <v/>
      </c>
      <c r="Q30" s="2467" t="s">
        <v>1027</v>
      </c>
      <c r="R30" s="2469"/>
      <c r="S30" s="267"/>
      <c r="X30" s="1345"/>
    </row>
    <row r="31" spans="1:256" ht="12.75">
      <c r="A31" s="1113" t="s">
        <v>408</v>
      </c>
      <c r="B31" s="1124" t="s">
        <v>573</v>
      </c>
      <c r="C31" s="86">
        <f>Drift!P54</f>
        <v>131888</v>
      </c>
      <c r="D31" s="87">
        <f>SUM(Motpart!D18:L18)</f>
        <v>16592</v>
      </c>
      <c r="E31" s="87">
        <f>Drift!W54</f>
        <v>26866</v>
      </c>
      <c r="F31" s="87">
        <f>Motpart!Y18</f>
        <v>1331</v>
      </c>
      <c r="G31" s="136">
        <f>Drift!V54</f>
        <v>15097</v>
      </c>
      <c r="H31" s="433"/>
      <c r="I31" s="1070" t="s">
        <v>980</v>
      </c>
      <c r="J31" s="1580">
        <v>1060</v>
      </c>
      <c r="K31" s="1468"/>
      <c r="L31" s="1469"/>
      <c r="M31" s="2479">
        <f>SUM(M32:M34,M36:M38)</f>
        <v>90904.716981132078</v>
      </c>
      <c r="N31" s="1345"/>
      <c r="O31" s="2487"/>
      <c r="P31" s="2301" t="str">
        <f>IF(M31="","",IF(AND(O31&gt;-3%,O31&lt;3%),"",IF(OR(AND(M31&lt;126000,M31&gt;51000),M31=0),IF(AND(O31&gt;-10%,O31&lt;10%),"","Kommentera förändringen"),"Kommentera riksavvikelsen")))</f>
        <v/>
      </c>
      <c r="Q31" s="1258" t="s">
        <v>1010</v>
      </c>
      <c r="R31" s="2470"/>
      <c r="S31" s="267"/>
      <c r="X31" s="1345"/>
    </row>
    <row r="32" spans="1:256" ht="12.75">
      <c r="A32" s="1108" t="s">
        <v>397</v>
      </c>
      <c r="B32" s="1125" t="s">
        <v>521</v>
      </c>
      <c r="C32" s="278">
        <v>59206</v>
      </c>
      <c r="D32" s="1101"/>
      <c r="E32" s="255">
        <v>5803</v>
      </c>
      <c r="F32" s="1102"/>
      <c r="G32" s="277">
        <v>5571</v>
      </c>
      <c r="H32" s="155" t="s">
        <v>618</v>
      </c>
      <c r="I32" s="2086"/>
      <c r="J32" s="2087"/>
      <c r="K32" s="2087"/>
      <c r="L32" s="2088"/>
      <c r="M32" s="643">
        <f t="shared" ref="M32:M37" si="0">(C32-E32)*1000/$J$31</f>
        <v>50380.188679245286</v>
      </c>
      <c r="N32" s="1345"/>
      <c r="O32" s="2487"/>
      <c r="P32" s="2301" t="str">
        <f>IF(M32="","",IF(AND(O32&gt;-3%,O32&lt;3%),"",IF(OR(AND(M32&lt;77000,M32&gt;27000),M32=0),IF(AND(O32&gt;-5%,O32&lt;10%),"","Kommentera förändringen"),"Kommentera riksavvikelsen")))</f>
        <v/>
      </c>
      <c r="Q32" s="1141" t="s">
        <v>1011</v>
      </c>
      <c r="R32" s="2737"/>
      <c r="S32" s="2699"/>
      <c r="T32" s="2699"/>
      <c r="U32" s="2699"/>
      <c r="V32" s="2699"/>
      <c r="W32" s="2699"/>
      <c r="X32" s="1345"/>
    </row>
    <row r="33" spans="1:24" ht="12.75">
      <c r="A33" s="1108" t="s">
        <v>398</v>
      </c>
      <c r="B33" s="1125" t="s">
        <v>934</v>
      </c>
      <c r="C33" s="278">
        <v>4540</v>
      </c>
      <c r="D33" s="1101"/>
      <c r="E33" s="255">
        <v>610</v>
      </c>
      <c r="F33" s="1094"/>
      <c r="G33" s="277">
        <v>544</v>
      </c>
      <c r="H33" s="155" t="s">
        <v>619</v>
      </c>
      <c r="I33" s="1462"/>
      <c r="J33" s="1463"/>
      <c r="K33" s="1146"/>
      <c r="L33" s="1464"/>
      <c r="M33" s="643">
        <f t="shared" si="0"/>
        <v>3707.5471698113206</v>
      </c>
      <c r="N33" s="1345"/>
      <c r="O33" s="2487"/>
      <c r="P33" s="2301" t="str">
        <f>IF(M33="","",IF(AND(O33&gt;-3%,O33&lt;3%),"",IF(OR(AND(M33&lt;8500,M33&gt;1000),M33=0),IF(AND(O33&gt;-30%,O33&lt;40%),"","Kommentera förändringen"),"Kommentera riksavvikelse")))</f>
        <v/>
      </c>
      <c r="Q33" s="1141" t="s">
        <v>1012</v>
      </c>
      <c r="R33" s="2699"/>
      <c r="S33" s="2699"/>
      <c r="T33" s="2699"/>
      <c r="U33" s="2699"/>
      <c r="V33" s="2699"/>
      <c r="W33" s="2699"/>
      <c r="X33" s="1345"/>
    </row>
    <row r="34" spans="1:24" ht="12.75">
      <c r="A34" s="1108" t="s">
        <v>399</v>
      </c>
      <c r="B34" s="1125" t="s">
        <v>544</v>
      </c>
      <c r="C34" s="278">
        <v>6656</v>
      </c>
      <c r="D34" s="1101"/>
      <c r="E34" s="255">
        <v>1094</v>
      </c>
      <c r="F34" s="1094"/>
      <c r="G34" s="277">
        <v>934</v>
      </c>
      <c r="H34" s="155"/>
      <c r="I34" s="1462"/>
      <c r="J34" s="1258"/>
      <c r="K34" s="1140"/>
      <c r="L34" s="1465"/>
      <c r="M34" s="643">
        <f t="shared" si="0"/>
        <v>5247.1698113207549</v>
      </c>
      <c r="N34" s="1345"/>
      <c r="O34" s="2487"/>
      <c r="P34" s="2301" t="str">
        <f>IF(M34="","",IF(AND(O34&gt;-3%,O34&lt;3%),"",IF(OR(AND(M34&lt;10500,M34&gt;3000),M34=0),IF(AND(O34&gt;-25%,O34&lt;25%),"","Kommentera förändringen"),"Kommentera riksavvikelsen")))</f>
        <v/>
      </c>
      <c r="Q34" s="1141" t="s">
        <v>1013</v>
      </c>
      <c r="R34" s="2699"/>
      <c r="S34" s="2699"/>
      <c r="T34" s="2699"/>
      <c r="U34" s="2699"/>
      <c r="V34" s="2699"/>
      <c r="W34" s="2699"/>
      <c r="X34" s="1345"/>
    </row>
    <row r="35" spans="1:24" ht="12.75">
      <c r="A35" s="1108" t="s">
        <v>400</v>
      </c>
      <c r="B35" s="1125" t="s">
        <v>522</v>
      </c>
      <c r="C35" s="278">
        <v>3249</v>
      </c>
      <c r="D35" s="1101"/>
      <c r="E35" s="255">
        <v>22</v>
      </c>
      <c r="F35" s="1094"/>
      <c r="G35" s="277">
        <v>9</v>
      </c>
      <c r="H35" s="155" t="s">
        <v>620</v>
      </c>
      <c r="I35" s="860"/>
      <c r="J35" s="1463"/>
      <c r="K35" s="1466"/>
      <c r="L35" s="1467"/>
      <c r="M35" s="643">
        <f t="shared" si="0"/>
        <v>3044.3396226415093</v>
      </c>
      <c r="N35" s="1345"/>
      <c r="O35" s="2487"/>
      <c r="P35" s="2301" t="str">
        <f>IF(M35="","",IF(AND(O35&gt;-3%,O35&lt;3%),"",IF(OR(AND(M35&lt;15000,M35&gt;0),M35=0),IF(AND(O35&gt;-33%,O35&lt;33%),"","Kommentera förändringen"),"Kommentera riksavvikelsen")))</f>
        <v/>
      </c>
      <c r="Q35" s="1141" t="s">
        <v>1014</v>
      </c>
      <c r="R35" s="2699"/>
      <c r="S35" s="2699"/>
      <c r="T35" s="2699"/>
      <c r="U35" s="2699"/>
      <c r="V35" s="2699"/>
      <c r="W35" s="2699"/>
      <c r="X35" s="1345"/>
    </row>
    <row r="36" spans="1:24" ht="15" customHeight="1">
      <c r="A36" s="1108" t="s">
        <v>401</v>
      </c>
      <c r="B36" s="1126" t="s">
        <v>812</v>
      </c>
      <c r="C36" s="278">
        <v>3141</v>
      </c>
      <c r="D36" s="1101"/>
      <c r="E36" s="255">
        <v>220</v>
      </c>
      <c r="F36" s="1093"/>
      <c r="G36" s="277">
        <v>166</v>
      </c>
      <c r="H36" s="155" t="s">
        <v>621</v>
      </c>
      <c r="I36" s="2101"/>
      <c r="J36" s="1463"/>
      <c r="K36" s="1466"/>
      <c r="L36" s="1467"/>
      <c r="M36" s="643">
        <f t="shared" si="0"/>
        <v>2755.6603773584907</v>
      </c>
      <c r="N36" s="1345"/>
      <c r="O36" s="2487"/>
      <c r="P36" s="2301" t="str">
        <f>IF(M36="","",IF(AND(O36&gt;-3%,O36&lt;3%),"",IF(OR(AND(M36&lt;8000,M36&gt;700),M36=0),IF(AND(O36&gt;-30%,O36&lt;40%),"","Kommentera förändringen"),"Kommentera riksavvikelsen")))</f>
        <v/>
      </c>
      <c r="Q36" s="1141" t="s">
        <v>1015</v>
      </c>
      <c r="R36" s="2699"/>
      <c r="S36" s="2699"/>
      <c r="T36" s="2699"/>
      <c r="U36" s="2699"/>
      <c r="V36" s="2699"/>
      <c r="W36" s="2699"/>
      <c r="X36" s="1345"/>
    </row>
    <row r="37" spans="1:24" s="212" customFormat="1" ht="12.75">
      <c r="A37" s="1108" t="s">
        <v>246</v>
      </c>
      <c r="B37" s="1127" t="s">
        <v>568</v>
      </c>
      <c r="C37" s="278">
        <v>16932</v>
      </c>
      <c r="D37" s="1101"/>
      <c r="E37" s="255">
        <v>1098</v>
      </c>
      <c r="F37" s="1023"/>
      <c r="G37" s="277">
        <v>1010</v>
      </c>
      <c r="H37" s="168" t="s">
        <v>622</v>
      </c>
      <c r="I37" s="2102"/>
      <c r="J37" s="1463"/>
      <c r="K37" s="1466"/>
      <c r="L37" s="1467"/>
      <c r="M37" s="643">
        <f t="shared" si="0"/>
        <v>14937.735849056604</v>
      </c>
      <c r="N37" s="1345"/>
      <c r="O37" s="2487"/>
      <c r="P37" s="2301" t="str">
        <f>IF(M37="","",IF(AND(O37&gt;-3%,O37&lt;3%),"",IF(OR(AND(M37&lt;30000,M37&gt;7600),M37=0),IF(AND(O37&gt;-20%,O37&lt;30%),"","Kommentera förändringen"),"Kommentera riksavvikelsen")))</f>
        <v/>
      </c>
      <c r="Q37" s="1141" t="s">
        <v>1016</v>
      </c>
      <c r="R37" s="2699"/>
      <c r="S37" s="2699"/>
      <c r="T37" s="2699"/>
      <c r="U37" s="2699"/>
      <c r="V37" s="2699"/>
      <c r="W37" s="2699"/>
      <c r="X37" s="1345"/>
    </row>
    <row r="38" spans="1:24" s="212" customFormat="1" ht="12.75" customHeight="1">
      <c r="A38" s="1108" t="s">
        <v>402</v>
      </c>
      <c r="B38" s="1125" t="s">
        <v>469</v>
      </c>
      <c r="C38" s="278">
        <v>17796</v>
      </c>
      <c r="D38" s="1101"/>
      <c r="E38" s="255">
        <v>15793</v>
      </c>
      <c r="F38" s="1023"/>
      <c r="G38" s="277">
        <v>6863</v>
      </c>
      <c r="H38" s="155"/>
      <c r="I38" s="2755" t="str">
        <f>IF(SUM(E38-G38+100)&lt;Motpart!AA18,"I Motparten är statsbidragen "&amp;""&amp;(Motpart!AA18)&amp;" tkr. Alla bidrag från staten o statliga myndigheter, inklusive de från Migrationsverket, ska ingå under Övrigt som extern intäkt. De externa intäkterna på Övrigt-raden är dock bara "&amp;""&amp;(ROUND(E38-G38,0))&amp;" tkr. ","")</f>
        <v/>
      </c>
      <c r="J38" s="2095"/>
      <c r="K38" s="2095"/>
      <c r="L38" s="2096"/>
      <c r="M38" s="643">
        <f>((C38+C39-G38)*1000/J31)</f>
        <v>13876.415094339623</v>
      </c>
      <c r="N38" s="1345"/>
      <c r="O38" s="2487"/>
      <c r="P38" s="2301" t="str">
        <f>IF(SUM(E38-G38+100)&lt;Motpart!AA18,"Statsbidrag se kommentar till vänster",IF(M38="","",IF(AND(O38&gt;-3%,O38&lt;3%),"",IF(OR(AND(M38&lt;28000,M38&gt;1900),M38=0),IF(AND(O38&gt;-30%,O38&lt;40%),"","Kommentera förändringen"),"Kommentera riksavvikelsen"))))</f>
        <v/>
      </c>
      <c r="Q38" s="1141" t="s">
        <v>1017</v>
      </c>
      <c r="R38" s="2699"/>
      <c r="S38" s="2699"/>
      <c r="T38" s="2699"/>
      <c r="U38" s="2699"/>
      <c r="V38" s="2699"/>
      <c r="W38" s="2699"/>
      <c r="X38" s="1345"/>
    </row>
    <row r="39" spans="1:24" s="212" customFormat="1" ht="12.75">
      <c r="A39" s="1108" t="s">
        <v>403</v>
      </c>
      <c r="B39" s="1128" t="s">
        <v>523</v>
      </c>
      <c r="C39" s="278">
        <v>3776</v>
      </c>
      <c r="D39" s="1088"/>
      <c r="E39" s="1026"/>
      <c r="F39" s="1026"/>
      <c r="G39" s="1103"/>
      <c r="H39" s="167"/>
      <c r="I39" s="2756"/>
      <c r="J39" s="2097"/>
      <c r="K39" s="2097"/>
      <c r="L39" s="2098"/>
      <c r="M39" s="1346">
        <f>(M31*J31/1000+D31-F31-(Motpart!D18+Motpart!E18+Motpart!F18+Motpart!J18)*0.06)*1000/J31+M35</f>
        <v>107501.98113207547</v>
      </c>
      <c r="N39" s="1345"/>
      <c r="O39" s="2487"/>
      <c r="P39" s="2301" t="str">
        <f>IF(M39="","",IF(AND(O39&gt;-3%,O39&lt;3%),"",IF(OR(AND(M39&lt;132205,M39&gt;58966),M39=0),IF(AND(O39&gt;-20%,O39&lt;20%),"","Kommentera förändringen"),"Kommentera riksavvikelsen")))</f>
        <v/>
      </c>
      <c r="Q39" s="1141" t="s">
        <v>1018</v>
      </c>
      <c r="R39" s="2699"/>
      <c r="S39" s="2699"/>
      <c r="T39" s="2699"/>
      <c r="U39" s="2699"/>
      <c r="V39" s="2699"/>
      <c r="W39" s="2699"/>
      <c r="X39" s="1345"/>
    </row>
    <row r="40" spans="1:24" ht="12.75">
      <c r="A40" s="1129" t="s">
        <v>590</v>
      </c>
      <c r="B40" s="1130"/>
      <c r="C40" s="2608"/>
      <c r="D40" s="1090"/>
      <c r="E40" s="2609"/>
      <c r="F40" s="1090"/>
      <c r="G40" s="2610"/>
      <c r="H40" s="157"/>
      <c r="I40" s="2756"/>
      <c r="J40" s="2097"/>
      <c r="K40" s="2097"/>
      <c r="L40" s="2098"/>
      <c r="M40" s="643">
        <f>(Motpart!G18+Motpart!K18)*1000/J31</f>
        <v>1309.433962264151</v>
      </c>
      <c r="N40" s="1345"/>
      <c r="O40" s="2487"/>
      <c r="P40" s="2301" t="str">
        <f>IF(M40="","",IF(AND(O40&gt;-3%,O40&lt;3%),"",IF(OR(AND(M40&lt;11000,M40&gt;0),M40=0),IF(OR(AND(O40&gt;-40%,O40&lt;50%),X40&lt;551),"","Kommentera förändringen"),"Kommentera riksavvikelsen")))</f>
        <v/>
      </c>
      <c r="Q40" s="1141" t="s">
        <v>1019</v>
      </c>
      <c r="R40" s="2699"/>
      <c r="S40" s="2699"/>
      <c r="T40" s="2699"/>
      <c r="U40" s="2699"/>
      <c r="V40" s="2699"/>
      <c r="W40" s="2699"/>
      <c r="X40" s="1345"/>
    </row>
    <row r="41" spans="1:24" ht="12.75">
      <c r="A41" s="1129" t="s">
        <v>591</v>
      </c>
      <c r="B41" s="1130"/>
      <c r="C41" s="1092"/>
      <c r="D41" s="1090"/>
      <c r="E41" s="1090"/>
      <c r="F41" s="1090"/>
      <c r="G41" s="1100"/>
      <c r="H41" s="157"/>
      <c r="I41" s="2756"/>
      <c r="J41" s="2097"/>
      <c r="K41" s="2097"/>
      <c r="L41" s="2098"/>
      <c r="M41" s="1346">
        <f>F31*1000/J31</f>
        <v>1255.6603773584907</v>
      </c>
      <c r="N41" s="1345"/>
      <c r="O41" s="2487"/>
      <c r="P41" s="2301" t="str">
        <f>IF(M41="","",IF(AND(O41&gt;-3%,O41&lt;3%),"",IF(OR(AND(M41&lt;10000,M41&gt;0),M41=0),IF(OR(AND(O41&gt;-40%,O41&lt;50%),X41&lt;542),"","Kommentera förändringen"),"Kommentera riksavvikelsen")))</f>
        <v/>
      </c>
      <c r="Q41" s="1141" t="s">
        <v>1020</v>
      </c>
      <c r="R41" s="2699"/>
      <c r="S41" s="2699"/>
      <c r="T41" s="2699"/>
      <c r="U41" s="2699"/>
      <c r="V41" s="2699"/>
      <c r="W41" s="2699"/>
      <c r="X41" s="1345"/>
    </row>
    <row r="42" spans="1:24" ht="12.75">
      <c r="A42" s="1108" t="s">
        <v>592</v>
      </c>
      <c r="B42" s="1128"/>
      <c r="C42" s="1092"/>
      <c r="D42" s="1090"/>
      <c r="E42" s="1090"/>
      <c r="F42" s="1090"/>
      <c r="G42" s="1100"/>
      <c r="H42" s="157"/>
      <c r="I42" s="2756"/>
      <c r="J42" s="2099"/>
      <c r="K42" s="2099"/>
      <c r="L42" s="2100"/>
      <c r="M42" s="2478">
        <f>((Motpart!D18+Motpart!E18+Motpart!F18+Motpart!J18-(Motpart!D18+Motpart!E18+Motpart!F18+Motpart!J18)*0.06))*1000/J31</f>
        <v>13226.509433962265</v>
      </c>
      <c r="N42" s="1345"/>
      <c r="O42" s="2487"/>
      <c r="P42" s="2301" t="str">
        <f>IF(M42="","",IF(AND(O42&gt;-3%,O42&lt;3%),"",IF(OR(AND(M42&lt;29000,M42&gt;0),M42=0),IF(OR(AND(O42&gt;-40%,O42&lt;50%),X42&lt;503),"","Kommentera förändringen"),"Kommentera riksavvikelsen")))</f>
        <v/>
      </c>
      <c r="Q42" s="1141" t="s">
        <v>1021</v>
      </c>
      <c r="R42" s="2699"/>
      <c r="S42" s="2699"/>
      <c r="T42" s="2699"/>
      <c r="U42" s="2699"/>
      <c r="V42" s="2699"/>
      <c r="W42" s="2699"/>
      <c r="X42" s="1345"/>
    </row>
    <row r="43" spans="1:24" ht="13.5" thickBot="1">
      <c r="A43" s="1131"/>
      <c r="B43" s="1132"/>
      <c r="C43" s="1929" t="str">
        <f>IF(ABS(C40)&lt;500,"",IF(C31=0,"C31",IF(ABS(C40/C31)&gt;0.03,"C40")))</f>
        <v/>
      </c>
      <c r="D43" s="1930"/>
      <c r="E43" s="1927" t="str">
        <f>IF(ABS(E40)&lt;500,"",IF(E31=0,"E31",IF(ABS(E40/E31)&gt;0.03,"E40")))</f>
        <v/>
      </c>
      <c r="F43" s="1930"/>
      <c r="G43" s="1931" t="str">
        <f>IF(ABS(G40)&lt;500,"",IF(G31=0,"G31",IF(ABS(G40/G31)&gt;0.03,"G40")))</f>
        <v/>
      </c>
      <c r="H43" s="156"/>
      <c r="I43" s="1144"/>
      <c r="J43" s="1582"/>
      <c r="K43" s="1142"/>
      <c r="L43" s="1142"/>
      <c r="M43" s="647"/>
      <c r="N43" s="1345"/>
      <c r="O43" s="2487"/>
      <c r="P43" s="2301" t="str">
        <f>IF(C43="C31","Bruttokostnad i Driften=0",IF(C43="C40","Eliminera differens kolumn C",IF(E43="E31","Bruttointäkt i Driften = 0",IF(E43="E40","Eliminera differens kolumn E",IF(G43="G31","Interna intäkter i Driften=0",IF(G43="G40","Eliminera differens kolumn G",""))))))</f>
        <v/>
      </c>
      <c r="Q43" s="1145" t="s">
        <v>525</v>
      </c>
      <c r="R43" s="267"/>
      <c r="S43" s="267"/>
      <c r="X43" s="1345"/>
    </row>
    <row r="44" spans="1:24" ht="12.75">
      <c r="A44" s="1113" t="s">
        <v>409</v>
      </c>
      <c r="B44" s="1124" t="s">
        <v>609</v>
      </c>
      <c r="C44" s="86">
        <f>Drift!P55</f>
        <v>5840</v>
      </c>
      <c r="D44" s="87">
        <f>SUM(Motpart!D19:L19)</f>
        <v>559</v>
      </c>
      <c r="E44" s="87">
        <f>Drift!W55</f>
        <v>1053</v>
      </c>
      <c r="F44" s="87">
        <f>Motpart!Y19</f>
        <v>302</v>
      </c>
      <c r="G44" s="136">
        <f>Drift!V55</f>
        <v>596</v>
      </c>
      <c r="H44" s="159"/>
      <c r="I44" s="1470" t="s">
        <v>980</v>
      </c>
      <c r="J44" s="1580">
        <v>1060</v>
      </c>
      <c r="K44" s="1471"/>
      <c r="L44" s="1469"/>
      <c r="M44" s="1346">
        <f>SUM(M45:M47,M49:M51)</f>
        <v>3897.1698113207549</v>
      </c>
      <c r="N44" s="1345"/>
      <c r="O44" s="2487"/>
      <c r="P44" s="2301" t="str">
        <f>IF(M44="","",IF(AND(O44&gt;-3%,O44&lt;3%),"",IF(OR(AND(M44&lt;11000,M44&gt;0),M44=0),IF(OR(AND(O44&gt;-40%,O44&lt;50%),X44&lt;4270),"","Kommentera förändringen"),"Kommentera riksavvikelsen")))</f>
        <v/>
      </c>
      <c r="Q44" s="1258" t="s">
        <v>1010</v>
      </c>
      <c r="R44" s="2470"/>
      <c r="S44" s="267"/>
      <c r="X44" s="1345"/>
    </row>
    <row r="45" spans="1:24" ht="12.75">
      <c r="A45" s="1108" t="s">
        <v>404</v>
      </c>
      <c r="B45" s="1125" t="s">
        <v>524</v>
      </c>
      <c r="C45" s="278">
        <v>2628</v>
      </c>
      <c r="D45" s="1101"/>
      <c r="E45" s="255">
        <v>285</v>
      </c>
      <c r="F45" s="1094"/>
      <c r="G45" s="277">
        <v>278</v>
      </c>
      <c r="H45" s="153" t="s">
        <v>623</v>
      </c>
      <c r="I45" s="1462"/>
      <c r="J45" s="1463"/>
      <c r="K45" s="1466"/>
      <c r="L45" s="1467"/>
      <c r="M45" s="2478">
        <f t="shared" ref="M45:M50" si="1">(C45-E45)*1000/$J$44</f>
        <v>2210.3773584905662</v>
      </c>
      <c r="N45" s="1345"/>
      <c r="O45" s="2487"/>
      <c r="P45" s="2301" t="str">
        <f>IF(M45="","",IF(AND(O45&gt;-3%,O45&lt;3%),"",IF(OR(AND(M45&lt;6000,M45&gt;0),M45=0),IF(OR(AND(O45&gt;-40%,O45&lt;50%),X45&lt;2361),"","Kommentera förändringen"),"Kommentera riksavvikelsen")))</f>
        <v/>
      </c>
      <c r="Q45" s="1141" t="s">
        <v>1050</v>
      </c>
      <c r="R45" s="2699"/>
      <c r="S45" s="2699"/>
      <c r="T45" s="2699"/>
      <c r="U45" s="2699"/>
      <c r="V45" s="2699"/>
      <c r="W45" s="2699"/>
      <c r="X45" s="1345"/>
    </row>
    <row r="46" spans="1:24" ht="12.75">
      <c r="A46" s="1108" t="s">
        <v>410</v>
      </c>
      <c r="B46" s="1125" t="s">
        <v>934</v>
      </c>
      <c r="C46" s="278">
        <v>81</v>
      </c>
      <c r="D46" s="1101"/>
      <c r="E46" s="255">
        <v>2</v>
      </c>
      <c r="F46" s="1094"/>
      <c r="G46" s="277">
        <v>2</v>
      </c>
      <c r="H46" s="157" t="s">
        <v>624</v>
      </c>
      <c r="I46" s="1462"/>
      <c r="J46" s="1463"/>
      <c r="K46" s="1146"/>
      <c r="L46" s="1464"/>
      <c r="M46" s="2478">
        <f t="shared" si="1"/>
        <v>74.528301886792448</v>
      </c>
      <c r="N46" s="1345"/>
      <c r="O46" s="2487"/>
      <c r="P46" s="2301" t="str">
        <f>IF(M46="","",IF(AND(O46&gt;-3%,O46&lt;3%),"",IF(OR(AND(M46&lt;300,M46&gt;0),M46=0),IF(OR(AND(O46&gt;-50%,O46&lt;80%),X46&lt;76),"","Kommentera förändringen"),"Kommentera riksavvikelsen")))</f>
        <v/>
      </c>
      <c r="Q46" s="1141" t="s">
        <v>1051</v>
      </c>
      <c r="R46" s="2699"/>
      <c r="S46" s="2699"/>
      <c r="T46" s="2699"/>
      <c r="U46" s="2699"/>
      <c r="V46" s="2699"/>
      <c r="W46" s="2699"/>
      <c r="X46" s="1345"/>
    </row>
    <row r="47" spans="1:24" ht="12.75">
      <c r="A47" s="1108" t="s">
        <v>411</v>
      </c>
      <c r="B47" s="1125" t="s">
        <v>544</v>
      </c>
      <c r="C47" s="278">
        <v>83</v>
      </c>
      <c r="D47" s="1101"/>
      <c r="E47" s="255">
        <v>12</v>
      </c>
      <c r="F47" s="1093"/>
      <c r="G47" s="277">
        <v>9</v>
      </c>
      <c r="H47" s="157"/>
      <c r="I47" s="1462"/>
      <c r="J47" s="1581"/>
      <c r="K47" s="1140"/>
      <c r="L47" s="1465"/>
      <c r="M47" s="2478">
        <f t="shared" si="1"/>
        <v>66.981132075471692</v>
      </c>
      <c r="N47" s="1345"/>
      <c r="O47" s="2487"/>
      <c r="P47" s="2301" t="str">
        <f>IF(M47="","",IF(AND(O47&gt;-3%,O47&lt;3%),"",IF(OR(AND(M47&lt;300,M47&gt;0),M47=0),IF(OR(AND(O47&gt;-50%,O47&lt;50%),X47&lt;79),"","Kommentera förändringen"),"Kommentera riksavvikelsen")))</f>
        <v/>
      </c>
      <c r="Q47" s="1141" t="s">
        <v>1052</v>
      </c>
      <c r="R47" s="2699"/>
      <c r="S47" s="2699"/>
      <c r="T47" s="2699"/>
      <c r="U47" s="2699"/>
      <c r="V47" s="2699"/>
      <c r="W47" s="2699"/>
      <c r="X47" s="1345"/>
    </row>
    <row r="48" spans="1:24" ht="12.75">
      <c r="A48" s="1108" t="s">
        <v>405</v>
      </c>
      <c r="B48" s="1125" t="s">
        <v>522</v>
      </c>
      <c r="C48" s="278">
        <v>545</v>
      </c>
      <c r="D48" s="1101"/>
      <c r="E48" s="255">
        <v>9</v>
      </c>
      <c r="F48" s="1023"/>
      <c r="G48" s="277">
        <v>3</v>
      </c>
      <c r="H48" s="155" t="s">
        <v>625</v>
      </c>
      <c r="I48" s="1462"/>
      <c r="J48" s="1463"/>
      <c r="K48" s="1466"/>
      <c r="L48" s="1467"/>
      <c r="M48" s="2478">
        <f t="shared" si="1"/>
        <v>505.66037735849056</v>
      </c>
      <c r="N48" s="1345"/>
      <c r="O48" s="2487"/>
      <c r="P48" s="2301" t="str">
        <f>IF(M48="","",IF(AND(O48&gt;-3%,O48&lt;3%),"",IF(OR(AND(M48&lt;2200,M48&gt;0),M48=0),IF(OR(AND(O48&gt;-50%,O48&lt;80%),X48&lt;521),"","Kommentera förändringen"),"Kommentera riksavvikelsen")))</f>
        <v/>
      </c>
      <c r="Q48" s="1141" t="s">
        <v>1053</v>
      </c>
      <c r="R48" s="2699"/>
      <c r="S48" s="2699"/>
      <c r="T48" s="2699"/>
      <c r="U48" s="2699"/>
      <c r="V48" s="2699"/>
      <c r="W48" s="2699"/>
      <c r="X48" s="1345"/>
    </row>
    <row r="49" spans="1:24" ht="12.75">
      <c r="A49" s="1108" t="s">
        <v>412</v>
      </c>
      <c r="B49" s="1126" t="s">
        <v>812</v>
      </c>
      <c r="C49" s="278">
        <v>72</v>
      </c>
      <c r="D49" s="1101"/>
      <c r="E49" s="255">
        <v>3</v>
      </c>
      <c r="F49" s="1104"/>
      <c r="G49" s="277">
        <v>2</v>
      </c>
      <c r="H49" s="157" t="s">
        <v>626</v>
      </c>
      <c r="I49" s="1462"/>
      <c r="J49" s="1463"/>
      <c r="K49" s="1466"/>
      <c r="L49" s="1467"/>
      <c r="M49" s="2478">
        <f t="shared" si="1"/>
        <v>65.094339622641513</v>
      </c>
      <c r="N49" s="1345"/>
      <c r="O49" s="2487"/>
      <c r="P49" s="2301" t="str">
        <f>IF(M49="","",IF(AND(O49&gt;-3%,O49&lt;3%),"",IF(OR(AND(M49&lt;400,M49&gt;0),M49=0),IF(OR(AND(O49&gt;-70%,O49&lt;100%),X49&lt;61),"","Kommentera förändringen"),"Kommentera riksavvikelsen")))</f>
        <v/>
      </c>
      <c r="Q49" s="1141" t="s">
        <v>1054</v>
      </c>
      <c r="R49" s="2699"/>
      <c r="S49" s="2699"/>
      <c r="T49" s="2699"/>
      <c r="U49" s="2699"/>
      <c r="V49" s="2699"/>
      <c r="W49" s="2699"/>
      <c r="X49" s="1345"/>
    </row>
    <row r="50" spans="1:24" ht="12.75">
      <c r="A50" s="1108" t="s">
        <v>413</v>
      </c>
      <c r="B50" s="1127" t="s">
        <v>568</v>
      </c>
      <c r="C50" s="278">
        <v>444</v>
      </c>
      <c r="D50" s="1101"/>
      <c r="E50" s="255">
        <v>28</v>
      </c>
      <c r="F50" s="1093"/>
      <c r="G50" s="277">
        <v>27</v>
      </c>
      <c r="H50" s="155" t="s">
        <v>627</v>
      </c>
      <c r="I50" s="1462"/>
      <c r="J50" s="1463"/>
      <c r="K50" s="1466"/>
      <c r="L50" s="1467"/>
      <c r="M50" s="643">
        <f t="shared" si="1"/>
        <v>392.45283018867923</v>
      </c>
      <c r="N50" s="1345"/>
      <c r="O50" s="2487"/>
      <c r="P50" s="2301" t="str">
        <f>IF(M50="","",IF(AND(O50&gt;-3%,O50&lt;3%),"",IF(OR(AND(M50&lt;1500,M50&gt;0),M50=0),IF(OR(AND(O50&gt;-50%,O50&lt;80%),X50&lt;470),"","Kommentera förändringen"),"Kommentera riksavvikelsen")))</f>
        <v/>
      </c>
      <c r="Q50" s="1141" t="s">
        <v>1055</v>
      </c>
      <c r="R50" s="2699"/>
      <c r="S50" s="2699"/>
      <c r="T50" s="2699"/>
      <c r="U50" s="2699"/>
      <c r="V50" s="2699"/>
      <c r="W50" s="2699"/>
      <c r="X50" s="1345"/>
    </row>
    <row r="51" spans="1:24" ht="12.75">
      <c r="A51" s="1108" t="s">
        <v>414</v>
      </c>
      <c r="B51" s="1125" t="s">
        <v>469</v>
      </c>
      <c r="C51" s="278">
        <v>1259</v>
      </c>
      <c r="D51" s="1390"/>
      <c r="E51" s="255">
        <v>396</v>
      </c>
      <c r="F51" s="1093"/>
      <c r="G51" s="277">
        <v>275</v>
      </c>
      <c r="H51" s="153" t="s">
        <v>628</v>
      </c>
      <c r="I51" s="2757" t="str">
        <f>IF(SUM(E51-G51+100)&lt;Motpart!AA19,"I Motparten är statsbidragen "&amp;""&amp;(Motpart!AA19)&amp;" tkr. Alla bidrag från staten o statliga myndigheter, inklusive de från Migrationsverket, ska ingå under Övrigt som extern intäkt. De externa intäkterna på Övrigt-raden är dock bara "&amp;""&amp;(ROUND(E51-G51,0))&amp;" tkr. ","")</f>
        <v/>
      </c>
      <c r="J51" s="2102"/>
      <c r="K51" s="2102"/>
      <c r="L51" s="2110"/>
      <c r="M51" s="2478">
        <f>(C51+C52-G51)*1000/$J$44</f>
        <v>1087.7358490566037</v>
      </c>
      <c r="N51" s="1345"/>
      <c r="O51" s="2487"/>
      <c r="P51" s="2301" t="str">
        <f>IF(SUM(E51-G51+100)&lt;Motpart!AA19,"Statsbidrag se kommentar till vänster",IF(M51="","",IF(AND(O51&gt;-3%,O51&lt;3%),"",IF(OR(AND(M51&lt;5000,M51&gt;0),M51=0),IF(OR(AND(O51&gt;-50%,O51&lt;100%),X51&lt;1226),"","Kommentera förändringen"),"Kommentera riksavvikelsen"))))</f>
        <v/>
      </c>
      <c r="Q51" s="1141" t="s">
        <v>1056</v>
      </c>
      <c r="R51" s="2699"/>
      <c r="S51" s="2699"/>
      <c r="T51" s="2699"/>
      <c r="U51" s="2699"/>
      <c r="V51" s="2699"/>
      <c r="W51" s="2699"/>
      <c r="X51" s="1345"/>
    </row>
    <row r="52" spans="1:24" ht="12.75">
      <c r="A52" s="1108" t="s">
        <v>415</v>
      </c>
      <c r="B52" s="1128" t="s">
        <v>481</v>
      </c>
      <c r="C52" s="278">
        <v>169</v>
      </c>
      <c r="D52" s="1391"/>
      <c r="E52" s="1101"/>
      <c r="F52" s="1101"/>
      <c r="G52" s="1103"/>
      <c r="H52" s="157"/>
      <c r="I52" s="2758"/>
      <c r="J52" s="2102"/>
      <c r="K52" s="2102"/>
      <c r="L52" s="2110"/>
      <c r="M52" s="643">
        <f>((M44*J44/1000+D44-F44-(Motpart!D19+Motpart!E19+Motpart!F19+Motpart!J19)*0.06))*1000/J44+M48</f>
        <v>4629.9433962264147</v>
      </c>
      <c r="N52" s="1345"/>
      <c r="O52" s="2487"/>
      <c r="P52" s="2301" t="str">
        <f>IF(M52="","",IF(AND(O52&gt;-3%,O52&lt;3%),"",IF(OR(AND(M52&lt;11000,M52&gt;0),M52=0),IF(OR(AND(O52&gt;-40%,O52&lt;40%),X52&lt;5100),"","Kommntera förändringen"),"Kommentera riksavvikelsen")))</f>
        <v/>
      </c>
      <c r="Q52" s="1141" t="s">
        <v>1057</v>
      </c>
      <c r="R52" s="2699"/>
      <c r="S52" s="2699"/>
      <c r="T52" s="2699"/>
      <c r="U52" s="2699"/>
      <c r="V52" s="2699"/>
      <c r="W52" s="2699"/>
      <c r="X52" s="1345"/>
    </row>
    <row r="53" spans="1:24" ht="12.75">
      <c r="A53" s="1131" t="s">
        <v>593</v>
      </c>
      <c r="B53" s="1128"/>
      <c r="C53" s="1101"/>
      <c r="D53" s="1101"/>
      <c r="E53" s="1101"/>
      <c r="F53" s="1101"/>
      <c r="G53" s="1103"/>
      <c r="H53" s="157"/>
      <c r="I53" s="2758"/>
      <c r="J53" s="2102"/>
      <c r="K53" s="2102"/>
      <c r="L53" s="2110"/>
      <c r="M53" s="1346">
        <f>(Motpart!G19+Motpart!K19)*1000/J44</f>
        <v>262.2641509433962</v>
      </c>
      <c r="N53" s="1345"/>
      <c r="O53" s="2487"/>
      <c r="P53" s="2301" t="str">
        <f>IF(M53="","",IF(AND(O53&gt;-3%,O53&lt;3%),"",IF(OR(AND(M53&lt;9000,M53&gt;0),M53=0),IF(OR(AND(O53&gt;-50%,O53&lt;100%),X53&lt;1458),"","Kommentera förändringen"),"Kommentera riksavvikelsen")))</f>
        <v/>
      </c>
      <c r="Q53" s="1141" t="s">
        <v>1058</v>
      </c>
      <c r="R53" s="2699"/>
      <c r="S53" s="2699"/>
      <c r="T53" s="2699"/>
      <c r="U53" s="2699"/>
      <c r="V53" s="2699"/>
      <c r="W53" s="2699"/>
      <c r="X53" s="1345"/>
    </row>
    <row r="54" spans="1:24" ht="12.75">
      <c r="A54" s="1131" t="s">
        <v>594</v>
      </c>
      <c r="B54" s="1128"/>
      <c r="C54" s="1101"/>
      <c r="D54" s="1101"/>
      <c r="E54" s="1101"/>
      <c r="F54" s="1101"/>
      <c r="G54" s="1103"/>
      <c r="H54" s="155"/>
      <c r="I54" s="2758"/>
      <c r="J54" s="2102"/>
      <c r="K54" s="2102"/>
      <c r="L54" s="2110"/>
      <c r="M54" s="2478">
        <f>F44*1000/J44</f>
        <v>284.90566037735852</v>
      </c>
      <c r="N54" s="1345"/>
      <c r="O54" s="2487"/>
      <c r="P54" s="2301" t="str">
        <f>IF(M54="","",IF(AND(O54&gt;-3%,O54&lt;3%),"",IF(OR(AND(M54&lt;3000,M54&gt;0),M54=0),IF(OR(AND(O54&gt;-50%,O54&lt;100%),X54&lt;1446),"","Kommentera förändringen"),"Kommentera riksavvikelsen")))</f>
        <v/>
      </c>
      <c r="Q54" s="1141" t="s">
        <v>1059</v>
      </c>
      <c r="R54" s="2699"/>
      <c r="S54" s="2699"/>
      <c r="T54" s="2699"/>
      <c r="U54" s="2699"/>
      <c r="V54" s="2699"/>
      <c r="W54" s="2699"/>
      <c r="X54" s="1345"/>
    </row>
    <row r="55" spans="1:24" ht="12.75">
      <c r="A55" s="1131" t="s">
        <v>595</v>
      </c>
      <c r="B55" s="1133"/>
      <c r="C55" s="1101"/>
      <c r="D55" s="1101"/>
      <c r="E55" s="1101"/>
      <c r="F55" s="1101"/>
      <c r="G55" s="1103"/>
      <c r="H55" s="153"/>
      <c r="I55" s="2758"/>
      <c r="J55" s="2102"/>
      <c r="K55" s="2102"/>
      <c r="L55" s="2110"/>
      <c r="M55" s="2478">
        <f>Motpart!H19*1000/J44</f>
        <v>0.94339622641509435</v>
      </c>
      <c r="N55" s="1345"/>
      <c r="O55" s="2487"/>
      <c r="P55" s="2301" t="str">
        <f>IF(M55="","",IF(AND(O55&gt;-3%,O55&lt;3%),"",IF(OR(AND(M55&lt;150,M55&gt;0),M55=0),IF(OR(AND(O55&gt;-50%,O55&lt;100%),X55&lt;1458),"","Kommentera förändringen"),"Kommentera riksavvikelsen")))</f>
        <v/>
      </c>
      <c r="Q55" s="1141" t="s">
        <v>1060</v>
      </c>
      <c r="R55" s="2699"/>
      <c r="S55" s="2699"/>
      <c r="T55" s="2699"/>
      <c r="U55" s="2699"/>
      <c r="V55" s="2699"/>
      <c r="W55" s="2699"/>
      <c r="X55" s="1345"/>
    </row>
    <row r="56" spans="1:24" ht="12.75">
      <c r="A56" s="1111" t="s">
        <v>596</v>
      </c>
      <c r="B56" s="1128"/>
      <c r="C56" s="1090"/>
      <c r="D56" s="1101"/>
      <c r="E56" s="1090"/>
      <c r="F56" s="1090"/>
      <c r="G56" s="1100"/>
      <c r="H56" s="1327"/>
      <c r="I56" s="1328"/>
      <c r="J56" s="1581"/>
      <c r="K56" s="1146"/>
      <c r="L56" s="1146"/>
      <c r="M56" s="2478">
        <f>(Motpart!D19+Motpart!E19+Motpart!F19+Motpart!J19-(Motpart!D19+Motpart!E19+Motpart!F19+Motpart!J19)*0.06)*1000/J44</f>
        <v>240.32075471698113</v>
      </c>
      <c r="N56" s="1345"/>
      <c r="O56" s="2487"/>
      <c r="P56" s="2301" t="str">
        <f>IF(M56="","",IF(AND(O56&gt;-3%,O56&lt;3%),"",IF(OR(AND(M56&lt;1600,M56&gt;0),M56=0),IF(OR(AND(O56&gt;-50%,O56&lt;100%),X56&lt;1458),"","Kommentera förändringen"),"Kommentera riksavvikelsen")))</f>
        <v/>
      </c>
      <c r="Q56" s="1141" t="s">
        <v>1061</v>
      </c>
      <c r="R56" s="2699"/>
      <c r="S56" s="2699"/>
      <c r="T56" s="2699"/>
      <c r="U56" s="2699"/>
      <c r="V56" s="2699"/>
      <c r="W56" s="2699"/>
      <c r="X56" s="1345"/>
    </row>
    <row r="57" spans="1:24" ht="13.5" thickBot="1">
      <c r="A57" s="1131"/>
      <c r="B57" s="1134"/>
      <c r="C57" s="1927" t="str">
        <f>IF(ABS(C53)&lt;500,"",IF(C44=0,"C44",IF(ABS(C53/C44)&gt;0.03,"C53")))</f>
        <v/>
      </c>
      <c r="D57" s="1927"/>
      <c r="E57" s="1927" t="str">
        <f>IF(ABS(E53)&lt;500,"",IF(E44=0,"E44",IF(ABS(E53/E44)&gt;0.03,"E53")))</f>
        <v/>
      </c>
      <c r="F57" s="1927"/>
      <c r="G57" s="1928" t="str">
        <f>IF(ABS(G53)&lt;500,"",IF(G44=0,"G44",IF(ABS(G53/G44)&gt;0.03,"G53")))</f>
        <v/>
      </c>
      <c r="H57" s="169"/>
      <c r="I57" s="1147"/>
      <c r="J57" s="1582"/>
      <c r="K57" s="1142"/>
      <c r="L57" s="1142"/>
      <c r="M57" s="647"/>
      <c r="N57" s="1345"/>
      <c r="O57" s="2487"/>
      <c r="P57" s="2301" t="str">
        <f>IF(C57="C44","Bruttokostnad i Driften=0",IF(C57="C53","Eliminera differens kolumn C",IF(E57="E44","Bruttointäkt i Driften = 0",IF(E57="E53","Eliminera differens kolumn E",IF(G57="G44","Interna intäkter i Driften=0",IF(G57="G53","Eliminera differens kolumn G",""))))))</f>
        <v/>
      </c>
      <c r="Q57" s="1145" t="s">
        <v>526</v>
      </c>
      <c r="R57" s="267"/>
      <c r="S57" s="267"/>
      <c r="X57" s="1345"/>
    </row>
    <row r="58" spans="1:24" ht="12.75">
      <c r="A58" s="1113" t="s">
        <v>416</v>
      </c>
      <c r="B58" s="1124" t="s">
        <v>574</v>
      </c>
      <c r="C58" s="86">
        <f>Drift!P56</f>
        <v>53409</v>
      </c>
      <c r="D58" s="87">
        <f>SUM(Motpart!D20:L20)</f>
        <v>19217</v>
      </c>
      <c r="E58" s="87">
        <f>Drift!W56</f>
        <v>15452</v>
      </c>
      <c r="F58" s="87">
        <f>Motpart!Y20</f>
        <v>6931</v>
      </c>
      <c r="G58" s="136">
        <f>Drift!V56</f>
        <v>3601</v>
      </c>
      <c r="H58" s="153"/>
      <c r="I58" s="1470" t="s">
        <v>981</v>
      </c>
      <c r="J58" s="1580">
        <v>326</v>
      </c>
      <c r="K58" s="1468"/>
      <c r="L58" s="1469"/>
      <c r="M58" s="2479">
        <f>SUM(M59:M61,M63:M65)</f>
        <v>88325.153374233123</v>
      </c>
      <c r="N58" s="1345"/>
      <c r="O58" s="2487"/>
      <c r="P58" s="2301" t="str">
        <f>IF(M58="","",IF(AND(O58&gt;-3%,O58&lt;3%),"",IF(OR(AND(M58&lt;230000,M58&gt;0),M58=0),IF(AND(O58&gt;-20%,O58&lt;30%),"","Kommentera förändringen"),"Kommentera riksavvikelsen")))</f>
        <v/>
      </c>
      <c r="Q58" s="1141" t="s">
        <v>989</v>
      </c>
      <c r="R58" s="95"/>
      <c r="S58" s="267"/>
      <c r="X58" s="1345"/>
    </row>
    <row r="59" spans="1:24" ht="12.75">
      <c r="A59" s="1108" t="s">
        <v>417</v>
      </c>
      <c r="B59" s="1125" t="s">
        <v>524</v>
      </c>
      <c r="C59" s="278">
        <v>16562</v>
      </c>
      <c r="D59" s="1101"/>
      <c r="E59" s="255">
        <v>1580</v>
      </c>
      <c r="F59" s="1093"/>
      <c r="G59" s="277">
        <v>1436</v>
      </c>
      <c r="H59" s="157" t="s">
        <v>629</v>
      </c>
      <c r="I59" s="1462"/>
      <c r="J59" s="1463"/>
      <c r="K59" s="1466"/>
      <c r="L59" s="1467"/>
      <c r="M59" s="2478">
        <f t="shared" ref="M59:M64" si="2">(C59-E59)*1000/$J$58</f>
        <v>45957.055214723929</v>
      </c>
      <c r="N59" s="1345"/>
      <c r="O59" s="2487"/>
      <c r="P59" s="2301" t="str">
        <f>IF(M59="","",IF(AND(O59&gt;-3%,O59&lt;3%),"",IF(OR(AND(M59&lt;120000,M59&gt;0),M59=0),IF(AND(O59&gt;-20%,O59&lt;30%),"","Kommentera förändringen"),"Kommentera riksavvikelsen")))</f>
        <v/>
      </c>
      <c r="Q59" s="1141" t="s">
        <v>990</v>
      </c>
      <c r="R59" s="2737"/>
      <c r="S59" s="2699"/>
      <c r="T59" s="2699"/>
      <c r="U59" s="2699"/>
      <c r="V59" s="2699"/>
      <c r="W59" s="2699"/>
      <c r="X59" s="1345"/>
    </row>
    <row r="60" spans="1:24" ht="12.75">
      <c r="A60" s="1108" t="s">
        <v>418</v>
      </c>
      <c r="B60" s="1125" t="s">
        <v>934</v>
      </c>
      <c r="C60" s="278">
        <v>2403</v>
      </c>
      <c r="D60" s="1101"/>
      <c r="E60" s="255">
        <v>223</v>
      </c>
      <c r="F60" s="1093"/>
      <c r="G60" s="277">
        <v>71</v>
      </c>
      <c r="H60" s="157" t="s">
        <v>630</v>
      </c>
      <c r="I60" s="1462"/>
      <c r="J60" s="1463"/>
      <c r="K60" s="1146"/>
      <c r="L60" s="1464"/>
      <c r="M60" s="2478">
        <f t="shared" si="2"/>
        <v>6687.1165644171779</v>
      </c>
      <c r="N60" s="1345"/>
      <c r="O60" s="2487"/>
      <c r="P60" s="2301" t="str">
        <f>IF(M60="","",IF(AND(O60&gt;-3%,O60&lt;3%),"",IF(OR(AND(M60&lt;40000,M60&gt;0),M60=0),IF(AND(O60&gt;-40%,O60&lt;60%),"","Kommentera förändringen"),"Kommentera riksavvikelsen")))</f>
        <v/>
      </c>
      <c r="Q60" s="1141" t="s">
        <v>991</v>
      </c>
      <c r="R60" s="2699"/>
      <c r="S60" s="2699"/>
      <c r="T60" s="2699"/>
      <c r="U60" s="2699"/>
      <c r="V60" s="2699"/>
      <c r="W60" s="2699"/>
      <c r="X60" s="1345"/>
    </row>
    <row r="61" spans="1:24" ht="12.75">
      <c r="A61" s="1108" t="s">
        <v>419</v>
      </c>
      <c r="B61" s="1125" t="s">
        <v>544</v>
      </c>
      <c r="C61" s="278">
        <v>1402</v>
      </c>
      <c r="D61" s="1101"/>
      <c r="E61" s="255">
        <v>197</v>
      </c>
      <c r="F61" s="1093"/>
      <c r="G61" s="277">
        <v>90</v>
      </c>
      <c r="H61" s="155"/>
      <c r="I61" s="1462"/>
      <c r="J61" s="1258"/>
      <c r="K61" s="1140"/>
      <c r="L61" s="1465"/>
      <c r="M61" s="2478">
        <f t="shared" si="2"/>
        <v>3696.3190184049081</v>
      </c>
      <c r="N61" s="1345"/>
      <c r="O61" s="2487"/>
      <c r="P61" s="2301" t="str">
        <f>IF(M61="","",IF(AND(O61&gt;-3%,O61&lt;3%),"",IF(OR(AND(M61&lt;12000,M61&gt;0),M61=0),IF(AND(O61&gt;-40%,O61&lt;50%),"","Kommentera förändringen"),"Kommentera riksavvikelsen")))</f>
        <v/>
      </c>
      <c r="Q61" s="1141" t="s">
        <v>992</v>
      </c>
      <c r="R61" s="2699"/>
      <c r="S61" s="2699"/>
      <c r="T61" s="2699"/>
      <c r="U61" s="2699"/>
      <c r="V61" s="2699"/>
      <c r="W61" s="2699"/>
      <c r="X61" s="1345"/>
    </row>
    <row r="62" spans="1:24" ht="12.75">
      <c r="A62" s="1108" t="s">
        <v>262</v>
      </c>
      <c r="B62" s="1125" t="s">
        <v>522</v>
      </c>
      <c r="C62" s="278">
        <v>1326</v>
      </c>
      <c r="D62" s="1101"/>
      <c r="E62" s="255">
        <v>96</v>
      </c>
      <c r="F62" s="1093"/>
      <c r="G62" s="277">
        <v>4</v>
      </c>
      <c r="H62" s="153" t="s">
        <v>631</v>
      </c>
      <c r="I62" s="1462"/>
      <c r="J62" s="1463"/>
      <c r="K62" s="1466"/>
      <c r="L62" s="1467"/>
      <c r="M62" s="2478">
        <f t="shared" si="2"/>
        <v>3773.0061349693251</v>
      </c>
      <c r="N62" s="1345"/>
      <c r="O62" s="2487"/>
      <c r="P62" s="2301" t="str">
        <f>IF(M62="","",IF(AND(O62&gt;-3%,O62&lt;3%),"",IF(OR(AND(M62&lt;19000,M62&gt;0),M62=0),IF(AND(O62&gt;-20%,O62&lt;30%),"","Kommentera förändringen"),"Kommentera riksavvikelsen")))</f>
        <v/>
      </c>
      <c r="Q62" s="1141" t="s">
        <v>993</v>
      </c>
      <c r="R62" s="2699"/>
      <c r="S62" s="2699"/>
      <c r="T62" s="2699"/>
      <c r="U62" s="2699"/>
      <c r="V62" s="2699"/>
      <c r="W62" s="2699"/>
      <c r="X62" s="1345"/>
    </row>
    <row r="63" spans="1:24" ht="12.75">
      <c r="A63" s="1108" t="s">
        <v>420</v>
      </c>
      <c r="B63" s="1126" t="s">
        <v>812</v>
      </c>
      <c r="C63" s="278">
        <v>721</v>
      </c>
      <c r="D63" s="1101"/>
      <c r="E63" s="255">
        <v>37</v>
      </c>
      <c r="F63" s="1093"/>
      <c r="G63" s="277">
        <v>20</v>
      </c>
      <c r="H63" s="157" t="s">
        <v>632</v>
      </c>
      <c r="I63" s="1462"/>
      <c r="J63" s="1463"/>
      <c r="K63" s="1466"/>
      <c r="L63" s="1467"/>
      <c r="M63" s="2478">
        <f t="shared" si="2"/>
        <v>2098.159509202454</v>
      </c>
      <c r="N63" s="1345"/>
      <c r="O63" s="2487"/>
      <c r="P63" s="2301" t="str">
        <f>IF(M63="","",IF(AND(O63&gt;-3%,O63&lt;3%),"",IF(OR(AND(M63&lt;6000,M63&gt;0),M63=0),IF(AND(O63&gt;-50%,O63&lt;60%),"","Kommentera förändringen"),"Kommentera riksavvikelsen")))</f>
        <v/>
      </c>
      <c r="Q63" s="1141" t="s">
        <v>994</v>
      </c>
      <c r="R63" s="2699"/>
      <c r="S63" s="2699"/>
      <c r="T63" s="2699"/>
      <c r="U63" s="2699"/>
      <c r="V63" s="2699"/>
      <c r="W63" s="2699"/>
      <c r="X63" s="1345"/>
    </row>
    <row r="64" spans="1:24" ht="12.75">
      <c r="A64" s="1108" t="s">
        <v>421</v>
      </c>
      <c r="B64" s="1127" t="s">
        <v>568</v>
      </c>
      <c r="C64" s="278">
        <v>5175</v>
      </c>
      <c r="D64" s="1101"/>
      <c r="E64" s="255">
        <v>197</v>
      </c>
      <c r="F64" s="1093"/>
      <c r="G64" s="277">
        <v>142</v>
      </c>
      <c r="H64" s="157" t="s">
        <v>633</v>
      </c>
      <c r="I64" s="1462"/>
      <c r="J64" s="1463"/>
      <c r="K64" s="1466"/>
      <c r="L64" s="1467"/>
      <c r="M64" s="643">
        <f t="shared" si="2"/>
        <v>15269.938650306749</v>
      </c>
      <c r="N64" s="1345"/>
      <c r="O64" s="2487"/>
      <c r="P64" s="2301" t="str">
        <f>IF(M64="","",IF(AND(O64&gt;-3%,O64&lt;3%),"",IF(OR(AND(M64&lt;41000,M64&gt;0),M64=0),IF(AND(O64&gt;-30%,O64&lt;40%),"","Kommentera förändringen"),"Kommentera riksavvikelsen")))</f>
        <v/>
      </c>
      <c r="Q64" s="1141" t="s">
        <v>995</v>
      </c>
      <c r="R64" s="2699"/>
      <c r="S64" s="2699"/>
      <c r="T64" s="2699"/>
      <c r="U64" s="2699"/>
      <c r="V64" s="2699"/>
      <c r="W64" s="2699"/>
      <c r="X64" s="1345"/>
    </row>
    <row r="65" spans="1:24" ht="12.75">
      <c r="A65" s="1108" t="s">
        <v>422</v>
      </c>
      <c r="B65" s="1135" t="s">
        <v>469</v>
      </c>
      <c r="C65" s="278">
        <v>5484</v>
      </c>
      <c r="D65" s="1101"/>
      <c r="E65" s="255">
        <v>5621</v>
      </c>
      <c r="F65" s="1093"/>
      <c r="G65" s="277">
        <v>1838</v>
      </c>
      <c r="H65" s="157" t="s">
        <v>634</v>
      </c>
      <c r="I65" s="2759" t="str">
        <f>IF(SUM(E65-G65+100)&lt;Motpart!AA20,"I Motparten är statsbidragen "&amp;""&amp;(Motpart!AA20)&amp;" tkr. Alla bidrag från staten o statliga myndigheter, inklusive de från Migrationsverket, ska ingå under Övrigt som extern intäkt. De externa intäkterna på Övrigt-raden är dock bara "&amp;""&amp;(ROUND(E65-G65,0))&amp;" tkr. ","")</f>
        <v/>
      </c>
      <c r="J65" s="2111"/>
      <c r="K65" s="2111"/>
      <c r="L65" s="2116"/>
      <c r="M65" s="2478">
        <f>(C65+C66-G65)*1000/$J$58</f>
        <v>14616.564417177915</v>
      </c>
      <c r="N65" s="1345"/>
      <c r="O65" s="2487"/>
      <c r="P65" s="2301" t="str">
        <f>IF(SUM(E65-G65+100)&lt;Motpart!AA20,"Statsbidrag se kommentar till vänster",IF(M65="","",IF(AND(O65&gt;-3%,O65&lt;3%),"",IF(OR(AND(M65&lt;42000,M65&gt;0),M65=0),IF(AND(O65&gt;-50%,O65&lt;60%),"","Kommentera förändringen"),"Kommentera riksavvikelsen"))))</f>
        <v/>
      </c>
      <c r="Q65" s="1141" t="s">
        <v>996</v>
      </c>
      <c r="R65" s="2699"/>
      <c r="S65" s="2699"/>
      <c r="T65" s="2699"/>
      <c r="U65" s="2699"/>
      <c r="V65" s="2699"/>
      <c r="W65" s="2699"/>
      <c r="X65" s="1345"/>
    </row>
    <row r="66" spans="1:24" ht="12.75">
      <c r="A66" s="1108" t="s">
        <v>423</v>
      </c>
      <c r="B66" s="1136" t="s">
        <v>481</v>
      </c>
      <c r="C66" s="278">
        <v>1119</v>
      </c>
      <c r="D66" s="1088"/>
      <c r="E66" s="1101"/>
      <c r="F66" s="1101"/>
      <c r="G66" s="1103"/>
      <c r="H66" s="157"/>
      <c r="I66" s="2760"/>
      <c r="J66" s="2111"/>
      <c r="K66" s="2111"/>
      <c r="L66" s="2116"/>
      <c r="M66" s="2478">
        <f>(M58*J58/1000+D58-F58-(Motpart!D20+Motpart!E20+Motpart!F20+Motpart!J20)*0.06)*1000/J58+M62</f>
        <v>128038.28220858896</v>
      </c>
      <c r="N66" s="1345"/>
      <c r="O66" s="2487"/>
      <c r="P66" s="2301" t="str">
        <f>IF(M66="","",IF(AND(O66&gt;-3%,O66&lt;3%),"",IF(OR(AND(M66&lt;230000,M66&gt;88000),M66=0),IF(AND(O66&gt;-20%,O66&lt;30%),"","Kommentera förändringen"),"Kommentera riksavvikelsen")))</f>
        <v/>
      </c>
      <c r="Q66" s="1141" t="s">
        <v>997</v>
      </c>
      <c r="R66" s="2699"/>
      <c r="S66" s="2699"/>
      <c r="T66" s="2699"/>
      <c r="U66" s="2699"/>
      <c r="V66" s="2699"/>
      <c r="W66" s="2699"/>
      <c r="X66" s="1345"/>
    </row>
    <row r="67" spans="1:24" ht="12.75">
      <c r="A67" s="1108" t="s">
        <v>600</v>
      </c>
      <c r="B67" s="1128"/>
      <c r="C67" s="1101"/>
      <c r="D67" s="1090"/>
      <c r="E67" s="1101"/>
      <c r="F67" s="1090"/>
      <c r="G67" s="1103"/>
      <c r="H67" s="157"/>
      <c r="I67" s="2760"/>
      <c r="J67" s="2111"/>
      <c r="K67" s="2111"/>
      <c r="L67" s="2116"/>
      <c r="M67" s="2478">
        <f>(Motpart!G20+Motpart!K20)*1000/J58</f>
        <v>28273.006134969324</v>
      </c>
      <c r="N67" s="1345"/>
      <c r="O67" s="2487"/>
      <c r="P67" s="2301" t="str">
        <f>IF(M67="","",IF(AND(O67&gt;-3%,O67&lt;3%),"",IF(OR(AND(M67&lt;150000,M67&gt;0),M67=0),IF(OR(AND(O67&gt;-50%,O67&lt;50%),X67&lt;598),"","Kommentera förändringen"),"Kommentera riksavvikelsen")))</f>
        <v/>
      </c>
      <c r="Q67" s="1141" t="s">
        <v>998</v>
      </c>
      <c r="R67" s="2699"/>
      <c r="S67" s="2699"/>
      <c r="T67" s="2699"/>
      <c r="U67" s="2699"/>
      <c r="V67" s="2699"/>
      <c r="W67" s="2699"/>
      <c r="X67" s="1345"/>
    </row>
    <row r="68" spans="1:24" ht="12.75">
      <c r="A68" s="1129" t="s">
        <v>601</v>
      </c>
      <c r="B68" s="1128"/>
      <c r="C68" s="1101"/>
      <c r="D68" s="1090"/>
      <c r="E68" s="1101"/>
      <c r="F68" s="1101"/>
      <c r="G68" s="1103"/>
      <c r="H68" s="155"/>
      <c r="I68" s="2760"/>
      <c r="J68" s="2111"/>
      <c r="K68" s="2111"/>
      <c r="L68" s="2116"/>
      <c r="M68" s="2478">
        <f>F58*1000/J58</f>
        <v>21260.73619631902</v>
      </c>
      <c r="N68" s="1345"/>
      <c r="O68" s="2487"/>
      <c r="P68" s="2301" t="str">
        <f>IF(M68="","",IF(AND(O68&gt;-3%,O68&lt;3%),"",IF(OR(AND(M68&lt;160000,M68&gt;0),M68=0),IF(OR(AND(O68&gt;-50%,O68&lt;50%),X68&lt;589),"","Kommentera förändringen"),"Kommentera riksavvikelsen")))</f>
        <v/>
      </c>
      <c r="Q68" s="1141" t="s">
        <v>999</v>
      </c>
      <c r="R68" s="2699"/>
      <c r="S68" s="2699"/>
      <c r="T68" s="2699"/>
      <c r="U68" s="2699"/>
      <c r="V68" s="2699"/>
      <c r="W68" s="2699"/>
      <c r="X68" s="1345"/>
    </row>
    <row r="69" spans="1:24" ht="12.75">
      <c r="A69" s="1129" t="s">
        <v>602</v>
      </c>
      <c r="B69" s="1133"/>
      <c r="C69" s="1101"/>
      <c r="D69" s="1090"/>
      <c r="E69" s="1101"/>
      <c r="F69" s="1101"/>
      <c r="G69" s="1103"/>
      <c r="H69" s="153"/>
      <c r="I69" s="2760"/>
      <c r="J69" s="2111"/>
      <c r="K69" s="2111"/>
      <c r="L69" s="2116"/>
      <c r="M69" s="643">
        <f>Motpart!H20*1000/J58</f>
        <v>1165.6441717791411</v>
      </c>
      <c r="N69" s="1345"/>
      <c r="O69" s="2487"/>
      <c r="P69" s="2301" t="str">
        <f>IF(M69="","",IF(AND(O69&gt;-3%,O69&lt;3%),"",IF(OR(AND(M69&lt;13000,M69&gt;0),M69=0),IF(OR(AND(O69&gt;-50%,O69&lt;50%),X69&lt;860),"","Kommentera förändringen"),"Kommentera riksavvikelsen")))</f>
        <v/>
      </c>
      <c r="Q69" s="1141" t="s">
        <v>1000</v>
      </c>
      <c r="R69" s="2699"/>
      <c r="S69" s="2699"/>
      <c r="T69" s="2699"/>
      <c r="U69" s="2699"/>
      <c r="V69" s="2699"/>
      <c r="W69" s="2699"/>
      <c r="X69" s="1345"/>
    </row>
    <row r="70" spans="1:24" ht="12.75">
      <c r="A70" s="1129" t="s">
        <v>603</v>
      </c>
      <c r="B70" s="1128"/>
      <c r="C70" s="1090"/>
      <c r="D70" s="1090"/>
      <c r="E70" s="1090"/>
      <c r="F70" s="1090"/>
      <c r="G70" s="1100"/>
      <c r="H70" s="1327"/>
      <c r="I70" s="1328"/>
      <c r="J70" s="1581"/>
      <c r="K70" s="1146"/>
      <c r="L70" s="1146"/>
      <c r="M70" s="2478">
        <f>((Motpart!D20+Motpart!E20+Motpart!F20+Motpart!J20)-(Motpart!D20+Motpart!E20+Motpart!F20+Motpart!J20)*0.06)*1000/J58</f>
        <v>27369.570552147241</v>
      </c>
      <c r="N70" s="1345"/>
      <c r="O70" s="2487"/>
      <c r="P70" s="2301" t="str">
        <f>IF(M70="","",IF(AND(O70&gt;-3%,O70&lt;3%),"",IF(OR(AND(M70&lt;58000,M70&gt;0),M70=0),IF(OR(AND(O70&gt;-50%,O70&lt;50%),X70&lt;559),"","Kommentera förändringen"),"Kommentera riksavvikelsen")))</f>
        <v/>
      </c>
      <c r="Q70" s="1141" t="s">
        <v>1001</v>
      </c>
      <c r="R70" s="2699"/>
      <c r="S70" s="2699"/>
      <c r="T70" s="2699"/>
      <c r="U70" s="2699"/>
      <c r="V70" s="2699"/>
      <c r="W70" s="2699"/>
      <c r="X70" s="1345"/>
    </row>
    <row r="71" spans="1:24" ht="13.5" thickBot="1">
      <c r="A71" s="1137"/>
      <c r="B71" s="1138"/>
      <c r="C71" s="1923" t="str">
        <f>IF(ABS(C67)&lt;500,"",IF(C58=0,"C58",IF(ABS(C67/C58)&gt;0.03,"C67")))</f>
        <v/>
      </c>
      <c r="D71" s="1924"/>
      <c r="E71" s="1924" t="str">
        <f>IF(ABS(E67)&lt;500,"",IF(E58=0,"E58",IF(ABS(E67/E58)&gt;0.03,"E67")))</f>
        <v/>
      </c>
      <c r="F71" s="1926"/>
      <c r="G71" s="1925" t="str">
        <f>IF(ABS(G67)&lt;500,"",IF(G58=0,"G58",IF(ABS(G67/G58)&gt;0.03,"G67")))</f>
        <v/>
      </c>
      <c r="H71" s="156"/>
      <c r="I71" s="1144"/>
      <c r="J71" s="1582"/>
      <c r="K71" s="1142"/>
      <c r="L71" s="1142"/>
      <c r="M71" s="647"/>
      <c r="N71" s="1345"/>
      <c r="O71" s="2487"/>
      <c r="P71" s="2301" t="str">
        <f>IF(C71="C58","Bruttokostnad i Driften=0",IF(C71="C67","Eliminera differens i kolumn C",IF(E71="E58","Bruttointäkt i Driften = 0",IF(E71="E67","Eliminera differens kolumn E",IF(G71="G58","Interna intäkter i Driften=0",IF(G71="G67","Eliminera differens kolumn G",""))))))</f>
        <v/>
      </c>
      <c r="Q71" s="1145" t="s">
        <v>527</v>
      </c>
      <c r="R71" s="267"/>
      <c r="S71" s="267"/>
      <c r="X71" s="1345"/>
    </row>
    <row r="72" spans="1:24" ht="12.75">
      <c r="A72" s="1113" t="s">
        <v>424</v>
      </c>
      <c r="B72" s="1124" t="s">
        <v>575</v>
      </c>
      <c r="C72" s="86">
        <f>Drift!P57</f>
        <v>3552</v>
      </c>
      <c r="D72" s="87">
        <f>SUM(Motpart!D21:L21)</f>
        <v>982</v>
      </c>
      <c r="E72" s="87">
        <f>Drift!W57</f>
        <v>819</v>
      </c>
      <c r="F72" s="87">
        <f>Motpart!Y21</f>
        <v>537</v>
      </c>
      <c r="G72" s="136">
        <f>Drift!V57</f>
        <v>166</v>
      </c>
      <c r="H72" s="153"/>
      <c r="I72" s="1484" t="s">
        <v>981</v>
      </c>
      <c r="J72" s="1580">
        <v>326</v>
      </c>
      <c r="K72" s="1471"/>
      <c r="L72" s="1469"/>
      <c r="M72" s="2479">
        <f>SUM(M73:M75,M77:M79)</f>
        <v>6487.7300613496927</v>
      </c>
      <c r="N72" s="1345"/>
      <c r="O72" s="2487"/>
      <c r="P72" s="2301" t="str">
        <f>IF(M72="","",IF(AND(O72&gt;-3%,O72&lt;3%),"",IF(OR(AND(M72&lt;85000,M72&gt;0),M72=0),IF(OR(AND(O72&gt;-40%,O72&lt;50%),X72&lt;3130),"","Kommentera förändringen"),"Kommentera riksavvikelsen")))</f>
        <v/>
      </c>
      <c r="Q72" s="1141" t="s">
        <v>989</v>
      </c>
      <c r="R72" s="95"/>
      <c r="S72" s="267"/>
      <c r="X72" s="1345"/>
    </row>
    <row r="73" spans="1:24" ht="12.75">
      <c r="A73" s="1108" t="s">
        <v>425</v>
      </c>
      <c r="B73" s="1125" t="s">
        <v>524</v>
      </c>
      <c r="C73" s="278">
        <v>1145</v>
      </c>
      <c r="D73" s="1101"/>
      <c r="E73" s="255">
        <v>85</v>
      </c>
      <c r="F73" s="1093"/>
      <c r="G73" s="277">
        <v>76</v>
      </c>
      <c r="H73" s="168" t="s">
        <v>635</v>
      </c>
      <c r="I73" s="860"/>
      <c r="J73" s="1463"/>
      <c r="K73" s="1466"/>
      <c r="L73" s="1466"/>
      <c r="M73" s="2478">
        <f t="shared" ref="M73:M78" si="3">(C73-E73)*1000/$J$72</f>
        <v>3251.5337423312885</v>
      </c>
      <c r="N73" s="1345"/>
      <c r="O73" s="2487"/>
      <c r="P73" s="2301" t="str">
        <f>IF(M73="","",IF(AND(O73&gt;-3%,O73&lt;3%),"",IF(OR(AND(M73&lt;30000,M73&gt;0),M73=0),IF(OR(AND(O73&gt;-40%,O73&lt;50%),X73&lt;1527),"","Kommentera förändringen"),"Kommentera riksavvikelsen")))</f>
        <v/>
      </c>
      <c r="Q73" s="1141" t="s">
        <v>990</v>
      </c>
      <c r="R73" s="2737"/>
      <c r="S73" s="2699"/>
      <c r="T73" s="2699"/>
      <c r="U73" s="2699"/>
      <c r="V73" s="2699"/>
      <c r="W73" s="2699"/>
      <c r="X73" s="1345"/>
    </row>
    <row r="74" spans="1:24" ht="12.75">
      <c r="A74" s="1108" t="s">
        <v>426</v>
      </c>
      <c r="B74" s="1125" t="s">
        <v>934</v>
      </c>
      <c r="C74" s="278">
        <v>90</v>
      </c>
      <c r="D74" s="1101"/>
      <c r="E74" s="255">
        <v>16</v>
      </c>
      <c r="F74" s="1093"/>
      <c r="G74" s="277">
        <v>4</v>
      </c>
      <c r="H74" s="167" t="s">
        <v>636</v>
      </c>
      <c r="I74" s="860"/>
      <c r="J74" s="1463"/>
      <c r="K74" s="1146"/>
      <c r="L74" s="1146"/>
      <c r="M74" s="2478">
        <f t="shared" si="3"/>
        <v>226.99386503067484</v>
      </c>
      <c r="N74" s="1345"/>
      <c r="O74" s="2487"/>
      <c r="P74" s="2301" t="str">
        <f>IF(M74="","",IF(AND(O74&gt;-3%,O74&lt;3%),"",IF(OR(AND(M74&lt;2600,M74&gt;0),M74=0),IF(OR(AND(O74&gt;-50%,O74&lt;80%),X74&lt;114),"","Kommentera förändringen"),"Kommentera riksavvikelsen")))</f>
        <v/>
      </c>
      <c r="Q74" s="1141" t="s">
        <v>991</v>
      </c>
      <c r="R74" s="2699"/>
      <c r="S74" s="2699"/>
      <c r="T74" s="2699"/>
      <c r="U74" s="2699"/>
      <c r="V74" s="2699"/>
      <c r="W74" s="2699"/>
      <c r="X74" s="1345"/>
    </row>
    <row r="75" spans="1:24" ht="12.75">
      <c r="A75" s="1108" t="s">
        <v>427</v>
      </c>
      <c r="B75" s="1125" t="s">
        <v>544</v>
      </c>
      <c r="C75" s="278">
        <v>42</v>
      </c>
      <c r="D75" s="1101"/>
      <c r="E75" s="255">
        <v>3</v>
      </c>
      <c r="F75" s="1093"/>
      <c r="G75" s="277">
        <v>1</v>
      </c>
      <c r="H75" s="1483"/>
      <c r="I75" s="860"/>
      <c r="J75" s="1258"/>
      <c r="K75" s="1140"/>
      <c r="L75" s="1140"/>
      <c r="M75" s="2478">
        <f t="shared" si="3"/>
        <v>119.6319018404908</v>
      </c>
      <c r="N75" s="1345"/>
      <c r="O75" s="2487"/>
      <c r="P75" s="2301" t="str">
        <f>IF(M75="","",IF(AND(O75&gt;-3%,O75&lt;3%),"",IF(OR(AND(M75&lt;1800,M75&gt;0),M75=0),IF(OR(AND(O75&gt;-50%,O75&lt;60%),X75&lt;56),"","Kommentera förändringen"),"Kommentera riksavvikelsen")))</f>
        <v/>
      </c>
      <c r="Q75" s="1141" t="s">
        <v>992</v>
      </c>
      <c r="R75" s="2699"/>
      <c r="S75" s="2699"/>
      <c r="T75" s="2699"/>
      <c r="U75" s="2699"/>
      <c r="V75" s="2699"/>
      <c r="W75" s="2699"/>
      <c r="X75" s="1345"/>
    </row>
    <row r="76" spans="1:24" ht="12.75">
      <c r="A76" s="1108" t="s">
        <v>428</v>
      </c>
      <c r="B76" s="1125" t="s">
        <v>522</v>
      </c>
      <c r="C76" s="278">
        <v>265</v>
      </c>
      <c r="D76" s="1101"/>
      <c r="E76" s="255">
        <v>6</v>
      </c>
      <c r="F76" s="1093"/>
      <c r="G76" s="277">
        <v>1</v>
      </c>
      <c r="H76" s="1483" t="s">
        <v>637</v>
      </c>
      <c r="I76" s="860"/>
      <c r="J76" s="1463"/>
      <c r="K76" s="1466"/>
      <c r="L76" s="1466"/>
      <c r="M76" s="2478">
        <f t="shared" si="3"/>
        <v>794.47852760736191</v>
      </c>
      <c r="N76" s="1345"/>
      <c r="O76" s="2487"/>
      <c r="P76" s="2301" t="str">
        <f>IF(M76="","",IF(AND(O76&gt;-3%,O76&lt;3%),"",IF(OR(AND(M76&lt;7200,M76&gt;0),M76=0),IF(OR(AND(O76&gt;-50%,O76&lt;50%),X76&lt;257),"","Kommentera förändringen"),"Kommentera riksavvikelsen")))</f>
        <v/>
      </c>
      <c r="Q76" s="1141" t="s">
        <v>993</v>
      </c>
      <c r="R76" s="2699"/>
      <c r="S76" s="2699"/>
      <c r="T76" s="2699"/>
      <c r="U76" s="2699"/>
      <c r="V76" s="2699"/>
      <c r="W76" s="2699"/>
      <c r="X76" s="1345"/>
    </row>
    <row r="77" spans="1:24" ht="12.75">
      <c r="A77" s="1108" t="s">
        <v>429</v>
      </c>
      <c r="B77" s="1126" t="s">
        <v>812</v>
      </c>
      <c r="C77" s="278">
        <v>60</v>
      </c>
      <c r="D77" s="1101"/>
      <c r="E77" s="255">
        <v>2</v>
      </c>
      <c r="F77" s="1093"/>
      <c r="G77" s="277">
        <v>1</v>
      </c>
      <c r="H77" s="1483" t="s">
        <v>638</v>
      </c>
      <c r="I77" s="860"/>
      <c r="J77" s="1463"/>
      <c r="K77" s="1466"/>
      <c r="L77" s="1466"/>
      <c r="M77" s="2478">
        <f t="shared" si="3"/>
        <v>177.91411042944785</v>
      </c>
      <c r="N77" s="1345"/>
      <c r="O77" s="2487"/>
      <c r="P77" s="2301" t="str">
        <f>IF(M77="","",IF(AND(O77&gt;-3%,O77&lt;3%),"",IF(OR(AND(M77&lt;1800,M77&gt;0),M77=0),IF(OR(AND(O77&gt;-60%,O77&lt;100%),X77&lt;64),"","Kommentera förändringen"),"Kommentera riksavvikelsen")))</f>
        <v/>
      </c>
      <c r="Q77" s="1141" t="s">
        <v>994</v>
      </c>
      <c r="R77" s="2699"/>
      <c r="S77" s="2699"/>
      <c r="T77" s="2699"/>
      <c r="U77" s="2699"/>
      <c r="V77" s="2699"/>
      <c r="W77" s="2699"/>
      <c r="X77" s="1345"/>
    </row>
    <row r="78" spans="1:24" ht="12.75">
      <c r="A78" s="1108" t="s">
        <v>430</v>
      </c>
      <c r="B78" s="1127" t="s">
        <v>568</v>
      </c>
      <c r="C78" s="278">
        <v>290</v>
      </c>
      <c r="D78" s="1101"/>
      <c r="E78" s="255">
        <v>2</v>
      </c>
      <c r="F78" s="1093"/>
      <c r="G78" s="277">
        <v>1</v>
      </c>
      <c r="H78" s="1483" t="s">
        <v>639</v>
      </c>
      <c r="I78" s="860"/>
      <c r="J78" s="1463"/>
      <c r="K78" s="1466"/>
      <c r="L78" s="1466"/>
      <c r="M78" s="2478">
        <f t="shared" si="3"/>
        <v>883.43558282208585</v>
      </c>
      <c r="N78" s="1345"/>
      <c r="O78" s="2487"/>
      <c r="P78" s="2301" t="str">
        <f>IF(M78="","",IF(AND(O78&gt;-3%,O78&lt;3%),"",IF(OR(AND(M78&lt;13000,M78&gt;0),M78=0),IF(OR(AND(O78&gt;-60%,O78&lt;100%),X78&lt;491),"","Kommentera förändringen"),"Kommentera riksavvikelsen")))</f>
        <v/>
      </c>
      <c r="Q78" s="1141" t="s">
        <v>995</v>
      </c>
      <c r="R78" s="2699"/>
      <c r="S78" s="2699"/>
      <c r="T78" s="2699"/>
      <c r="U78" s="2699"/>
      <c r="V78" s="2699"/>
      <c r="W78" s="2699"/>
      <c r="X78" s="1345"/>
    </row>
    <row r="79" spans="1:24" ht="12.75">
      <c r="A79" s="1108" t="s">
        <v>431</v>
      </c>
      <c r="B79" s="1125" t="s">
        <v>469</v>
      </c>
      <c r="C79" s="278">
        <v>597</v>
      </c>
      <c r="D79" s="1101"/>
      <c r="E79" s="255">
        <v>152</v>
      </c>
      <c r="F79" s="1093"/>
      <c r="G79" s="277">
        <v>82</v>
      </c>
      <c r="H79" s="168" t="s">
        <v>640</v>
      </c>
      <c r="I79" s="2755" t="str">
        <f>IF(SUM(E79-G79+100)&lt;Motpart!AA21,"I Motparten är statsbidragen "&amp;""&amp;(Motpart!AA21)&amp;" tkr. Alla bidrag från staten o statliga myndigheter, inklusive de från Migrationsverket, ska ingå under Övrigt som extern intäkt. De externa intäkterna på Övrigt-raden är dock bara "&amp;""&amp;(ROUND(E79-G79,0))&amp;" tkr. ","")</f>
        <v/>
      </c>
      <c r="J79" s="2102"/>
      <c r="K79" s="2102"/>
      <c r="L79" s="2110"/>
      <c r="M79" s="643">
        <f>(C79+C80-G79)*1000/$J$72</f>
        <v>1828.2208588957055</v>
      </c>
      <c r="N79" s="1345"/>
      <c r="O79" s="2487"/>
      <c r="P79" s="2301" t="str">
        <f>IF(SUM(E79-G79+100)&lt;Motpart!AA21,"Statsbidrag se kommentar till vänster",IF(M79="","",IF(AND(O79&gt;-3%,O79&lt;3%),"",IF(OR(AND(M79&lt;36000,M79&gt;0),M79=0),IF(OR(AND(O79&gt;-60%,O79&lt;100%),X79&lt;886),"","Kommentera förändringen"),"Kommentera riksavvikelsen"))))</f>
        <v/>
      </c>
      <c r="Q79" s="1141" t="s">
        <v>996</v>
      </c>
      <c r="R79" s="2699"/>
      <c r="S79" s="2699"/>
      <c r="T79" s="2699"/>
      <c r="U79" s="2699"/>
      <c r="V79" s="2699"/>
      <c r="W79" s="2699"/>
      <c r="X79" s="1345"/>
    </row>
    <row r="80" spans="1:24" ht="12.75">
      <c r="A80" s="1108" t="s">
        <v>432</v>
      </c>
      <c r="B80" s="1139" t="s">
        <v>481</v>
      </c>
      <c r="C80" s="278">
        <v>81</v>
      </c>
      <c r="D80" s="1088"/>
      <c r="E80" s="1101"/>
      <c r="F80" s="1101"/>
      <c r="G80" s="1103"/>
      <c r="H80" s="167"/>
      <c r="I80" s="2761"/>
      <c r="J80" s="2102"/>
      <c r="K80" s="2102"/>
      <c r="L80" s="2110"/>
      <c r="M80" s="643">
        <f>((M72*J72/1000+D72-F72-(Motpart!D21+Motpart!E21+Motpart!F21+Motpart!J21)*0.06))/J72*1000+M76</f>
        <v>8599.386503067486</v>
      </c>
      <c r="N80" s="1345"/>
      <c r="O80" s="2487"/>
      <c r="P80" s="2301" t="str">
        <f>IF(M80="","",IF(AND(O80&gt;-3%,O80&lt;3%),"",IF(OR(AND(M80&lt;28000,M80&gt;1),M80=0),IF(OR(AND(O80&gt;-40%,O80&lt;50%),X80&lt;3190),"","Kommntera förändringen"),"Kommentera riksavvikelsen")))</f>
        <v/>
      </c>
      <c r="Q80" s="1141" t="s">
        <v>997</v>
      </c>
      <c r="R80" s="2699"/>
      <c r="S80" s="2699"/>
      <c r="T80" s="2699"/>
      <c r="U80" s="2699"/>
      <c r="V80" s="2699"/>
      <c r="W80" s="2699"/>
      <c r="X80" s="1345"/>
    </row>
    <row r="81" spans="1:24" ht="12.75">
      <c r="A81" s="1129" t="s">
        <v>604</v>
      </c>
      <c r="B81" s="1128"/>
      <c r="C81" s="1101"/>
      <c r="D81" s="1090"/>
      <c r="E81" s="1101"/>
      <c r="F81" s="1090"/>
      <c r="G81" s="1103"/>
      <c r="H81" s="155"/>
      <c r="I81" s="2761"/>
      <c r="J81" s="2102"/>
      <c r="K81" s="2102"/>
      <c r="L81" s="2110"/>
      <c r="M81" s="2478">
        <f>(Motpart!G21+Motpart!K21)*1000/J72</f>
        <v>2061.3496932515336</v>
      </c>
      <c r="N81" s="1345"/>
      <c r="O81" s="2487"/>
      <c r="P81" s="2301" t="str">
        <f>IF(M81="","",IF(AND(O81&gt;-3%,O81&lt;3%),"",IF(OR(AND(M81&lt;18000,M81&gt;0),M81=0),IF(OR(AND(O81&gt;-50%,O81&lt;100%),X81&lt;1484),"","Kommentera förändringen"),"Kommentera riksavvikelsen")))</f>
        <v/>
      </c>
      <c r="Q81" s="1141" t="s">
        <v>998</v>
      </c>
      <c r="R81" s="2699"/>
      <c r="S81" s="2699"/>
      <c r="T81" s="2699"/>
      <c r="U81" s="2699"/>
      <c r="V81" s="2699"/>
      <c r="W81" s="2699"/>
      <c r="X81" s="1345"/>
    </row>
    <row r="82" spans="1:24" ht="12.75">
      <c r="A82" s="1129" t="s">
        <v>605</v>
      </c>
      <c r="B82" s="1128"/>
      <c r="C82" s="1101"/>
      <c r="D82" s="1090"/>
      <c r="E82" s="1101"/>
      <c r="F82" s="1101"/>
      <c r="G82" s="1103"/>
      <c r="H82" s="153"/>
      <c r="I82" s="2761"/>
      <c r="J82" s="2102"/>
      <c r="K82" s="2102"/>
      <c r="L82" s="2110"/>
      <c r="M82" s="2478">
        <f>F72*1000/J72</f>
        <v>1647.2392638036811</v>
      </c>
      <c r="N82" s="1345"/>
      <c r="O82" s="2487"/>
      <c r="P82" s="2301" t="str">
        <f>IF(M82="","",IF(AND(O82&gt;-3%,O82&lt;3%),"",IF(OR(AND(M82&lt;63000,M82&gt;0),M82=0),IF(OR(AND(O82&gt;-50%,O82&lt;100%),X82&lt;1737),"","Kommentera förändringen"),"Kommentera riksavvikelsen")))</f>
        <v/>
      </c>
      <c r="Q82" s="1141" t="s">
        <v>999</v>
      </c>
      <c r="R82" s="2699"/>
      <c r="S82" s="2699"/>
      <c r="T82" s="2699"/>
      <c r="U82" s="2699"/>
      <c r="V82" s="2699"/>
      <c r="W82" s="2699"/>
      <c r="X82" s="1345"/>
    </row>
    <row r="83" spans="1:24" ht="12.75">
      <c r="A83" s="1129" t="s">
        <v>606</v>
      </c>
      <c r="B83" s="1133"/>
      <c r="C83" s="1101"/>
      <c r="D83" s="1090"/>
      <c r="E83" s="1101"/>
      <c r="F83" s="1101"/>
      <c r="G83" s="1103"/>
      <c r="H83" s="157"/>
      <c r="I83" s="2761"/>
      <c r="J83" s="2102"/>
      <c r="K83" s="2102"/>
      <c r="L83" s="2110"/>
      <c r="M83" s="643">
        <f>Motpart!H21*1000/J72</f>
        <v>147.23926380368098</v>
      </c>
      <c r="N83" s="1345"/>
      <c r="O83" s="2487"/>
      <c r="P83" s="2301" t="str">
        <f>IF(M83="","",IF(AND(O83&gt;-3%,O83&lt;3%),"",IF(OR(AND(M83&lt;3000,M83&gt;0),M83=0),IF(OR(AND(O83&gt;-50%,O83&lt;100%),X83&lt;1484),"","Kommentera förändringen"),"Kommentera riksavvikelsen")))</f>
        <v/>
      </c>
      <c r="Q83" s="1141" t="s">
        <v>1000</v>
      </c>
      <c r="R83" s="2699"/>
      <c r="S83" s="2699"/>
      <c r="T83" s="2699"/>
      <c r="U83" s="2699"/>
      <c r="V83" s="2699"/>
      <c r="W83" s="2699"/>
      <c r="X83" s="1345"/>
    </row>
    <row r="84" spans="1:24" ht="12.75">
      <c r="A84" s="1108" t="s">
        <v>607</v>
      </c>
      <c r="B84" s="1128"/>
      <c r="C84" s="1090"/>
      <c r="D84" s="1090"/>
      <c r="E84" s="1090"/>
      <c r="F84" s="1090"/>
      <c r="G84" s="1100"/>
      <c r="H84" s="1327"/>
      <c r="I84" s="1328"/>
      <c r="J84" s="1581"/>
      <c r="K84" s="1146"/>
      <c r="L84" s="1146"/>
      <c r="M84" s="643">
        <f>((Motpart!D21+Motpart!E21+Motpart!F21+Motpart!J21)-(Motpart!D21+Motpart!E21+Motpart!F21+Motpart!J21)*0.06)*1000/J72</f>
        <v>749.69325153374234</v>
      </c>
      <c r="N84" s="1345"/>
      <c r="O84" s="2487"/>
      <c r="P84" s="2301" t="str">
        <f>IF(M84="","",IF(AND(O84&gt;-3%,O84&lt;3%),"",IF(OR(AND(M84&lt;5000,M84&gt;0),M84=0),IF(OR(AND(O84&gt;-50%,O84&lt;100%),X84&lt;1359),"","Kommentera förändringen"),"Kommentera riksavvikelsen")))</f>
        <v/>
      </c>
      <c r="Q84" s="1141" t="s">
        <v>1002</v>
      </c>
      <c r="R84" s="2699"/>
      <c r="S84" s="2699"/>
      <c r="T84" s="2699"/>
      <c r="U84" s="2699"/>
      <c r="V84" s="2699"/>
      <c r="W84" s="2699"/>
      <c r="X84" s="1345"/>
    </row>
    <row r="85" spans="1:24" ht="13.5" thickBot="1">
      <c r="A85" s="1131"/>
      <c r="B85" s="1138"/>
      <c r="C85" s="1923" t="str">
        <f>IF(ABS(C81)&lt;500,"",IF(C72=0,"C72",IF(ABS(C81/C72)&gt;0.03,"C81")))</f>
        <v/>
      </c>
      <c r="D85" s="1924"/>
      <c r="E85" s="1924" t="str">
        <f>IF(ABS(E81)&lt;500,"",IF(E72=0,"E72",IF(ABS(E81/E72)&gt;0.03,"E81")))</f>
        <v/>
      </c>
      <c r="F85" s="1924"/>
      <c r="G85" s="1925" t="str">
        <f>IF(ABS(G81)&lt;500,"",IF(G72=0,"G72",IF(ABS(G81/G72)&gt;0.03,"G81")))</f>
        <v/>
      </c>
      <c r="H85" s="156"/>
      <c r="I85" s="1144"/>
      <c r="J85" s="1582"/>
      <c r="K85" s="1142"/>
      <c r="L85" s="1146"/>
      <c r="M85" s="647"/>
      <c r="N85" s="1345"/>
      <c r="O85" s="2487"/>
      <c r="P85" s="2301" t="str">
        <f>IF(C85="C72","Bruttokostnad i Driften=0",IF(C85="C81","Eliminera differens kolumn C",IF(E85="E72","Bruttointäkt i Driften = 0",IF(E85="E81","Eliminera differens kolumn E",IF(G85="G72","Interna intäkter i Driften=0",IF(G85="G81","Eliminera differens kolumn G",""))))))</f>
        <v/>
      </c>
      <c r="Q85" s="1145" t="s">
        <v>528</v>
      </c>
      <c r="R85" s="267"/>
      <c r="S85" s="267"/>
      <c r="X85" s="1345"/>
    </row>
    <row r="86" spans="1:24" ht="12.75" customHeight="1">
      <c r="A86" s="1113" t="s">
        <v>433</v>
      </c>
      <c r="B86" s="1124" t="s">
        <v>577</v>
      </c>
      <c r="C86" s="166">
        <f>Drift!P60</f>
        <v>1254</v>
      </c>
      <c r="D86" s="87">
        <f>SUM(Motpart!D22:L22)</f>
        <v>359</v>
      </c>
      <c r="E86" s="165">
        <f>Drift!W60</f>
        <v>183</v>
      </c>
      <c r="F86" s="87">
        <f>Motpart!Y22</f>
        <v>45</v>
      </c>
      <c r="G86" s="137">
        <f>Drift!V60</f>
        <v>43</v>
      </c>
      <c r="H86" s="158"/>
      <c r="I86" s="1148" t="s">
        <v>569</v>
      </c>
      <c r="J86" s="1580">
        <v>5883</v>
      </c>
      <c r="K86" s="1149"/>
      <c r="L86" s="1149"/>
      <c r="M86" s="2479">
        <f>SUM(M87:M91)</f>
        <v>143.80418154003058</v>
      </c>
      <c r="N86" s="1345"/>
      <c r="O86" s="2487"/>
      <c r="P86" s="2301" t="str">
        <f>IF(M86="","",IF(AND(O86&gt;-3%,O86&lt;3%),"",IF(OR(AND(M86&lt;1000,M86&gt;0),M86=0),IF(OR(AND(O86&gt;-300%,O86&lt;500%)),"","Kommentera förändringen"),"Kommentera riksavvikelsen")))</f>
        <v/>
      </c>
      <c r="Q86" s="1141" t="s">
        <v>1003</v>
      </c>
      <c r="R86" s="95"/>
      <c r="X86" s="1345"/>
    </row>
    <row r="87" spans="1:24" ht="12.75" customHeight="1">
      <c r="A87" s="1108" t="s">
        <v>434</v>
      </c>
      <c r="B87" s="1125" t="s">
        <v>524</v>
      </c>
      <c r="C87" s="278">
        <v>520</v>
      </c>
      <c r="D87" s="1101"/>
      <c r="E87" s="255">
        <v>14</v>
      </c>
      <c r="F87" s="1093"/>
      <c r="G87" s="277">
        <v>10</v>
      </c>
      <c r="H87" s="157"/>
      <c r="I87" s="1150"/>
      <c r="J87" s="1583"/>
      <c r="K87" s="1146"/>
      <c r="L87" s="1146"/>
      <c r="M87" s="2478">
        <f>(C87-E87)*1000/$J$86</f>
        <v>86.01053884072752</v>
      </c>
      <c r="N87" s="1345"/>
      <c r="O87" s="2487"/>
      <c r="P87" s="2301" t="str">
        <f>IF(M87="","",IF(AND(O87&gt;-3%,O87&lt;3%),"",IF(OR(AND(M87&lt;800,M87&gt;0),M87=0),IF(OR(AND(O87&gt;-300%,O87&lt;500%)),"","Kommentera förändringen"),"Kommentera riksavvikelsen")))</f>
        <v/>
      </c>
      <c r="Q87" s="1141" t="s">
        <v>1004</v>
      </c>
      <c r="R87" s="2699"/>
      <c r="S87" s="2699"/>
      <c r="T87" s="2699"/>
      <c r="U87" s="2699"/>
      <c r="V87" s="2699"/>
      <c r="W87" s="2699"/>
      <c r="X87" s="1345"/>
    </row>
    <row r="88" spans="1:24" ht="12.75" customHeight="1">
      <c r="A88" s="1108" t="s">
        <v>435</v>
      </c>
      <c r="B88" s="1125" t="s">
        <v>934</v>
      </c>
      <c r="C88" s="278">
        <v>27</v>
      </c>
      <c r="D88" s="1101"/>
      <c r="E88" s="255">
        <v>1</v>
      </c>
      <c r="F88" s="1093"/>
      <c r="G88" s="277">
        <v>0</v>
      </c>
      <c r="H88" s="157"/>
      <c r="I88" s="1150"/>
      <c r="J88" s="1583"/>
      <c r="K88" s="1146"/>
      <c r="L88" s="1146"/>
      <c r="M88" s="2478">
        <f>(C88-E88)*1000/$J$86</f>
        <v>4.4195138534761176</v>
      </c>
      <c r="N88" s="1345"/>
      <c r="O88" s="2487"/>
      <c r="P88" s="2301" t="str">
        <f>IF(M88="","",IF(AND(O88&gt;-3%,O88&lt;3%),"",IF(OR(AND(M88&lt;100,M88&gt;0),M88=0),IF(OR(AND(O88&gt;-100%,O88&lt;500%)),"","Kommentera förändringen"),"Kommentera riksavvikelsen")))</f>
        <v/>
      </c>
      <c r="Q88" s="1141" t="s">
        <v>1005</v>
      </c>
      <c r="R88" s="2699"/>
      <c r="S88" s="2699"/>
      <c r="T88" s="2699"/>
      <c r="U88" s="2699"/>
      <c r="V88" s="2699"/>
      <c r="W88" s="2699"/>
      <c r="X88" s="1345"/>
    </row>
    <row r="89" spans="1:24" ht="15.75" customHeight="1">
      <c r="A89" s="1108" t="s">
        <v>436</v>
      </c>
      <c r="B89" s="1135" t="s">
        <v>812</v>
      </c>
      <c r="C89" s="278">
        <v>5</v>
      </c>
      <c r="D89" s="1101"/>
      <c r="E89" s="255">
        <v>0</v>
      </c>
      <c r="F89" s="1093"/>
      <c r="G89" s="277">
        <v>0</v>
      </c>
      <c r="H89" s="157"/>
      <c r="I89" s="1151"/>
      <c r="J89" s="1584"/>
      <c r="K89" s="1152"/>
      <c r="L89" s="1152"/>
      <c r="M89" s="2478">
        <f>(C89-E89)*1000/$J$86</f>
        <v>0.84990651028386877</v>
      </c>
      <c r="N89" s="1345"/>
      <c r="O89" s="2487"/>
      <c r="P89" s="2301" t="str">
        <f>IF(M89="","",IF(AND(O89&gt;-3%,O89&lt;3%),"",IF(OR(AND(M89&lt;20,M89&gt;0),M89=0),IF(OR(AND(O89&gt;-100%,O89&lt;200%)),"","Kommentera förändringen"),"Kommentera riksavvikelsen")))</f>
        <v/>
      </c>
      <c r="Q89" s="1141" t="s">
        <v>1006</v>
      </c>
      <c r="R89" s="2699"/>
      <c r="S89" s="2699"/>
      <c r="T89" s="2699"/>
      <c r="U89" s="2699"/>
      <c r="V89" s="2699"/>
      <c r="W89" s="2699"/>
      <c r="X89" s="1345"/>
    </row>
    <row r="90" spans="1:24" ht="12.75" customHeight="1">
      <c r="A90" s="1108" t="s">
        <v>437</v>
      </c>
      <c r="B90" s="1127" t="s">
        <v>568</v>
      </c>
      <c r="C90" s="278">
        <v>114</v>
      </c>
      <c r="D90" s="1101"/>
      <c r="E90" s="255">
        <v>2</v>
      </c>
      <c r="F90" s="1093"/>
      <c r="G90" s="277">
        <v>1</v>
      </c>
      <c r="H90" s="157"/>
      <c r="I90" s="2762" t="str">
        <f>IF(SUM(E91-G91+100)&lt;Motpart!AA22,"I Motparten är statsbidragen "&amp;""&amp;(Motpart!AA22)&amp;" tkr. Alla bidrag från staten o statliga myndigheter, inklusive de från Migrationsverket, ska ingå under Övrigt som extern intäkt. De externa intäkterna på Övrigt-raden är dock bara "&amp;""&amp;(ROUND(E91-G91,0))&amp;" tkr. ","")</f>
        <v/>
      </c>
      <c r="J90" s="2089"/>
      <c r="K90" s="2089"/>
      <c r="L90" s="2090"/>
      <c r="M90" s="2478">
        <f>(C90-E90)*1000/$J$86</f>
        <v>19.03790583035866</v>
      </c>
      <c r="N90" s="1345"/>
      <c r="O90" s="2487"/>
      <c r="P90" s="2301" t="str">
        <f>IF(M90="","",IF(AND(O90&gt;-3%,O90&lt;3%),"",IF(OR(AND(M90&lt;200,M90&gt;0),M90=0),IF(OR(AND(O90&gt;-100%,O90&lt;500%)),"","Kommentera förändringen"),"Kommentera riksavvikelsen")))</f>
        <v/>
      </c>
      <c r="Q90" s="1141" t="s">
        <v>1007</v>
      </c>
      <c r="R90" s="2699"/>
      <c r="S90" s="2699"/>
      <c r="T90" s="2699"/>
      <c r="U90" s="2699"/>
      <c r="V90" s="2699"/>
      <c r="W90" s="2699"/>
      <c r="X90" s="1345"/>
    </row>
    <row r="91" spans="1:24" ht="12.75" customHeight="1">
      <c r="A91" s="1108" t="s">
        <v>438</v>
      </c>
      <c r="B91" s="1125" t="s">
        <v>469</v>
      </c>
      <c r="C91" s="278">
        <v>182</v>
      </c>
      <c r="D91" s="1101"/>
      <c r="E91" s="255">
        <v>110</v>
      </c>
      <c r="F91" s="1093"/>
      <c r="G91" s="277">
        <v>32</v>
      </c>
      <c r="H91" s="157"/>
      <c r="I91" s="2761"/>
      <c r="J91" s="2089"/>
      <c r="K91" s="2089"/>
      <c r="L91" s="2090"/>
      <c r="M91" s="2478">
        <f>(C91+C92-G91)*1000/J86</f>
        <v>33.486316505184426</v>
      </c>
      <c r="N91" s="1345"/>
      <c r="O91" s="2487"/>
      <c r="P91" s="2301" t="str">
        <f>IF(SUM(E91-G91+100)&lt;Motpart!AA22,"Statsbidrag se kommentar till vänster",IF(M91="","",IF(AND(O91&gt;-3%,O91&lt;3%),"",IF(OR(AND(M91&lt;300,M91&gt;0),M91=0),IF(OR(AND(O91&gt;-200%,O91&lt;500%)),"","Kommentera förändringen"),"Kommentera riksavvikelsen"))))</f>
        <v/>
      </c>
      <c r="Q91" s="1141" t="s">
        <v>1008</v>
      </c>
      <c r="R91" s="2699"/>
      <c r="S91" s="2699"/>
      <c r="T91" s="2699"/>
      <c r="U91" s="2699"/>
      <c r="V91" s="2699"/>
      <c r="W91" s="2699"/>
      <c r="X91" s="1345"/>
    </row>
    <row r="92" spans="1:24" ht="12.75" customHeight="1">
      <c r="A92" s="1108" t="s">
        <v>439</v>
      </c>
      <c r="B92" s="1139" t="s">
        <v>523</v>
      </c>
      <c r="C92" s="278">
        <v>47</v>
      </c>
      <c r="D92" s="1088"/>
      <c r="E92" s="1101"/>
      <c r="F92" s="1101"/>
      <c r="G92" s="1103"/>
      <c r="H92" s="157"/>
      <c r="I92" s="2761"/>
      <c r="J92" s="2089"/>
      <c r="K92" s="2089"/>
      <c r="L92" s="2090"/>
      <c r="M92" s="2480"/>
      <c r="N92" s="1345"/>
      <c r="O92" s="2487"/>
      <c r="P92" s="2301"/>
      <c r="Q92" s="1153"/>
      <c r="R92" s="2699"/>
      <c r="S92" s="2699"/>
      <c r="T92" s="2699"/>
      <c r="U92" s="2699"/>
      <c r="V92" s="2699"/>
      <c r="W92" s="2699"/>
      <c r="X92" s="1345"/>
    </row>
    <row r="93" spans="1:24" ht="12.75" customHeight="1">
      <c r="A93" s="1108"/>
      <c r="B93" s="1139"/>
      <c r="C93" s="1101"/>
      <c r="D93" s="1090"/>
      <c r="E93" s="1101"/>
      <c r="F93" s="1090"/>
      <c r="G93" s="1103"/>
      <c r="H93" s="155"/>
      <c r="I93" s="2761"/>
      <c r="J93" s="2089"/>
      <c r="K93" s="2089"/>
      <c r="L93" s="2090"/>
      <c r="M93" s="2480"/>
      <c r="N93" s="1345"/>
      <c r="O93" s="2487"/>
      <c r="P93" s="2301" t="str">
        <f>IF(C94="C86","Bruttokostnad i Driften=0",IF(C94="C93","Eliminera differens kolumn C",IF(E94="E86","Bruttointäkt i Driften = 0",IF(E94="E93","Eliminera differens kolumn E",IF(G94="G86","Interna intäkter i Driften=0",IF(G94="G93","Eliminera differens kolumn G",""))))))</f>
        <v/>
      </c>
      <c r="Q93" s="1141" t="s">
        <v>529</v>
      </c>
      <c r="R93" s="2699"/>
      <c r="S93" s="2699"/>
      <c r="T93" s="2699"/>
      <c r="U93" s="2699"/>
      <c r="V93" s="2699"/>
      <c r="W93" s="2699"/>
      <c r="X93" s="1345"/>
    </row>
    <row r="94" spans="1:24" ht="16.5" customHeight="1" thickBot="1">
      <c r="A94" s="1131"/>
      <c r="B94" s="1132"/>
      <c r="C94" s="1923" t="str">
        <f>IF(ABS(C93)&lt;500,"",IF(C86=0,"C86",IF(ABS(C93/C86)&gt;0.03,"C93")))</f>
        <v/>
      </c>
      <c r="D94" s="1924"/>
      <c r="E94" s="1924" t="str">
        <f>IF(ABS(E93)&lt;500,"",IF(E86=0,"E86",IF(ABS(E93/E86)&gt;0.03,"E93")))</f>
        <v/>
      </c>
      <c r="F94" s="1924"/>
      <c r="G94" s="1925" t="str">
        <f>IF(ABS(G93)&lt;500,"",IF(G86=0,"G86",IF(ABS(G93/G86)&gt;0.03,"G93")))</f>
        <v/>
      </c>
      <c r="H94" s="169"/>
      <c r="I94" s="2763"/>
      <c r="J94" s="2112"/>
      <c r="K94" s="2112"/>
      <c r="L94" s="2113"/>
      <c r="M94" s="2481"/>
      <c r="N94" s="1345"/>
      <c r="O94" s="2487"/>
      <c r="P94" s="2301"/>
      <c r="Q94" s="1145"/>
      <c r="X94" s="1345"/>
    </row>
    <row r="95" spans="1:24" ht="12.75" customHeight="1">
      <c r="A95" s="1113" t="s">
        <v>440</v>
      </c>
      <c r="B95" s="1124" t="s">
        <v>578</v>
      </c>
      <c r="C95" s="86">
        <f>Drift!P61</f>
        <v>4747</v>
      </c>
      <c r="D95" s="1105">
        <f>SUM(Motpart!D23:L23)</f>
        <v>1713</v>
      </c>
      <c r="E95" s="165">
        <f>Drift!W61</f>
        <v>1841</v>
      </c>
      <c r="F95" s="87">
        <f>Motpart!Y23</f>
        <v>227</v>
      </c>
      <c r="G95" s="137">
        <f>Drift!V61</f>
        <v>282</v>
      </c>
      <c r="H95" s="158"/>
      <c r="I95" s="1148" t="s">
        <v>569</v>
      </c>
      <c r="J95" s="1580">
        <v>5883</v>
      </c>
      <c r="K95" s="1149"/>
      <c r="L95" s="1149"/>
      <c r="M95" s="2479">
        <f>SUM(M96:M100)</f>
        <v>457.07972123066463</v>
      </c>
      <c r="N95" s="1345"/>
      <c r="O95" s="2487"/>
      <c r="P95" s="2301" t="str">
        <f>IF(M95="","",IF(AND(O95&gt;-3%,O95&lt;3%),"",IF(OR(AND(M95&lt;1600,M95&gt;0),M95=0),IF(OR(AND(O95&gt;-500%,O95&lt;500%)),"","Kommentera förändringen"),"Kommentera riksavvikelsen")))</f>
        <v/>
      </c>
      <c r="Q95" s="1141" t="s">
        <v>1003</v>
      </c>
      <c r="R95" s="95"/>
      <c r="X95" s="1345"/>
    </row>
    <row r="96" spans="1:24" ht="12.75" customHeight="1">
      <c r="A96" s="1108" t="s">
        <v>441</v>
      </c>
      <c r="B96" s="1125" t="s">
        <v>524</v>
      </c>
      <c r="C96" s="278">
        <v>1544</v>
      </c>
      <c r="D96" s="1101"/>
      <c r="E96" s="255">
        <v>143</v>
      </c>
      <c r="F96" s="1093"/>
      <c r="G96" s="277">
        <v>94</v>
      </c>
      <c r="H96" s="157"/>
      <c r="I96" s="1150"/>
      <c r="J96" s="1583"/>
      <c r="K96" s="1146"/>
      <c r="L96" s="1146"/>
      <c r="M96" s="2478">
        <f>(C96-E96)*1000/$J$95</f>
        <v>238.14380418154002</v>
      </c>
      <c r="N96" s="1345"/>
      <c r="O96" s="2487"/>
      <c r="P96" s="2301" t="str">
        <f>IF(M96="","",IF(AND(O96&gt;-3%,O96&lt;3%),"",IF(OR(AND(M96&lt;1000,M96&gt;0),M96=0),IF(OR(AND(O96&gt;-300%,O96&lt;500%)),"","Kommentera förändringen"),"Kommentera riksavvikelsen")))</f>
        <v/>
      </c>
      <c r="Q96" s="1141" t="s">
        <v>1004</v>
      </c>
      <c r="R96" s="2699"/>
      <c r="S96" s="2699"/>
      <c r="T96" s="2699"/>
      <c r="U96" s="2699"/>
      <c r="V96" s="2699"/>
      <c r="W96" s="2699"/>
      <c r="X96" s="1345"/>
    </row>
    <row r="97" spans="1:24" ht="12.75" customHeight="1">
      <c r="A97" s="1108" t="s">
        <v>442</v>
      </c>
      <c r="B97" s="1125" t="s">
        <v>934</v>
      </c>
      <c r="C97" s="278">
        <v>125</v>
      </c>
      <c r="D97" s="1101"/>
      <c r="E97" s="255">
        <v>18</v>
      </c>
      <c r="F97" s="1093"/>
      <c r="G97" s="277">
        <v>7</v>
      </c>
      <c r="H97" s="155"/>
      <c r="I97" s="1150"/>
      <c r="J97" s="1583"/>
      <c r="K97" s="1146"/>
      <c r="L97" s="1146"/>
      <c r="M97" s="2478">
        <f>(C97-E97)*1000/$J$95</f>
        <v>18.187999320074791</v>
      </c>
      <c r="N97" s="1345"/>
      <c r="O97" s="2487"/>
      <c r="P97" s="2301" t="str">
        <f>IF(M97="","",IF(AND(O97&gt;-3%,O97&lt;3%),"",IF(OR(AND(M97&lt;500,M97&gt;0),M97=0),IF(OR(AND(O97&gt;-100%,O97&lt;500%)),"","Kommentera förändringen"),"Kommentera riksavvikelsen")))</f>
        <v/>
      </c>
      <c r="Q97" s="1141" t="s">
        <v>1005</v>
      </c>
      <c r="R97" s="2699"/>
      <c r="S97" s="2699"/>
      <c r="T97" s="2699"/>
      <c r="U97" s="2699"/>
      <c r="V97" s="2699"/>
      <c r="W97" s="2699"/>
      <c r="X97" s="1345"/>
    </row>
    <row r="98" spans="1:24" ht="14.25" customHeight="1">
      <c r="A98" s="1108" t="s">
        <v>443</v>
      </c>
      <c r="B98" s="1126" t="s">
        <v>812</v>
      </c>
      <c r="C98" s="278">
        <v>9</v>
      </c>
      <c r="D98" s="1101"/>
      <c r="E98" s="255">
        <v>0</v>
      </c>
      <c r="F98" s="1093"/>
      <c r="G98" s="277">
        <v>0</v>
      </c>
      <c r="H98" s="153"/>
      <c r="I98" s="1151"/>
      <c r="J98" s="1584"/>
      <c r="K98" s="1152"/>
      <c r="L98" s="1152"/>
      <c r="M98" s="2478">
        <f>(C98-E98)*1000/$J$95</f>
        <v>1.5298317185109638</v>
      </c>
      <c r="N98" s="1345"/>
      <c r="O98" s="2487"/>
      <c r="P98" s="2301" t="str">
        <f>IF(M98="","",IF(AND(O98&gt;-3%,O98&lt;3%),"",IF(OR(AND(M98&lt;30,M98&gt;0),M98=0),IF(OR(AND(O98&gt;-100%,O98&lt;200%)),"","Kommentera förändringen"),"Kommentera riksavvikelsen")))</f>
        <v/>
      </c>
      <c r="Q98" s="1141" t="s">
        <v>1006</v>
      </c>
      <c r="R98" s="2699"/>
      <c r="S98" s="2699"/>
      <c r="T98" s="2699"/>
      <c r="U98" s="2699"/>
      <c r="V98" s="2699"/>
      <c r="W98" s="2699"/>
      <c r="X98" s="1345"/>
    </row>
    <row r="99" spans="1:24" ht="15" customHeight="1">
      <c r="A99" s="1108" t="s">
        <v>444</v>
      </c>
      <c r="B99" s="1127" t="s">
        <v>568</v>
      </c>
      <c r="C99" s="278">
        <v>375</v>
      </c>
      <c r="D99" s="1101"/>
      <c r="E99" s="255">
        <v>20</v>
      </c>
      <c r="F99" s="1093"/>
      <c r="G99" s="277">
        <v>17</v>
      </c>
      <c r="H99" s="157"/>
      <c r="I99" s="2764" t="str">
        <f>IF(SUM(E100-G100+100)&lt;Motpart!AA23,"I Motparten är statsbidragen "&amp;""&amp;(Motpart!AA23)&amp;" tkr. Alla bidrag från staten o statliga myndigheter, inklusive de från Migrationsverket, ska ingå under Övrigt som extern intäkt. De externa intäkterna på Övrigt-raden är dock bara "&amp;""&amp;(ROUND(E100-G100,0))&amp;" tkr. ","")</f>
        <v/>
      </c>
      <c r="J99" s="2114"/>
      <c r="K99" s="2114"/>
      <c r="L99" s="2115"/>
      <c r="M99" s="2478">
        <f>(C99-E99)*1000/$J$95</f>
        <v>60.343362230154682</v>
      </c>
      <c r="N99" s="1345"/>
      <c r="O99" s="2487"/>
      <c r="P99" s="2301" t="str">
        <f>IF(M99="","",IF(AND(O99&gt;-3%,O99&lt;3%),"",IF(OR(AND(M99&lt;400,M99&gt;0),M99=0),IF(OR(AND(O99&gt;-100%,O99&lt;500%)),"","Kommentera förändringen"),"Kommentera riksavvikelsen")))</f>
        <v/>
      </c>
      <c r="Q99" s="1141" t="s">
        <v>1007</v>
      </c>
      <c r="R99" s="2699"/>
      <c r="S99" s="2699"/>
      <c r="T99" s="2699"/>
      <c r="U99" s="2699"/>
      <c r="V99" s="2699"/>
      <c r="W99" s="2699"/>
      <c r="X99" s="1345"/>
    </row>
    <row r="100" spans="1:24" ht="12.75" customHeight="1">
      <c r="A100" s="1108" t="s">
        <v>445</v>
      </c>
      <c r="B100" s="1125" t="s">
        <v>469</v>
      </c>
      <c r="C100" s="278">
        <v>758</v>
      </c>
      <c r="D100" s="1101"/>
      <c r="E100" s="255">
        <v>1362</v>
      </c>
      <c r="F100" s="1093"/>
      <c r="G100" s="277">
        <v>164</v>
      </c>
      <c r="H100" s="155"/>
      <c r="I100" s="2758"/>
      <c r="J100" s="2114"/>
      <c r="K100" s="2114"/>
      <c r="L100" s="2115"/>
      <c r="M100" s="2478">
        <f>(C100+C101-G100)*1000/J95</f>
        <v>138.87472378038416</v>
      </c>
      <c r="N100" s="1345"/>
      <c r="O100" s="2487"/>
      <c r="P100" s="2301" t="str">
        <f>IF(SUM(E100-G100+100)&lt;Motpart!AA23,"Statsbidrag se kommentar till vänster",IF(M100="","",IF(AND(O100&gt;-3%,O100&lt;3%),"",IF(OR(AND(M100&lt;700,M100&gt;0),M100=0),IF(OR(AND(O100&gt;-100%,O100&lt;500%)),"","Kommentera förändringen"),"Kommentera riksavvikelsen"))))</f>
        <v/>
      </c>
      <c r="Q100" s="1141" t="s">
        <v>1008</v>
      </c>
      <c r="R100" s="2699"/>
      <c r="S100" s="2699"/>
      <c r="T100" s="2699"/>
      <c r="U100" s="2699"/>
      <c r="V100" s="2699"/>
      <c r="W100" s="2699"/>
      <c r="X100" s="1345"/>
    </row>
    <row r="101" spans="1:24" ht="14.25" customHeight="1">
      <c r="A101" s="1108" t="s">
        <v>446</v>
      </c>
      <c r="B101" s="1125" t="s">
        <v>523</v>
      </c>
      <c r="C101" s="278">
        <v>223</v>
      </c>
      <c r="D101" s="1088"/>
      <c r="E101" s="1101"/>
      <c r="F101" s="1101"/>
      <c r="G101" s="1103"/>
      <c r="H101" s="155"/>
      <c r="I101" s="2758"/>
      <c r="J101" s="2114"/>
      <c r="K101" s="2114"/>
      <c r="L101" s="2115"/>
      <c r="M101" s="2480">
        <f>(((M95*J95/1000)+D95-F95+((M86*J86/1000)+D86-F86)))/(J86)*1000</f>
        <v>906.85024647288799</v>
      </c>
      <c r="N101" s="1345"/>
      <c r="O101" s="2487"/>
      <c r="P101" s="2301"/>
      <c r="Q101" s="1141" t="s">
        <v>1009</v>
      </c>
      <c r="R101" s="2699"/>
      <c r="S101" s="2699"/>
      <c r="T101" s="2699"/>
      <c r="U101" s="2699"/>
      <c r="V101" s="2699"/>
      <c r="W101" s="2699"/>
      <c r="X101" s="1372"/>
    </row>
    <row r="102" spans="1:24" ht="15" customHeight="1">
      <c r="A102" s="1916"/>
      <c r="B102" s="1917"/>
      <c r="C102" s="1101"/>
      <c r="D102" s="1090"/>
      <c r="E102" s="1101"/>
      <c r="F102" s="1090"/>
      <c r="G102" s="1103"/>
      <c r="H102" s="1395"/>
      <c r="I102" s="2758"/>
      <c r="J102" s="2089"/>
      <c r="K102" s="2089"/>
      <c r="L102" s="2090"/>
      <c r="M102" s="2480"/>
      <c r="N102" s="1345"/>
      <c r="O102" s="2487"/>
      <c r="P102" s="2301" t="str">
        <f>IF(C103="C95","Bruttokostnad i Driften=0",IF(C103="C102","Eliminera differens i kolumn C",IF(E103="E95","Bruttointäkt i Driften = 0",IF(E103="E102","Eliminera differens kolumn E",IF(G103="G95","Interna intäkter i Driften=0",IF(G103="G102","Eliminera differens kolumn G",""))))))</f>
        <v/>
      </c>
      <c r="Q102" s="1141" t="s">
        <v>530</v>
      </c>
      <c r="R102" s="2465"/>
      <c r="S102" s="2465"/>
      <c r="T102" s="2465"/>
      <c r="U102" s="2465"/>
      <c r="V102" s="2465"/>
      <c r="W102" s="2465"/>
      <c r="X102" s="1345"/>
    </row>
    <row r="103" spans="1:24" ht="12.75" customHeight="1" thickBot="1">
      <c r="A103" s="1918"/>
      <c r="B103" s="1919"/>
      <c r="C103" s="2611" t="str">
        <f>IF(ABS(C102)&lt;500,"",IF(C95=0,"C95",IF(ABS(C102/C95)&gt;0.03,"C102")))</f>
        <v/>
      </c>
      <c r="D103" s="1922"/>
      <c r="E103" s="2612" t="str">
        <f>IF(ABS(E102)&lt;500,"",IF(E95=0,"E95",IF(ABS(E102/E95)&gt;0.03,"E102")))</f>
        <v/>
      </c>
      <c r="F103" s="1922"/>
      <c r="G103" s="2613" t="str">
        <f>IF(ABS(G102)&lt;500,"",IF(G95=0,"G95",IF(ABS(G102/G95)&gt;0.03,"G102")))</f>
        <v/>
      </c>
      <c r="H103" s="1920"/>
      <c r="I103" s="2091"/>
      <c r="J103" s="2091"/>
      <c r="K103" s="2091"/>
      <c r="L103" s="2092"/>
      <c r="M103" s="2482"/>
      <c r="N103" s="2488"/>
      <c r="O103" s="2489"/>
      <c r="P103" s="2492"/>
      <c r="Q103" s="1921"/>
      <c r="R103" s="2465"/>
      <c r="S103" s="2465"/>
      <c r="T103" s="2465"/>
      <c r="U103" s="2465"/>
      <c r="V103" s="2465"/>
      <c r="W103" s="2465"/>
      <c r="X103" s="1345"/>
    </row>
    <row r="104" spans="1:24" ht="13.5" thickTop="1">
      <c r="A104" s="146"/>
      <c r="B104" s="268"/>
      <c r="C104" s="269"/>
      <c r="D104" s="269"/>
      <c r="E104" s="269"/>
      <c r="F104" s="269"/>
      <c r="G104" s="269"/>
      <c r="H104" s="270"/>
      <c r="I104" s="269"/>
      <c r="J104" s="269"/>
      <c r="K104" s="269"/>
      <c r="L104" s="228"/>
      <c r="M104" s="271"/>
      <c r="N104" s="271"/>
      <c r="O104" s="271"/>
      <c r="P104" s="272"/>
      <c r="Q104" s="273"/>
      <c r="X104" s="271"/>
    </row>
  </sheetData>
  <customSheetViews>
    <customSheetView guid="{27C9E95B-0E2B-454F-B637-1CECC9579A10}" showGridLines="0" hiddenRows="1" hiddenColumns="1" showRuler="0">
      <pane ySplit="7" topLeftCell="A8" activePane="bottomLeft" state="frozen"/>
      <selection pane="bottomLeft" activeCell="G72" sqref="G72"/>
      <pageMargins left="0.70866141732283472" right="0.70866141732283472" top="0.74803149606299213" bottom="0.74803149606299213" header="0.31496062992125984" footer="0.31496062992125984"/>
      <pageSetup paperSize="9" scale="96" orientation="landscape" r:id="rId1"/>
      <headerFooter alignWithMargins="0"/>
    </customSheetView>
    <customSheetView guid="{99FBDEB7-DD08-4F57-81F4-3C180403E153}" showGridLines="0" hiddenRows="1">
      <pane ySplit="7" topLeftCell="A9" activePane="bottomLeft" state="frozen"/>
      <selection pane="bottomLeft" activeCell="H2" sqref="H2"/>
      <pageMargins left="0.70866141732283472" right="0.70866141732283472" top="0.74803149606299213" bottom="0.74803149606299213" header="0.31496062992125984" footer="0.31496062992125984"/>
      <pageSetup paperSize="9" scale="96" orientation="landscape" r:id="rId2"/>
    </customSheetView>
    <customSheetView guid="{97D6DB71-3F4C-4C5F-8C5B-51E3EBF78932}" showPageBreaks="1" showGridLines="0" hiddenRows="1">
      <pane ySplit="7" topLeftCell="A8" activePane="bottomLeft" state="frozen"/>
      <selection pane="bottomLeft" activeCell="E93" sqref="E93"/>
      <pageMargins left="0.70866141732283472" right="0.70866141732283472" top="0.74803149606299213" bottom="0.74803149606299213" header="0.31496062992125984" footer="0.31496062992125984"/>
      <pageSetup paperSize="9" scale="96" orientation="landscape" r:id="rId3"/>
    </customSheetView>
  </customSheetViews>
  <mergeCells count="22">
    <mergeCell ref="I51:I55"/>
    <mergeCell ref="I65:I69"/>
    <mergeCell ref="I79:I83"/>
    <mergeCell ref="I90:I94"/>
    <mergeCell ref="I99:I102"/>
    <mergeCell ref="D5:D7"/>
    <mergeCell ref="F5:F7"/>
    <mergeCell ref="G5:G7"/>
    <mergeCell ref="I4:L5"/>
    <mergeCell ref="I38:I42"/>
    <mergeCell ref="IV6:IV7"/>
    <mergeCell ref="Q4:Q7"/>
    <mergeCell ref="R45:W56"/>
    <mergeCell ref="R59:W70"/>
    <mergeCell ref="R32:W42"/>
    <mergeCell ref="M4:M6"/>
    <mergeCell ref="R73:W84"/>
    <mergeCell ref="R87:W93"/>
    <mergeCell ref="R96:W101"/>
    <mergeCell ref="R9:W14"/>
    <mergeCell ref="R17:W22"/>
    <mergeCell ref="R25:W29"/>
  </mergeCells>
  <phoneticPr fontId="95" type="noConversion"/>
  <conditionalFormatting sqref="G32:G38 G45:G51 G59:G65 G73:G79 G87:G91 G96:G100">
    <cfRule type="expression" dxfId="58" priority="90" stopIfTrue="1">
      <formula>G32&gt;E32</formula>
    </cfRule>
  </conditionalFormatting>
  <conditionalFormatting sqref="G11 G19 G27 G32:G38 G45:G51 G59:G65">
    <cfRule type="expression" dxfId="57" priority="89" stopIfTrue="1">
      <formula>G11&gt;E11</formula>
    </cfRule>
  </conditionalFormatting>
  <conditionalFormatting sqref="G46:G51">
    <cfRule type="expression" dxfId="56" priority="78" stopIfTrue="1">
      <formula>G46&gt;E46</formula>
    </cfRule>
  </conditionalFormatting>
  <conditionalFormatting sqref="G27">
    <cfRule type="expression" dxfId="55" priority="19" stopIfTrue="1">
      <formula>G27&gt;G24</formula>
    </cfRule>
    <cfRule type="expression" dxfId="54" priority="53" stopIfTrue="1">
      <formula>G27&gt;E27</formula>
    </cfRule>
  </conditionalFormatting>
  <conditionalFormatting sqref="G19">
    <cfRule type="expression" dxfId="53" priority="27" stopIfTrue="1">
      <formula>G19&gt;G16</formula>
    </cfRule>
    <cfRule type="expression" dxfId="52" priority="52" stopIfTrue="1">
      <formula>G19&gt;E19</formula>
    </cfRule>
  </conditionalFormatting>
  <conditionalFormatting sqref="C103">
    <cfRule type="expression" dxfId="51" priority="35" stopIfTrue="1">
      <formula>ABS(C103/C95)&gt;0.03</formula>
    </cfRule>
  </conditionalFormatting>
  <conditionalFormatting sqref="E103">
    <cfRule type="expression" dxfId="50" priority="34" stopIfTrue="1">
      <formula>ABS(E103/E95)&gt;0.03</formula>
    </cfRule>
  </conditionalFormatting>
  <conditionalFormatting sqref="G103">
    <cfRule type="expression" dxfId="49" priority="33" stopIfTrue="1">
      <formula>ABS(G103/G95)&gt;0.03</formula>
    </cfRule>
  </conditionalFormatting>
  <conditionalFormatting sqref="C11 E11 E13 G11 G19 E21 E19 C19 C27 E27 G27 C32:C39 E32:E38 G32:G38 C45:C52 E45:E51 G45:G51 C59:C66 E59:E65 G59:G65 C73:C80 E73:E79 G73:G79 C87:C92 E87:E91 G87:G91 C96:C101 E96:E100 G96:G100">
    <cfRule type="cellIs" dxfId="48" priority="31" stopIfTrue="1" operator="lessThan">
      <formula>-500</formula>
    </cfRule>
  </conditionalFormatting>
  <conditionalFormatting sqref="C19">
    <cfRule type="expression" dxfId="47" priority="29" stopIfTrue="1">
      <formula>C19&gt;C16</formula>
    </cfRule>
  </conditionalFormatting>
  <conditionalFormatting sqref="E19">
    <cfRule type="expression" dxfId="46" priority="28" stopIfTrue="1">
      <formula>E19&gt;E16</formula>
    </cfRule>
  </conditionalFormatting>
  <conditionalFormatting sqref="C11">
    <cfRule type="expression" dxfId="45" priority="26" stopIfTrue="1">
      <formula>C11&gt;C8</formula>
    </cfRule>
  </conditionalFormatting>
  <conditionalFormatting sqref="E11">
    <cfRule type="expression" dxfId="44" priority="25" stopIfTrue="1">
      <formula>E11&gt;E8</formula>
    </cfRule>
  </conditionalFormatting>
  <conditionalFormatting sqref="G11">
    <cfRule type="expression" dxfId="43" priority="24" stopIfTrue="1">
      <formula>G11&gt;G8</formula>
    </cfRule>
  </conditionalFormatting>
  <conditionalFormatting sqref="E13">
    <cfRule type="expression" dxfId="42" priority="23" stopIfTrue="1">
      <formula>E13&gt;E12</formula>
    </cfRule>
  </conditionalFormatting>
  <conditionalFormatting sqref="E21">
    <cfRule type="expression" dxfId="41" priority="22" stopIfTrue="1">
      <formula>E21&gt;E20</formula>
    </cfRule>
  </conditionalFormatting>
  <conditionalFormatting sqref="C27">
    <cfRule type="expression" dxfId="40" priority="21" stopIfTrue="1">
      <formula>C27&gt;C24</formula>
    </cfRule>
  </conditionalFormatting>
  <conditionalFormatting sqref="E27">
    <cfRule type="expression" dxfId="39" priority="20" stopIfTrue="1">
      <formula>E27&gt;E24</formula>
    </cfRule>
  </conditionalFormatting>
  <conditionalFormatting sqref="C40">
    <cfRule type="cellIs" dxfId="38" priority="8" stopIfTrue="1" operator="lessThan">
      <formula>-500</formula>
    </cfRule>
  </conditionalFormatting>
  <conditionalFormatting sqref="C40">
    <cfRule type="expression" dxfId="37" priority="7" stopIfTrue="1">
      <formula>C40&gt;C37</formula>
    </cfRule>
  </conditionalFormatting>
  <conditionalFormatting sqref="E40">
    <cfRule type="cellIs" dxfId="36" priority="4" stopIfTrue="1" operator="lessThan">
      <formula>-500</formula>
    </cfRule>
  </conditionalFormatting>
  <conditionalFormatting sqref="E40">
    <cfRule type="expression" dxfId="35" priority="3" stopIfTrue="1">
      <formula>E40&gt;E37</formula>
    </cfRule>
  </conditionalFormatting>
  <conditionalFormatting sqref="G40">
    <cfRule type="cellIs" dxfId="34" priority="2" stopIfTrue="1" operator="lessThan">
      <formula>-500</formula>
    </cfRule>
  </conditionalFormatting>
  <conditionalFormatting sqref="G40">
    <cfRule type="expression" dxfId="33" priority="1" stopIfTrue="1">
      <formula>G40&gt;G37</formula>
    </cfRule>
  </conditionalFormatting>
  <dataValidations disablePrompts="1" count="2">
    <dataValidation type="decimal" operator="lessThan" allowBlank="1" showInputMessage="1" showErrorMessage="1" error="Beloppen ska vara i 1000 tal kronor" sqref="C65489:C65490 G65517:K65517 L65533 C65480:C65482 C65464:C65465 E65464:F65465 E65472:F65473 C65472:C65473 E65480:F65482 E65489:F65490">
      <formula1>99999999</formula1>
    </dataValidation>
    <dataValidation type="decimal" operator="lessThan" allowBlank="1" showInputMessage="1" showErrorMessage="1" error="Beloppet ska vara i 1000 tal kronor" sqref="C11 G96:G100 E96:E100 E11 G87:G91 E87:E91 C87:C92 G73:G79 E73:E79 C73:C80 G59:G65 E59:E65 C59:C66 G45:G51 E45:E51 C45:C52 G32:G38 E32:E38 C32:C39 G27 E27 C27 C19 E21 E19 G19 G11 E13 C96:C101">
      <formula1>99999999</formula1>
    </dataValidation>
  </dataValidations>
  <pageMargins left="0.47" right="0.47" top="0.74803149606299213" bottom="0.74803149606299213" header="0.31" footer="0.31496062992125984"/>
  <pageSetup paperSize="9" scale="96" orientation="landscape"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28489C6D-3605-44EB-AF30-2D3BD554AD4E}">
            <xm:f>SUM(E51-G51+100)&lt;Motpart!AA19</xm:f>
            <x14:dxf>
              <font>
                <b val="0"/>
                <i val="0"/>
                <color auto="1"/>
              </font>
              <fill>
                <patternFill>
                  <bgColor theme="9" tint="0.59996337778862885"/>
                </patternFill>
              </fill>
            </x14:dxf>
          </x14:cfRule>
          <xm:sqref>I51:I55</xm:sqref>
        </x14:conditionalFormatting>
        <x14:conditionalFormatting xmlns:xm="http://schemas.microsoft.com/office/excel/2006/main">
          <x14:cfRule type="expression" priority="14" id="{468A7900-2D84-423B-9B3F-94D8EAA45899}">
            <xm:f>SUM(E65-G65+100)&lt;Motpart!AA20</xm:f>
            <x14:dxf>
              <font>
                <b val="0"/>
                <i val="0"/>
                <color auto="1"/>
              </font>
              <fill>
                <patternFill>
                  <bgColor theme="9" tint="0.59996337778862885"/>
                </patternFill>
              </fill>
            </x14:dxf>
          </x14:cfRule>
          <xm:sqref>I65:I69</xm:sqref>
        </x14:conditionalFormatting>
        <x14:conditionalFormatting xmlns:xm="http://schemas.microsoft.com/office/excel/2006/main">
          <x14:cfRule type="expression" priority="13" id="{4F84AA19-49AA-46E8-9ADE-79F22FCE6F07}">
            <xm:f>SUM(E79-G79+100)&lt;Motpart!AA21</xm:f>
            <x14:dxf>
              <font>
                <b val="0"/>
                <i val="0"/>
                <color auto="1"/>
              </font>
              <fill>
                <patternFill>
                  <bgColor theme="9" tint="0.59996337778862885"/>
                </patternFill>
              </fill>
            </x14:dxf>
          </x14:cfRule>
          <xm:sqref>I79:I83</xm:sqref>
        </x14:conditionalFormatting>
        <x14:conditionalFormatting xmlns:xm="http://schemas.microsoft.com/office/excel/2006/main">
          <x14:cfRule type="expression" priority="12" id="{FE6AF082-1113-4046-BE7C-F09FCD0440EC}">
            <xm:f>SUM(E91-G91+100)&lt;Motpart!AA22</xm:f>
            <x14:dxf>
              <font>
                <b val="0"/>
                <i val="0"/>
                <color auto="1"/>
              </font>
              <fill>
                <patternFill>
                  <bgColor theme="9" tint="0.59996337778862885"/>
                </patternFill>
              </fill>
            </x14:dxf>
          </x14:cfRule>
          <xm:sqref>I90:I94</xm:sqref>
        </x14:conditionalFormatting>
        <x14:conditionalFormatting xmlns:xm="http://schemas.microsoft.com/office/excel/2006/main">
          <x14:cfRule type="expression" priority="10" id="{AA617564-E5DF-4D7E-8EA7-BE3A8CD251A2}">
            <xm:f>SUM(E100-G100+100)&lt;Motpart!AA23</xm:f>
            <x14:dxf>
              <font>
                <color auto="1"/>
              </font>
              <fill>
                <patternFill>
                  <bgColor theme="9" tint="0.59996337778862885"/>
                </patternFill>
              </fill>
            </x14:dxf>
          </x14:cfRule>
          <xm:sqref>I99:I101</xm:sqref>
        </x14:conditionalFormatting>
        <x14:conditionalFormatting xmlns:xm="http://schemas.microsoft.com/office/excel/2006/main">
          <x14:cfRule type="expression" priority="9" id="{917F4404-C110-4D85-A7BD-AEA4F7FA6FA8}">
            <xm:f>SUM(E38-G38+100)&lt;Motpart!AA18</xm:f>
            <x14:dxf>
              <fill>
                <patternFill>
                  <bgColor theme="9" tint="0.59996337778862885"/>
                </patternFill>
              </fill>
            </x14:dxf>
          </x14:cfRule>
          <xm:sqref>I38:I42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12</vt:i4>
      </vt:variant>
      <vt:variant>
        <vt:lpstr>Namngivna områden</vt:lpstr>
      </vt:variant>
      <vt:variant>
        <vt:i4>94</vt:i4>
      </vt:variant>
    </vt:vector>
  </HeadingPairs>
  <TitlesOfParts>
    <vt:vector size="106" baseType="lpstr">
      <vt:lpstr>Kn Information</vt:lpstr>
      <vt:lpstr>RR</vt:lpstr>
      <vt:lpstr>BR</vt:lpstr>
      <vt:lpstr>Verks int o kostn</vt:lpstr>
      <vt:lpstr>Skatter, bidrag o fin poster</vt:lpstr>
      <vt:lpstr>Investeringar</vt:lpstr>
      <vt:lpstr>Drift</vt:lpstr>
      <vt:lpstr>Motpart</vt:lpstr>
      <vt:lpstr>Pedagogisk verksamhet</vt:lpstr>
      <vt:lpstr>Äldre o personer funktionsn</vt:lpstr>
      <vt:lpstr>IFO</vt:lpstr>
      <vt:lpstr>Felkontroll</vt:lpstr>
      <vt:lpstr>'Skatter, bidrag o fin poster'!_GoBack</vt:lpstr>
      <vt:lpstr>Affärsverksamhet</vt:lpstr>
      <vt:lpstr>Balanskravsutredningen</vt:lpstr>
      <vt:lpstr>Barn_o_ungdomsvård</vt:lpstr>
      <vt:lpstr>Barnomsorg</vt:lpstr>
      <vt:lpstr>Bidrag_o_transfer.</vt:lpstr>
      <vt:lpstr>Block_1</vt:lpstr>
      <vt:lpstr>Block_2</vt:lpstr>
      <vt:lpstr>Block_3</vt:lpstr>
      <vt:lpstr>Block_6</vt:lpstr>
      <vt:lpstr>BR</vt:lpstr>
      <vt:lpstr>Drift</vt:lpstr>
      <vt:lpstr>EKchef</vt:lpstr>
      <vt:lpstr>Ekcheftel</vt:lpstr>
      <vt:lpstr>Epost1RS</vt:lpstr>
      <vt:lpstr>Epost2RS</vt:lpstr>
      <vt:lpstr>Epostaldre</vt:lpstr>
      <vt:lpstr>EpostAO</vt:lpstr>
      <vt:lpstr>EpostEkchef</vt:lpstr>
      <vt:lpstr>Epostforskola</vt:lpstr>
      <vt:lpstr>Epostgrund</vt:lpstr>
      <vt:lpstr>Epostgymn</vt:lpstr>
      <vt:lpstr>Eposthandik</vt:lpstr>
      <vt:lpstr>Epostifo</vt:lpstr>
      <vt:lpstr>EpostPV</vt:lpstr>
      <vt:lpstr>epostpvchef</vt:lpstr>
      <vt:lpstr>epostvochef</vt:lpstr>
      <vt:lpstr>Epostvux</vt:lpstr>
      <vt:lpstr>Extraordinära_RR</vt:lpstr>
      <vt:lpstr>Familjerätt</vt:lpstr>
      <vt:lpstr>Fritidshem</vt:lpstr>
      <vt:lpstr>Funktionsnedsättning</vt:lpstr>
      <vt:lpstr>Förskola</vt:lpstr>
      <vt:lpstr>Förskoleklass</vt:lpstr>
      <vt:lpstr>Förändring_anläggningstillgångar</vt:lpstr>
      <vt:lpstr>Grundskola</vt:lpstr>
      <vt:lpstr>Grundsärskola</vt:lpstr>
      <vt:lpstr>Grundvux</vt:lpstr>
      <vt:lpstr>Gymnasieskola</vt:lpstr>
      <vt:lpstr>Gymnasiesärskola</vt:lpstr>
      <vt:lpstr>Gymnvux</vt:lpstr>
      <vt:lpstr>inv7_15</vt:lpstr>
      <vt:lpstr>invanare</vt:lpstr>
      <vt:lpstr>Investeringar</vt:lpstr>
      <vt:lpstr>Invånare</vt:lpstr>
      <vt:lpstr>Jämförelsestörande_poster</vt:lpstr>
      <vt:lpstr>Kontaktpers1RS</vt:lpstr>
      <vt:lpstr>Kontaktpers2RS</vt:lpstr>
      <vt:lpstr>Kontaktpersaldre</vt:lpstr>
      <vt:lpstr>KontaktpersAO</vt:lpstr>
      <vt:lpstr>Kontaktpersforskola</vt:lpstr>
      <vt:lpstr>Kontaktpersgrund</vt:lpstr>
      <vt:lpstr>Kontaktpersgymn</vt:lpstr>
      <vt:lpstr>Kontaktpershandik</vt:lpstr>
      <vt:lpstr>Kontaktpersifo</vt:lpstr>
      <vt:lpstr>KontaktpersPV</vt:lpstr>
      <vt:lpstr>Kontaktpersvux</vt:lpstr>
      <vt:lpstr>Kontakttel1RS</vt:lpstr>
      <vt:lpstr>Kontakttel2RS</vt:lpstr>
      <vt:lpstr>Kontakttelaldre</vt:lpstr>
      <vt:lpstr>KontakttelAO</vt:lpstr>
      <vt:lpstr>Kontakttelforskola</vt:lpstr>
      <vt:lpstr>Kontakttelgrund</vt:lpstr>
      <vt:lpstr>Kontakttelgymn</vt:lpstr>
      <vt:lpstr>Kontakttelhandik</vt:lpstr>
      <vt:lpstr>Kontakttelifo</vt:lpstr>
      <vt:lpstr>Kontakttelpv</vt:lpstr>
      <vt:lpstr>Kontakttelpvchef</vt:lpstr>
      <vt:lpstr>Kontakttelvux</vt:lpstr>
      <vt:lpstr>Kontakttevochef</vt:lpstr>
      <vt:lpstr>Köp_huvudvht</vt:lpstr>
      <vt:lpstr>LSS</vt:lpstr>
      <vt:lpstr>Pvchef</vt:lpstr>
      <vt:lpstr>Skatter_bidrag_finpost</vt:lpstr>
      <vt:lpstr>Spec_intäkter</vt:lpstr>
      <vt:lpstr>Spec_VoO</vt:lpstr>
      <vt:lpstr>Tillägg_1_Invest</vt:lpstr>
      <vt:lpstr>Tillägg_2_Invest</vt:lpstr>
      <vt:lpstr>Utbildning</vt:lpstr>
      <vt:lpstr>Drift!Utskriftsområde</vt:lpstr>
      <vt:lpstr>Investeringar!Utskriftsområde</vt:lpstr>
      <vt:lpstr>'Kn Information'!Utskriftsområde</vt:lpstr>
      <vt:lpstr>Motpart!Utskriftsområde</vt:lpstr>
      <vt:lpstr>RR!Utskriftsområde</vt:lpstr>
      <vt:lpstr>'Äldre o personer funktionsn'!Utskriftsområde</vt:lpstr>
      <vt:lpstr>Drift!Utskriftsrubriker</vt:lpstr>
      <vt:lpstr>Motpart!Utskriftsrubriker</vt:lpstr>
      <vt:lpstr>Vht_int</vt:lpstr>
      <vt:lpstr>Vht_kostn</vt:lpstr>
      <vt:lpstr>VOchef</vt:lpstr>
      <vt:lpstr>Vuxna_missb.</vt:lpstr>
      <vt:lpstr>ÄF_inkl_IFO</vt:lpstr>
      <vt:lpstr>Äldre</vt:lpstr>
      <vt:lpstr>Övr._o_ek.bistånd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Wizell</dc:creator>
  <cp:lastModifiedBy>Glanzelius Marie NR/OEM-Ö</cp:lastModifiedBy>
  <cp:lastPrinted>2017-01-24T13:58:32Z</cp:lastPrinted>
  <dcterms:created xsi:type="dcterms:W3CDTF">2008-10-17T09:37:32Z</dcterms:created>
  <dcterms:modified xsi:type="dcterms:W3CDTF">2018-08-29T15:19:03Z</dcterms:modified>
</cp:coreProperties>
</file>