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P:\Prod\NR\Offentlig Ekonomi\RS\RS2018\Rikstotal\Slutliga versioner för leverans och publicering\"/>
    </mc:Choice>
  </mc:AlternateContent>
  <workbookProtection workbookPassword="CBFD" lockStructure="1"/>
  <bookViews>
    <workbookView xWindow="0" yWindow="2805" windowWidth="12285" windowHeight="2190" tabRatio="806"/>
  </bookViews>
  <sheets>
    <sheet name="Kn Information" sheetId="2" r:id="rId1"/>
    <sheet name="RR" sheetId="3" r:id="rId2"/>
    <sheet name="BR" sheetId="4" r:id="rId3"/>
    <sheet name="Verks int o kostn" sheetId="5" r:id="rId4"/>
    <sheet name="Skatter, bidrag o fin poster" sheetId="6" r:id="rId5"/>
    <sheet name="Investeringar" sheetId="7" r:id="rId6"/>
    <sheet name="Drift" sheetId="8" r:id="rId7"/>
    <sheet name="Motpart" sheetId="9" r:id="rId8"/>
    <sheet name="Pedagogisk verksamhet" sheetId="10" r:id="rId9"/>
    <sheet name="Äldre o personer funktionsn" sheetId="11" r:id="rId10"/>
    <sheet name="IFO" sheetId="12" r:id="rId11"/>
    <sheet name="Felkontroll" sheetId="16" state="hidden" r:id="rId12"/>
  </sheets>
  <definedNames>
    <definedName name="_GoBack" localSheetId="4">'Skatter, bidrag o fin poster'!$C$9</definedName>
    <definedName name="_HSL1">#REF!</definedName>
    <definedName name="_HSL2">#REF!</definedName>
    <definedName name="Affärsverksamhet">Drift!$Z$91</definedName>
    <definedName name="Balanskravsutredningen">RR!$G$30</definedName>
    <definedName name="Barn_o_ungdomsvård">IFO!$P$22</definedName>
    <definedName name="Barnomsorg">Drift!$Z$44</definedName>
    <definedName name="Bidrag_o_transfer.">Motpart!#REF!</definedName>
    <definedName name="Block_1">Drift!$Z$11</definedName>
    <definedName name="Block_2">Drift!$Z$18</definedName>
    <definedName name="Block_3">Drift!$Z$31</definedName>
    <definedName name="Block_6">Drift!$Z$86</definedName>
    <definedName name="BR">BR!$A$88</definedName>
    <definedName name="Datum">"2015-10-16"</definedName>
    <definedName name="Datumföre">"2016-10-17"</definedName>
    <definedName name="Drift">Drift!$A$117</definedName>
    <definedName name="EKchef">'Kn Information'!$B$16</definedName>
    <definedName name="Ekcheftel">'Kn Information'!$C$16</definedName>
    <definedName name="Epost1RS">'Kn Information'!$D$14</definedName>
    <definedName name="Epost2RS">'Kn Information'!$D$15</definedName>
    <definedName name="Epostaldre">'Kn Information'!$D$31</definedName>
    <definedName name="EpostAO">'Kn Information'!$D$32</definedName>
    <definedName name="EpostEkchef">'Kn Information'!$D$16</definedName>
    <definedName name="Epostforskola">'Kn Information'!$D$22</definedName>
    <definedName name="Epostgrund">'Kn Information'!$D$23</definedName>
    <definedName name="Epostgymn">'Kn Information'!$D$24</definedName>
    <definedName name="Eposthandik">'Kn Information'!$D$33</definedName>
    <definedName name="Epostifo">'Kn Information'!$D$34</definedName>
    <definedName name="EpostPV">'Kn Information'!$D$21</definedName>
    <definedName name="epostpvchef">'Kn Information'!$D$26</definedName>
    <definedName name="epostvochef">'Kn Information'!$D$35</definedName>
    <definedName name="Epostvux">'Kn Information'!$D$25</definedName>
    <definedName name="Extraordinära_RR">RR!$G$16</definedName>
    <definedName name="Familjerätt">IFO!$P$33</definedName>
    <definedName name="Fritidshem">'Pedagogisk verksamhet'!#REF!</definedName>
    <definedName name="Funktionsnedsättning">'Äldre o personer funktionsn'!$T$22</definedName>
    <definedName name="Förskola">'Pedagogisk verksamhet'!#REF!</definedName>
    <definedName name="Förskoleklass">'Pedagogisk verksamhet'!#REF!</definedName>
    <definedName name="Förändring_anläggningstillgångar">Investeringar!$I$16</definedName>
    <definedName name="Grundskola">'Pedagogisk verksamhet'!#REF!</definedName>
    <definedName name="Grundsärskola">'Pedagogisk verksamhet'!#REF!</definedName>
    <definedName name="Grundvux">'Pedagogisk verksamhet'!#REF!</definedName>
    <definedName name="Gymnasieskola">'Pedagogisk verksamhet'!#REF!</definedName>
    <definedName name="Gymnasiesärskola">'Pedagogisk verksamhet'!#REF!</definedName>
    <definedName name="Gymnvux">'Pedagogisk verksamhet'!#REF!</definedName>
    <definedName name="inv19_64">1</definedName>
    <definedName name="inv7_15">'Kn Information'!$B$5</definedName>
    <definedName name="invanare">'Kn Information'!$B$4</definedName>
    <definedName name="Investeringar">Investeringar!$G$68</definedName>
    <definedName name="Invånare">'Kn Information'!$B$4</definedName>
    <definedName name="Jämförelsestörande_poster">RR!$G$23</definedName>
    <definedName name="Kontaktpers1RS">'Kn Information'!$B$14</definedName>
    <definedName name="Kontaktpers2RS">'Kn Information'!$B$15</definedName>
    <definedName name="Kontaktpersaldre">'Kn Information'!$B$32</definedName>
    <definedName name="KontaktpersAO">'Kn Information'!$B$31</definedName>
    <definedName name="Kontaktpersforskola">'Kn Information'!$B$22</definedName>
    <definedName name="Kontaktpersgrund">'Kn Information'!$B$23</definedName>
    <definedName name="Kontaktpersgymn">'Kn Information'!$B$24</definedName>
    <definedName name="Kontaktpershandik">'Kn Information'!$B$33</definedName>
    <definedName name="Kontaktpersifo">'Kn Information'!$B$34</definedName>
    <definedName name="KontaktpersPV">'Kn Information'!$B$21</definedName>
    <definedName name="Kontaktpersvux">'Kn Information'!$B$25</definedName>
    <definedName name="Kontakttel1RS">'Kn Information'!$C$14</definedName>
    <definedName name="Kontakttel2RS">'Kn Information'!$C$15</definedName>
    <definedName name="Kontakttelaldre">'Kn Information'!$C$32</definedName>
    <definedName name="KontakttelAO">'Kn Information'!$C$31</definedName>
    <definedName name="Kontakttelforskola">'Kn Information'!$C$22</definedName>
    <definedName name="Kontakttelgrund">'Kn Information'!$C$23</definedName>
    <definedName name="Kontakttelgymn">'Kn Information'!$C$24</definedName>
    <definedName name="Kontakttelhandik">'Kn Information'!$C$33</definedName>
    <definedName name="Kontakttelifo">'Kn Information'!$C$34</definedName>
    <definedName name="Kontakttelpv">'Kn Information'!$C$21</definedName>
    <definedName name="Kontakttelpvchef">'Kn Information'!$C$26</definedName>
    <definedName name="Kontakttelvux">'Kn Information'!$C$25</definedName>
    <definedName name="Kontakttevochef">'Kn Information'!$C$35</definedName>
    <definedName name="Kontrollblad_1">#REF!</definedName>
    <definedName name="Kontrollblad_10">#REF!</definedName>
    <definedName name="Kontrollblad_11">#REF!</definedName>
    <definedName name="Kontrollblad_12">#REF!</definedName>
    <definedName name="Kontrollblad_13">#REF!</definedName>
    <definedName name="Kontrollblad_14">#REF!</definedName>
    <definedName name="Kontrollblad_2">#REF!</definedName>
    <definedName name="Kontrollblad_3">#REF!</definedName>
    <definedName name="Kontrollblad_4">#REF!</definedName>
    <definedName name="Kontrollblad_5">#REF!</definedName>
    <definedName name="Kontrollblad_6">#REF!</definedName>
    <definedName name="Kontrollblad_7">#REF!</definedName>
    <definedName name="Kontrollblad_8">#REF!</definedName>
    <definedName name="Kontrollblad_9">#REF!</definedName>
    <definedName name="Köp_huvudvht">Motpart!#REF!</definedName>
    <definedName name="LSS">'Äldre o personer funktionsn'!$T$32</definedName>
    <definedName name="Pvchef">'Kn Information'!$B$26</definedName>
    <definedName name="Skatter_bidrag_finpost">'Skatter, bidrag o fin poster'!$H$35</definedName>
    <definedName name="solver_cvg" localSheetId="5" hidden="1">0.0001</definedName>
    <definedName name="solver_drv" localSheetId="5" hidden="1">1</definedName>
    <definedName name="solver_est" localSheetId="5" hidden="1">1</definedName>
    <definedName name="solver_itr" localSheetId="5" hidden="1">100</definedName>
    <definedName name="solver_lin" localSheetId="5" hidden="1">2</definedName>
    <definedName name="solver_neg" localSheetId="5" hidden="1">2</definedName>
    <definedName name="solver_num" localSheetId="5" hidden="1">0</definedName>
    <definedName name="solver_nwt" localSheetId="5" hidden="1">1</definedName>
    <definedName name="solver_opt" localSheetId="5" hidden="1">Investeringar!$D$22</definedName>
    <definedName name="solver_pre" localSheetId="5" hidden="1">0.000001</definedName>
    <definedName name="solver_scl" localSheetId="5" hidden="1">2</definedName>
    <definedName name="solver_sho" localSheetId="5" hidden="1">2</definedName>
    <definedName name="solver_tim" localSheetId="5" hidden="1">100</definedName>
    <definedName name="solver_tol" localSheetId="5" hidden="1">0.05</definedName>
    <definedName name="solver_typ" localSheetId="5" hidden="1">1</definedName>
    <definedName name="solver_val" localSheetId="5" hidden="1">0</definedName>
    <definedName name="Spec_intäkter">Motpart!#REF!</definedName>
    <definedName name="Spec_VoO">'Äldre o personer funktionsn'!$R$46</definedName>
    <definedName name="Tillägg_1_Invest">Investeringar!$G$81</definedName>
    <definedName name="Tillägg_2_Invest">Investeringar!$G$97</definedName>
    <definedName name="Utbildning">Drift!$Z$52</definedName>
    <definedName name="_xlnm.Print_Area" localSheetId="6">Drift!$A$1:$AH$126</definedName>
    <definedName name="_xlnm.Print_Area" localSheetId="5">Investeringar!$A$1:$M$104</definedName>
    <definedName name="_xlnm.Print_Area" localSheetId="0">'Kn Information'!$A$1:$E$50</definedName>
    <definedName name="_xlnm.Print_Area" localSheetId="7">Motpart!$A$1:$AD$44</definedName>
    <definedName name="_xlnm.Print_Area" localSheetId="1">RR!$A$1:$K$56</definedName>
    <definedName name="_xlnm.Print_Area" localSheetId="9">'Äldre o personer funktionsn'!$A$1:$U$59</definedName>
    <definedName name="_xlnm.Print_Titles" localSheetId="6">Drift!$A:$B,Drift!$1:$10</definedName>
    <definedName name="_xlnm.Print_Titles" localSheetId="7">Motpart!$A:$B,Motpart!$1:$8</definedName>
    <definedName name="Vht_int">'Verks int o kostn'!$F$34</definedName>
    <definedName name="Vht_kostn">'Verks int o kostn'!$F$76</definedName>
    <definedName name="VOchef">'Kn Information'!$B$35</definedName>
    <definedName name="Vuxna_missb.">IFO!$P$13</definedName>
    <definedName name="Z_27C9E95B_0E2B_454F_B637_1CECC9579A10_.wvu.Cols" localSheetId="6" hidden="1">Drift!$AG:$IV</definedName>
    <definedName name="Z_27C9E95B_0E2B_454F_B637_1CECC9579A10_.wvu.Cols" localSheetId="10" hidden="1">IFO!#REF!</definedName>
    <definedName name="Z_27C9E95B_0E2B_454F_B637_1CECC9579A10_.wvu.Cols" localSheetId="5" hidden="1">Investeringar!$M:$IV</definedName>
    <definedName name="Z_27C9E95B_0E2B_454F_B637_1CECC9579A10_.wvu.Cols" localSheetId="0" hidden="1">'Kn Information'!$F:$IV</definedName>
    <definedName name="Z_27C9E95B_0E2B_454F_B637_1CECC9579A10_.wvu.Cols" localSheetId="7" hidden="1">Motpart!$AE:$IV</definedName>
    <definedName name="Z_27C9E95B_0E2B_454F_B637_1CECC9579A10_.wvu.Cols" localSheetId="8" hidden="1">'Pedagogisk verksamhet'!$H:$H,'Pedagogisk verksamhet'!$R:$IO</definedName>
    <definedName name="Z_27C9E95B_0E2B_454F_B637_1CECC9579A10_.wvu.Cols" localSheetId="1" hidden="1">RR!$L:$IV</definedName>
    <definedName name="Z_27C9E95B_0E2B_454F_B637_1CECC9579A10_.wvu.Cols" localSheetId="4" hidden="1">'Skatter, bidrag o fin poster'!$U:$IV</definedName>
    <definedName name="Z_27C9E95B_0E2B_454F_B637_1CECC9579A10_.wvu.Cols" localSheetId="9" hidden="1">'Äldre o personer funktionsn'!$V:$IV</definedName>
    <definedName name="Z_27C9E95B_0E2B_454F_B637_1CECC9579A10_.wvu.Rows" localSheetId="2" hidden="1">BR!$94:$65536,BR!#REF!,BR!$89:$89</definedName>
    <definedName name="Z_27C9E95B_0E2B_454F_B637_1CECC9579A10_.wvu.Rows" localSheetId="6" hidden="1">Drift!$303:$65536,Drift!$127:$302</definedName>
    <definedName name="Z_27C9E95B_0E2B_454F_B637_1CECC9579A10_.wvu.Rows" localSheetId="10" hidden="1">IFO!$39:$65536,IFO!$38:$38</definedName>
    <definedName name="Z_27C9E95B_0E2B_454F_B637_1CECC9579A10_.wvu.Rows" localSheetId="5" hidden="1">Investeringar!$118:$65536,Investeringar!$105:$114</definedName>
    <definedName name="Z_27C9E95B_0E2B_454F_B637_1CECC9579A10_.wvu.Rows" localSheetId="0" hidden="1">'Kn Information'!$51:$65536</definedName>
    <definedName name="Z_27C9E95B_0E2B_454F_B637_1CECC9579A10_.wvu.Rows" localSheetId="7" hidden="1">Motpart!$46:$65529</definedName>
    <definedName name="Z_27C9E95B_0E2B_454F_B637_1CECC9579A10_.wvu.Rows" localSheetId="8" hidden="1">'Pedagogisk verksamhet'!$105:$65536</definedName>
    <definedName name="Z_27C9E95B_0E2B_454F_B637_1CECC9579A10_.wvu.Rows" localSheetId="1" hidden="1">RR!$66:$65544,RR!$58:$58</definedName>
    <definedName name="Z_27C9E95B_0E2B_454F_B637_1CECC9579A10_.wvu.Rows" localSheetId="4" hidden="1">'Skatter, bidrag o fin poster'!$45:$65536,'Skatter, bidrag o fin poster'!$44:$44</definedName>
    <definedName name="Z_27C9E95B_0E2B_454F_B637_1CECC9579A10_.wvu.Rows" localSheetId="3" hidden="1">'Verks int o kostn'!#REF!,'Verks int o kostn'!#REF!</definedName>
    <definedName name="Z_27C9E95B_0E2B_454F_B637_1CECC9579A10_.wvu.Rows" localSheetId="9" hidden="1">'Äldre o personer funktionsn'!$61:$65536</definedName>
    <definedName name="Z_97D6DB71_3F4C_4C5F_8C5B_51E3EBF78932_.wvu.Cols" localSheetId="2" hidden="1">BR!#REF!</definedName>
    <definedName name="Z_97D6DB71_3F4C_4C5F_8C5B_51E3EBF78932_.wvu.Cols" localSheetId="6" hidden="1">Drift!#REF!</definedName>
    <definedName name="Z_97D6DB71_3F4C_4C5F_8C5B_51E3EBF78932_.wvu.Cols" localSheetId="10" hidden="1">IFO!#REF!</definedName>
    <definedName name="Z_97D6DB71_3F4C_4C5F_8C5B_51E3EBF78932_.wvu.Cols" localSheetId="5" hidden="1">Investeringar!#REF!</definedName>
    <definedName name="Z_97D6DB71_3F4C_4C5F_8C5B_51E3EBF78932_.wvu.Cols" localSheetId="0" hidden="1">'Kn Information'!#REF!</definedName>
    <definedName name="Z_97D6DB71_3F4C_4C5F_8C5B_51E3EBF78932_.wvu.Cols" localSheetId="7" hidden="1">Motpart!#REF!</definedName>
    <definedName name="Z_97D6DB71_3F4C_4C5F_8C5B_51E3EBF78932_.wvu.Cols" localSheetId="1" hidden="1">RR!#REF!</definedName>
    <definedName name="Z_97D6DB71_3F4C_4C5F_8C5B_51E3EBF78932_.wvu.Cols" localSheetId="4" hidden="1">'Skatter, bidrag o fin poster'!#REF!</definedName>
    <definedName name="Z_97D6DB71_3F4C_4C5F_8C5B_51E3EBF78932_.wvu.Cols" localSheetId="3" hidden="1">'Verks int o kostn'!#REF!</definedName>
    <definedName name="Z_97D6DB71_3F4C_4C5F_8C5B_51E3EBF78932_.wvu.Cols" localSheetId="9" hidden="1">'Äldre o personer funktionsn'!#REF!</definedName>
    <definedName name="Z_97D6DB71_3F4C_4C5F_8C5B_51E3EBF78932_.wvu.PrintTitles" localSheetId="6" hidden="1">Drift!$A:$B,Drift!$1:$10</definedName>
    <definedName name="Z_97D6DB71_3F4C_4C5F_8C5B_51E3EBF78932_.wvu.Rows" localSheetId="2" hidden="1">BR!#REF!,BR!#REF!,BR!$89:$89</definedName>
    <definedName name="Z_97D6DB71_3F4C_4C5F_8C5B_51E3EBF78932_.wvu.Rows" localSheetId="6" hidden="1">Drift!#REF!,Drift!$127:$302</definedName>
    <definedName name="Z_97D6DB71_3F4C_4C5F_8C5B_51E3EBF78932_.wvu.Rows" localSheetId="10" hidden="1">IFO!#REF!,IFO!$38:$38</definedName>
    <definedName name="Z_97D6DB71_3F4C_4C5F_8C5B_51E3EBF78932_.wvu.Rows" localSheetId="5" hidden="1">Investeringar!#REF!,Investeringar!$105:$114</definedName>
    <definedName name="Z_97D6DB71_3F4C_4C5F_8C5B_51E3EBF78932_.wvu.Rows" localSheetId="0" hidden="1">'Kn Information'!#REF!</definedName>
    <definedName name="Z_97D6DB71_3F4C_4C5F_8C5B_51E3EBF78932_.wvu.Rows" localSheetId="7" hidden="1">Motpart!#REF!</definedName>
    <definedName name="Z_97D6DB71_3F4C_4C5F_8C5B_51E3EBF78932_.wvu.Rows" localSheetId="8" hidden="1">'Pedagogisk verksamhet'!#REF!</definedName>
    <definedName name="Z_97D6DB71_3F4C_4C5F_8C5B_51E3EBF78932_.wvu.Rows" localSheetId="1" hidden="1">RR!#REF!,RR!$58:$58</definedName>
    <definedName name="Z_97D6DB71_3F4C_4C5F_8C5B_51E3EBF78932_.wvu.Rows" localSheetId="4" hidden="1">'Skatter, bidrag o fin poster'!#REF!,'Skatter, bidrag o fin poster'!$44:$44</definedName>
    <definedName name="Z_97D6DB71_3F4C_4C5F_8C5B_51E3EBF78932_.wvu.Rows" localSheetId="3" hidden="1">'Verks int o kostn'!#REF!</definedName>
    <definedName name="Z_97D6DB71_3F4C_4C5F_8C5B_51E3EBF78932_.wvu.Rows" localSheetId="9" hidden="1">'Äldre o personer funktionsn'!#REF!</definedName>
    <definedName name="Z_99FBDEB7_DD08_4F57_81F4_3C180403E153_.wvu.Cols" localSheetId="2" hidden="1">BR!#REF!</definedName>
    <definedName name="Z_99FBDEB7_DD08_4F57_81F4_3C180403E153_.wvu.Cols" localSheetId="6" hidden="1">Drift!#REF!</definedName>
    <definedName name="Z_99FBDEB7_DD08_4F57_81F4_3C180403E153_.wvu.Cols" localSheetId="10" hidden="1">IFO!#REF!</definedName>
    <definedName name="Z_99FBDEB7_DD08_4F57_81F4_3C180403E153_.wvu.Cols" localSheetId="5" hidden="1">Investeringar!#REF!</definedName>
    <definedName name="Z_99FBDEB7_DD08_4F57_81F4_3C180403E153_.wvu.Cols" localSheetId="0" hidden="1">'Kn Information'!#REF!</definedName>
    <definedName name="Z_99FBDEB7_DD08_4F57_81F4_3C180403E153_.wvu.Cols" localSheetId="7" hidden="1">Motpart!#REF!</definedName>
    <definedName name="Z_99FBDEB7_DD08_4F57_81F4_3C180403E153_.wvu.Cols" localSheetId="1" hidden="1">RR!#REF!</definedName>
    <definedName name="Z_99FBDEB7_DD08_4F57_81F4_3C180403E153_.wvu.Cols" localSheetId="4" hidden="1">'Skatter, bidrag o fin poster'!#REF!</definedName>
    <definedName name="Z_99FBDEB7_DD08_4F57_81F4_3C180403E153_.wvu.Cols" localSheetId="3" hidden="1">'Verks int o kostn'!#REF!</definedName>
    <definedName name="Z_99FBDEB7_DD08_4F57_81F4_3C180403E153_.wvu.Cols" localSheetId="9" hidden="1">'Äldre o personer funktionsn'!#REF!</definedName>
    <definedName name="Z_99FBDEB7_DD08_4F57_81F4_3C180403E153_.wvu.Rows" localSheetId="2" hidden="1">BR!#REF!,BR!#REF!,BR!$89:$89</definedName>
    <definedName name="Z_99FBDEB7_DD08_4F57_81F4_3C180403E153_.wvu.Rows" localSheetId="6" hidden="1">Drift!#REF!,Drift!$127:$302</definedName>
    <definedName name="Z_99FBDEB7_DD08_4F57_81F4_3C180403E153_.wvu.Rows" localSheetId="10" hidden="1">IFO!#REF!,IFO!$38:$38</definedName>
    <definedName name="Z_99FBDEB7_DD08_4F57_81F4_3C180403E153_.wvu.Rows" localSheetId="5" hidden="1">Investeringar!#REF!,Investeringar!$105:$114</definedName>
    <definedName name="Z_99FBDEB7_DD08_4F57_81F4_3C180403E153_.wvu.Rows" localSheetId="0" hidden="1">'Kn Information'!#REF!</definedName>
    <definedName name="Z_99FBDEB7_DD08_4F57_81F4_3C180403E153_.wvu.Rows" localSheetId="7" hidden="1">Motpart!#REF!</definedName>
    <definedName name="Z_99FBDEB7_DD08_4F57_81F4_3C180403E153_.wvu.Rows" localSheetId="8" hidden="1">'Pedagogisk verksamhet'!#REF!</definedName>
    <definedName name="Z_99FBDEB7_DD08_4F57_81F4_3C180403E153_.wvu.Rows" localSheetId="1" hidden="1">RR!#REF!,RR!$58:$58</definedName>
    <definedName name="Z_99FBDEB7_DD08_4F57_81F4_3C180403E153_.wvu.Rows" localSheetId="4" hidden="1">'Skatter, bidrag o fin poster'!#REF!,'Skatter, bidrag o fin poster'!$44:$44</definedName>
    <definedName name="Z_99FBDEB7_DD08_4F57_81F4_3C180403E153_.wvu.Rows" localSheetId="3" hidden="1">'Verks int o kostn'!#REF!</definedName>
    <definedName name="Z_99FBDEB7_DD08_4F57_81F4_3C180403E153_.wvu.Rows" localSheetId="9" hidden="1">'Äldre o personer funktionsn'!#REF!</definedName>
    <definedName name="Z_FA98FB86_76DB_4A0E_BD94_632DC6B7BC81_.wvu.Cols" localSheetId="6" hidden="1">Drift!$AG:$IV</definedName>
    <definedName name="Z_FA98FB86_76DB_4A0E_BD94_632DC6B7BC81_.wvu.Cols" localSheetId="10" hidden="1">IFO!#REF!</definedName>
    <definedName name="Z_FA98FB86_76DB_4A0E_BD94_632DC6B7BC81_.wvu.Cols" localSheetId="5" hidden="1">Investeringar!$M:$IV</definedName>
    <definedName name="Z_FA98FB86_76DB_4A0E_BD94_632DC6B7BC81_.wvu.Cols" localSheetId="0" hidden="1">'Kn Information'!$F:$IV</definedName>
    <definedName name="Z_FA98FB86_76DB_4A0E_BD94_632DC6B7BC81_.wvu.Cols" localSheetId="7" hidden="1">Motpart!$AE:$IV</definedName>
    <definedName name="Z_FA98FB86_76DB_4A0E_BD94_632DC6B7BC81_.wvu.Cols" localSheetId="8" hidden="1">'Pedagogisk verksamhet'!$H:$H,'Pedagogisk verksamhet'!$R:$IO</definedName>
    <definedName name="Z_FA98FB86_76DB_4A0E_BD94_632DC6B7BC81_.wvu.Cols" localSheetId="1" hidden="1">RR!$L:$IV</definedName>
    <definedName name="Z_FA98FB86_76DB_4A0E_BD94_632DC6B7BC81_.wvu.Cols" localSheetId="4" hidden="1">'Skatter, bidrag o fin poster'!$U:$IV</definedName>
    <definedName name="Z_FA98FB86_76DB_4A0E_BD94_632DC6B7BC81_.wvu.Cols" localSheetId="9" hidden="1">'Äldre o personer funktionsn'!$V:$IV</definedName>
    <definedName name="Z_FA98FB86_76DB_4A0E_BD94_632DC6B7BC81_.wvu.Rows" localSheetId="2" hidden="1">BR!$94:$65536,BR!#REF!,BR!$89:$89</definedName>
    <definedName name="Z_FA98FB86_76DB_4A0E_BD94_632DC6B7BC81_.wvu.Rows" localSheetId="6" hidden="1">Drift!$303:$65536,Drift!$127:$302</definedName>
    <definedName name="Z_FA98FB86_76DB_4A0E_BD94_632DC6B7BC81_.wvu.Rows" localSheetId="10" hidden="1">IFO!$39:$65536,IFO!$38:$38</definedName>
    <definedName name="Z_FA98FB86_76DB_4A0E_BD94_632DC6B7BC81_.wvu.Rows" localSheetId="5" hidden="1">Investeringar!$118:$65536,Investeringar!$105:$114</definedName>
    <definedName name="Z_FA98FB86_76DB_4A0E_BD94_632DC6B7BC81_.wvu.Rows" localSheetId="0" hidden="1">'Kn Information'!$51:$65536</definedName>
    <definedName name="Z_FA98FB86_76DB_4A0E_BD94_632DC6B7BC81_.wvu.Rows" localSheetId="7" hidden="1">Motpart!$46:$65529</definedName>
    <definedName name="Z_FA98FB86_76DB_4A0E_BD94_632DC6B7BC81_.wvu.Rows" localSheetId="8" hidden="1">'Pedagogisk verksamhet'!$105:$65536</definedName>
    <definedName name="Z_FA98FB86_76DB_4A0E_BD94_632DC6B7BC81_.wvu.Rows" localSheetId="1" hidden="1">RR!$66:$65544,RR!$58:$58</definedName>
    <definedName name="Z_FA98FB86_76DB_4A0E_BD94_632DC6B7BC81_.wvu.Rows" localSheetId="4" hidden="1">'Skatter, bidrag o fin poster'!$45:$65536,'Skatter, bidrag o fin poster'!$44:$44</definedName>
    <definedName name="Z_FA98FB86_76DB_4A0E_BD94_632DC6B7BC81_.wvu.Rows" localSheetId="3" hidden="1">'Verks int o kostn'!#REF!</definedName>
    <definedName name="Z_FA98FB86_76DB_4A0E_BD94_632DC6B7BC81_.wvu.Rows" localSheetId="9" hidden="1">'Äldre o personer funktionsn'!$61:$65536</definedName>
    <definedName name="År">2018</definedName>
    <definedName name="ÄF_inkl_IFO">Drift!$Z$72</definedName>
    <definedName name="Äldre">'Äldre o personer funktionsn'!$T$12</definedName>
    <definedName name="Övr._o_ek.bistånd">IFO!$P$30</definedName>
  </definedNames>
  <calcPr calcId="162913"/>
  <customWorkbookViews>
    <customWorkbookView name="SCB - Personlig vy" guid="{27C9E95B-0E2B-454F-B637-1CECC9579A10}" mergeInterval="0" personalView="1" maximized="1" windowWidth="1916" windowHeight="881" tabRatio="806" activeSheetId="4"/>
    <customWorkbookView name="scbingj - Personlig vy" guid="{99FBDEB7-DD08-4F57-81F4-3C180403E153}" mergeInterval="0" personalView="1" maximized="1" xWindow="1" yWindow="1" windowWidth="1916" windowHeight="839" tabRatio="806" activeSheetId="10"/>
    <customWorkbookView name="scbelie - Personlig vy" guid="{97D6DB71-3F4C-4C5F-8C5B-51E3EBF78932}" mergeInterval="0" personalView="1" maximized="1" xWindow="1" yWindow="1" windowWidth="1676" windowHeight="829" tabRatio="806" activeSheetId="11"/>
    <customWorkbookView name="Håkan Wilén - Personlig vy" guid="{FA98FB86-76DB-4A0E-BD94-632DC6B7BC81}" mergeInterval="0" personalView="1" maximized="1" xWindow="1" yWindow="1" windowWidth="1680" windowHeight="829" tabRatio="806" activeSheetId="3"/>
  </customWorkbookViews>
</workbook>
</file>

<file path=xl/calcChain.xml><?xml version="1.0" encoding="utf-8"?>
<calcChain xmlns="http://schemas.openxmlformats.org/spreadsheetml/2006/main">
  <c r="I34" i="12" l="1"/>
  <c r="I33" i="12"/>
  <c r="I32" i="12"/>
  <c r="I31" i="12"/>
  <c r="I30" i="12"/>
  <c r="I29" i="12"/>
  <c r="I26" i="12"/>
  <c r="I25" i="12"/>
  <c r="I24" i="12"/>
  <c r="I23" i="12"/>
  <c r="I22" i="12"/>
  <c r="I21" i="12"/>
  <c r="I18" i="12"/>
  <c r="I17" i="12"/>
  <c r="I16" i="12"/>
  <c r="I15" i="12"/>
  <c r="I14" i="12"/>
  <c r="I13" i="12"/>
  <c r="I12" i="12"/>
  <c r="M33" i="12"/>
  <c r="M6" i="12"/>
  <c r="M35" i="11"/>
  <c r="M34" i="11"/>
  <c r="M33" i="11"/>
  <c r="M32" i="11"/>
  <c r="M31" i="11"/>
  <c r="M27" i="11"/>
  <c r="M26" i="11"/>
  <c r="M25" i="11"/>
  <c r="M24" i="11"/>
  <c r="M23" i="11"/>
  <c r="M22" i="11"/>
  <c r="M21" i="11"/>
  <c r="M17" i="11"/>
  <c r="M16" i="11"/>
  <c r="M15" i="11"/>
  <c r="M14" i="11"/>
  <c r="M13" i="11"/>
  <c r="M12" i="11"/>
  <c r="Q6" i="11"/>
  <c r="M101" i="10"/>
  <c r="M100" i="10"/>
  <c r="M99" i="10"/>
  <c r="M98" i="10"/>
  <c r="M97" i="10"/>
  <c r="M96" i="10"/>
  <c r="M91" i="10"/>
  <c r="M90" i="10"/>
  <c r="M89" i="10"/>
  <c r="M88" i="10"/>
  <c r="M87" i="10"/>
  <c r="M84" i="10"/>
  <c r="M83" i="10"/>
  <c r="M82" i="10"/>
  <c r="M81" i="10"/>
  <c r="M79" i="10"/>
  <c r="M78" i="10"/>
  <c r="M77" i="10"/>
  <c r="M76" i="10"/>
  <c r="M75" i="10"/>
  <c r="M74" i="10"/>
  <c r="M73" i="10"/>
  <c r="M70" i="10"/>
  <c r="M69" i="10"/>
  <c r="M68" i="10"/>
  <c r="M67" i="10"/>
  <c r="M66" i="10"/>
  <c r="M65" i="10"/>
  <c r="M64" i="10"/>
  <c r="M63" i="10"/>
  <c r="M62" i="10"/>
  <c r="M61" i="10"/>
  <c r="M60" i="10"/>
  <c r="M59" i="10"/>
  <c r="M56" i="10"/>
  <c r="M55" i="10"/>
  <c r="M54" i="10"/>
  <c r="M53" i="10"/>
  <c r="M52" i="10"/>
  <c r="M51" i="10"/>
  <c r="M50" i="10"/>
  <c r="M49" i="10"/>
  <c r="M48" i="10"/>
  <c r="M47" i="10"/>
  <c r="M46" i="10"/>
  <c r="M45" i="10"/>
  <c r="M42" i="10"/>
  <c r="M41" i="10"/>
  <c r="M40" i="10"/>
  <c r="M38" i="10"/>
  <c r="M37" i="10"/>
  <c r="M36" i="10"/>
  <c r="M35" i="10"/>
  <c r="M34" i="10"/>
  <c r="M33" i="10"/>
  <c r="M32" i="10"/>
  <c r="M30" i="10"/>
  <c r="M29" i="10"/>
  <c r="M28" i="10"/>
  <c r="M27" i="10"/>
  <c r="M25" i="10"/>
  <c r="M24" i="10"/>
  <c r="M22" i="10"/>
  <c r="M21" i="10"/>
  <c r="M20" i="10"/>
  <c r="M19" i="10"/>
  <c r="M17" i="10"/>
  <c r="M16" i="10"/>
  <c r="M14" i="10"/>
  <c r="M13" i="10"/>
  <c r="M12" i="10"/>
  <c r="M11" i="10"/>
  <c r="M9" i="10"/>
  <c r="M8" i="10"/>
  <c r="AB110" i="8" l="1"/>
  <c r="AA109" i="8"/>
  <c r="Z109" i="8"/>
  <c r="AA87" i="8"/>
  <c r="Z87" i="8"/>
  <c r="Z90" i="8"/>
  <c r="AA89" i="8"/>
  <c r="Z89" i="8"/>
  <c r="AA88" i="8"/>
  <c r="Z88" i="8"/>
  <c r="Z74" i="8"/>
  <c r="AA84" i="8"/>
  <c r="Z84" i="8"/>
  <c r="AA83" i="8"/>
  <c r="Z83" i="8"/>
  <c r="AA82" i="8"/>
  <c r="Z82" i="8"/>
  <c r="AA81" i="8"/>
  <c r="Z81" i="8"/>
  <c r="AA80" i="8"/>
  <c r="Z80" i="8"/>
  <c r="AA79" i="8"/>
  <c r="Z79" i="8"/>
  <c r="AA77" i="8"/>
  <c r="Z77" i="8"/>
  <c r="AA76" i="8"/>
  <c r="Z76" i="8"/>
  <c r="AA75" i="8"/>
  <c r="Z75" i="8"/>
  <c r="AA74" i="8"/>
  <c r="AA73" i="8"/>
  <c r="Z73" i="8"/>
  <c r="AA67" i="8"/>
  <c r="Z67" i="8"/>
  <c r="AA51" i="8"/>
  <c r="Z51" i="8"/>
  <c r="AA42" i="8"/>
  <c r="Z42" i="8"/>
  <c r="AA37" i="8"/>
  <c r="AA36" i="8"/>
  <c r="Z37" i="8"/>
  <c r="Z36" i="8"/>
  <c r="AA30" i="8"/>
  <c r="Z30" i="8"/>
  <c r="AA17" i="8" l="1"/>
  <c r="Z17" i="8"/>
  <c r="AE110" i="8"/>
  <c r="AE92" i="8"/>
  <c r="AE86" i="8"/>
  <c r="AE83" i="8"/>
  <c r="AE78" i="8"/>
  <c r="AE74" i="8"/>
  <c r="AE72" i="8"/>
  <c r="AE68" i="8"/>
  <c r="AE52" i="8"/>
  <c r="AE49" i="8"/>
  <c r="AE48" i="8"/>
  <c r="AE30" i="8"/>
  <c r="AE31" i="8"/>
  <c r="N80" i="4"/>
  <c r="N79" i="4"/>
  <c r="N78" i="4"/>
  <c r="N77" i="4"/>
  <c r="N76" i="4"/>
  <c r="N75" i="4"/>
  <c r="M70" i="4"/>
  <c r="M69" i="4"/>
  <c r="N66" i="4"/>
  <c r="M66" i="4"/>
  <c r="N56" i="4"/>
  <c r="M56" i="4"/>
  <c r="N49" i="4"/>
  <c r="M49" i="4"/>
  <c r="M48" i="4"/>
  <c r="M46" i="4"/>
  <c r="N33" i="4"/>
  <c r="M33" i="4"/>
  <c r="N19" i="4"/>
  <c r="M19" i="4"/>
  <c r="N17" i="4"/>
  <c r="M17" i="4"/>
  <c r="N12" i="4"/>
  <c r="M12" i="4"/>
  <c r="I30" i="3"/>
  <c r="J19" i="3"/>
  <c r="I19" i="3"/>
  <c r="J16" i="3"/>
  <c r="I16" i="3"/>
  <c r="J15" i="3"/>
  <c r="I15" i="3"/>
  <c r="J13" i="3"/>
  <c r="I13" i="3"/>
  <c r="J12" i="3"/>
  <c r="I12" i="3"/>
  <c r="J11" i="3"/>
  <c r="I11" i="3"/>
  <c r="J10" i="3"/>
  <c r="I10" i="3"/>
  <c r="J9" i="3"/>
  <c r="I9" i="3"/>
  <c r="J8" i="3"/>
  <c r="I8" i="3"/>
  <c r="J7" i="3"/>
  <c r="I7" i="3"/>
  <c r="A5" i="2"/>
  <c r="A4" i="2"/>
  <c r="AE67" i="8" l="1"/>
  <c r="AE51" i="8"/>
  <c r="AE84" i="8"/>
  <c r="AE109" i="8"/>
  <c r="AE77" i="8"/>
  <c r="A1" i="12" l="1"/>
  <c r="A1" i="11"/>
  <c r="A1" i="10"/>
  <c r="S1" i="9"/>
  <c r="C1" i="9"/>
  <c r="R1" i="8"/>
  <c r="C1" i="8"/>
  <c r="A1" i="7"/>
  <c r="A1" i="6"/>
  <c r="A1" i="5"/>
  <c r="E31" i="5"/>
  <c r="E30" i="5"/>
  <c r="A1" i="4"/>
  <c r="A1" i="3"/>
  <c r="E29" i="6" l="1"/>
  <c r="E95" i="7" l="1"/>
  <c r="E96" i="7"/>
  <c r="E97" i="7"/>
  <c r="E94" i="7"/>
  <c r="J49" i="5" l="1"/>
  <c r="J50" i="5"/>
  <c r="E27" i="6" l="1"/>
  <c r="J48" i="5" l="1"/>
  <c r="F19" i="4" l="1"/>
  <c r="J74" i="5" l="1"/>
  <c r="R23" i="11" l="1"/>
  <c r="R14" i="11"/>
  <c r="R36" i="11"/>
  <c r="Q36" i="11" l="1"/>
  <c r="I38" i="10" l="1"/>
  <c r="D78" i="7" l="1"/>
  <c r="I99" i="10" l="1"/>
  <c r="I90" i="10"/>
  <c r="I79" i="10"/>
  <c r="I65" i="10"/>
  <c r="I51" i="10"/>
  <c r="I75" i="5" l="1"/>
  <c r="J46" i="5"/>
  <c r="E73" i="5"/>
  <c r="E71" i="5"/>
  <c r="E46" i="5"/>
  <c r="E51" i="5"/>
  <c r="E47" i="5"/>
  <c r="K81" i="4"/>
  <c r="I10" i="7"/>
  <c r="I9" i="7"/>
  <c r="J42" i="5" l="1"/>
  <c r="J40" i="5"/>
  <c r="D49" i="16" l="1"/>
  <c r="F31" i="4" l="1"/>
  <c r="A26" i="16" l="1"/>
  <c r="F66" i="4"/>
  <c r="E82" i="16"/>
  <c r="E83" i="16"/>
  <c r="E84" i="16"/>
  <c r="E85" i="16"/>
  <c r="E86" i="16"/>
  <c r="E87" i="16"/>
  <c r="E88" i="16"/>
  <c r="E89" i="16"/>
  <c r="E90" i="16"/>
  <c r="E91" i="16"/>
  <c r="E92" i="16"/>
  <c r="E93" i="16"/>
  <c r="E81" i="16"/>
  <c r="E80" i="16"/>
  <c r="D79" i="16"/>
  <c r="D77" i="16"/>
  <c r="D76" i="16"/>
  <c r="D78" i="16"/>
  <c r="D75" i="16"/>
  <c r="D74" i="16"/>
  <c r="D73" i="16"/>
  <c r="D72" i="16"/>
  <c r="D93" i="16"/>
  <c r="D92" i="16"/>
  <c r="D91" i="16"/>
  <c r="D90" i="16"/>
  <c r="D89" i="16"/>
  <c r="D88" i="16"/>
  <c r="D87" i="16"/>
  <c r="D86" i="16"/>
  <c r="D85" i="16"/>
  <c r="D84" i="16"/>
  <c r="D83" i="16"/>
  <c r="D82" i="16"/>
  <c r="D81" i="16"/>
  <c r="D80" i="16"/>
  <c r="D71" i="16"/>
  <c r="D70" i="16"/>
  <c r="D69" i="16"/>
  <c r="D68" i="16"/>
  <c r="D67" i="16"/>
  <c r="D66" i="16"/>
  <c r="D65" i="16"/>
  <c r="D64" i="16"/>
  <c r="D63" i="16"/>
  <c r="D62" i="16"/>
  <c r="D61" i="16"/>
  <c r="D60" i="16"/>
  <c r="D59" i="16"/>
  <c r="D58" i="16"/>
  <c r="D57" i="16"/>
  <c r="D56" i="16"/>
  <c r="D55" i="16"/>
  <c r="D52" i="16"/>
  <c r="D17" i="16"/>
  <c r="D18" i="16"/>
  <c r="D53" i="16"/>
  <c r="D54" i="16"/>
  <c r="D13" i="16"/>
  <c r="D14" i="16"/>
  <c r="D44" i="16"/>
  <c r="D51" i="16"/>
  <c r="D48" i="16"/>
  <c r="D11" i="16"/>
  <c r="D12" i="16"/>
  <c r="D50" i="16"/>
  <c r="D15" i="16"/>
  <c r="D16" i="16"/>
  <c r="D47" i="16"/>
  <c r="D36" i="16"/>
  <c r="D37" i="16"/>
  <c r="D43" i="16"/>
  <c r="D42" i="16"/>
  <c r="D41" i="16"/>
  <c r="D46" i="16"/>
  <c r="D45" i="16"/>
  <c r="D39" i="16"/>
  <c r="D40" i="16"/>
  <c r="D38" i="16"/>
  <c r="D33" i="16"/>
  <c r="D34" i="16"/>
  <c r="D35" i="16"/>
  <c r="D9" i="16"/>
  <c r="D10" i="16"/>
  <c r="D32" i="16"/>
  <c r="D6" i="16"/>
  <c r="D31" i="16"/>
  <c r="D5" i="16"/>
  <c r="D27" i="16"/>
  <c r="D28" i="16"/>
  <c r="D29" i="16"/>
  <c r="D30" i="16"/>
  <c r="D4" i="16"/>
  <c r="D26" i="16"/>
  <c r="D25" i="16"/>
  <c r="D24" i="16"/>
  <c r="D22" i="16"/>
  <c r="D23" i="16"/>
  <c r="D21" i="16"/>
  <c r="D20" i="16"/>
  <c r="D19" i="16"/>
  <c r="D3" i="16"/>
  <c r="D2" i="16"/>
  <c r="D1" i="16"/>
  <c r="D74" i="7"/>
  <c r="D32" i="12"/>
  <c r="D30" i="12"/>
  <c r="D29" i="12"/>
  <c r="D31" i="12" s="1"/>
  <c r="D21" i="12"/>
  <c r="D12" i="12"/>
  <c r="D31" i="11"/>
  <c r="D21" i="11"/>
  <c r="D12" i="11"/>
  <c r="A5" i="16"/>
  <c r="A4" i="16"/>
  <c r="A6" i="16"/>
  <c r="D79" i="7"/>
  <c r="D80" i="7"/>
  <c r="D81" i="7"/>
  <c r="F83" i="4"/>
  <c r="F84" i="4"/>
  <c r="J11" i="7"/>
  <c r="J10" i="7"/>
  <c r="J9" i="7"/>
  <c r="J8" i="7"/>
  <c r="J7" i="7"/>
  <c r="L67" i="4"/>
  <c r="L66" i="4"/>
  <c r="G26" i="7"/>
  <c r="G27" i="7"/>
  <c r="G28" i="7"/>
  <c r="G29" i="7"/>
  <c r="G30" i="7"/>
  <c r="G31" i="7"/>
  <c r="G32" i="7"/>
  <c r="G34" i="7"/>
  <c r="G35" i="7"/>
  <c r="G37" i="7"/>
  <c r="G38" i="7"/>
  <c r="G39" i="7"/>
  <c r="G42" i="7"/>
  <c r="G43" i="7"/>
  <c r="G44" i="7"/>
  <c r="G45" i="7"/>
  <c r="G46" i="7"/>
  <c r="G48" i="7"/>
  <c r="G50" i="7"/>
  <c r="G51" i="7"/>
  <c r="G52" i="7"/>
  <c r="G53" i="7"/>
  <c r="G55" i="7"/>
  <c r="G56" i="7"/>
  <c r="G57" i="7"/>
  <c r="G59" i="7"/>
  <c r="G60" i="7"/>
  <c r="G61" i="7"/>
  <c r="G62" i="7"/>
  <c r="G25" i="7"/>
  <c r="L57" i="4"/>
  <c r="L58" i="4"/>
  <c r="L59" i="4"/>
  <c r="F53" i="4"/>
  <c r="F51" i="4"/>
  <c r="E56" i="4"/>
  <c r="D75" i="7"/>
  <c r="J63" i="4"/>
  <c r="J23" i="4"/>
  <c r="F55" i="4"/>
  <c r="K54" i="4"/>
  <c r="F54" i="4"/>
  <c r="J54" i="4"/>
  <c r="F50" i="4"/>
  <c r="F9" i="4"/>
  <c r="J14" i="4"/>
  <c r="J50" i="4"/>
  <c r="J26" i="4"/>
  <c r="J16" i="4"/>
  <c r="J21" i="4"/>
  <c r="D35" i="12"/>
  <c r="E35" i="12"/>
  <c r="D26" i="12"/>
  <c r="E26" i="12"/>
  <c r="D27" i="12"/>
  <c r="E27" i="12"/>
  <c r="D19" i="12"/>
  <c r="E19" i="12"/>
  <c r="D18" i="12"/>
  <c r="E18" i="12"/>
  <c r="I11" i="7"/>
  <c r="E32" i="12"/>
  <c r="E30" i="12"/>
  <c r="E29" i="12"/>
  <c r="E21" i="12"/>
  <c r="E12" i="12"/>
  <c r="L25" i="11"/>
  <c r="L26" i="11"/>
  <c r="K25" i="11"/>
  <c r="O25" i="11" s="1"/>
  <c r="K26" i="11"/>
  <c r="L33" i="11"/>
  <c r="L34" i="11"/>
  <c r="L35" i="11"/>
  <c r="L36" i="11"/>
  <c r="L32" i="11"/>
  <c r="L23" i="11"/>
  <c r="L24" i="11"/>
  <c r="L27" i="11"/>
  <c r="L28" i="11"/>
  <c r="L14" i="11"/>
  <c r="L15" i="11"/>
  <c r="L16" i="11"/>
  <c r="L17" i="11"/>
  <c r="L18" i="11"/>
  <c r="L13" i="11"/>
  <c r="L22" i="11"/>
  <c r="D37" i="11"/>
  <c r="D29" i="11"/>
  <c r="D19" i="11"/>
  <c r="H15" i="7"/>
  <c r="H16" i="7" s="1"/>
  <c r="H17" i="7" s="1"/>
  <c r="G15" i="7"/>
  <c r="G16" i="7" s="1"/>
  <c r="G17" i="7" s="1"/>
  <c r="D98" i="7"/>
  <c r="C98" i="7"/>
  <c r="E98" i="7" s="1"/>
  <c r="D25" i="5"/>
  <c r="E24" i="5"/>
  <c r="E33" i="4"/>
  <c r="D31" i="4"/>
  <c r="D26" i="4"/>
  <c r="F26" i="4" s="1"/>
  <c r="J56" i="5"/>
  <c r="R8" i="6"/>
  <c r="M77" i="4"/>
  <c r="M75" i="4"/>
  <c r="J57" i="5"/>
  <c r="B39" i="3"/>
  <c r="B43" i="3"/>
  <c r="B38" i="3"/>
  <c r="B37" i="3"/>
  <c r="B36" i="3"/>
  <c r="B35" i="3"/>
  <c r="B34" i="3"/>
  <c r="B33" i="3"/>
  <c r="B32" i="3"/>
  <c r="B31" i="3"/>
  <c r="J8" i="12"/>
  <c r="I8" i="12"/>
  <c r="K4" i="12"/>
  <c r="O4" i="11"/>
  <c r="N8" i="11"/>
  <c r="M8" i="11"/>
  <c r="AC4" i="8"/>
  <c r="AG38" i="8"/>
  <c r="AG62" i="8"/>
  <c r="AF38" i="8"/>
  <c r="AE5" i="8"/>
  <c r="AB5" i="8"/>
  <c r="AA5" i="8"/>
  <c r="A40" i="16"/>
  <c r="AE4" i="8"/>
  <c r="R15" i="6"/>
  <c r="C46" i="5"/>
  <c r="L36" i="5"/>
  <c r="L4" i="5"/>
  <c r="N38" i="5"/>
  <c r="N6" i="5"/>
  <c r="M38" i="5"/>
  <c r="D38" i="5"/>
  <c r="M6" i="5"/>
  <c r="D6" i="5"/>
  <c r="F47" i="4"/>
  <c r="F45" i="4"/>
  <c r="B84" i="4"/>
  <c r="Z5" i="8"/>
  <c r="C10" i="6"/>
  <c r="C11" i="6"/>
  <c r="C9" i="6"/>
  <c r="M73" i="4"/>
  <c r="E74" i="4"/>
  <c r="D74" i="4"/>
  <c r="R14" i="6"/>
  <c r="J44" i="5"/>
  <c r="E43" i="5"/>
  <c r="J53" i="5"/>
  <c r="I31" i="11"/>
  <c r="I21" i="11"/>
  <c r="J72" i="5"/>
  <c r="F21" i="4"/>
  <c r="J1" i="12"/>
  <c r="F12" i="12"/>
  <c r="G12" i="12"/>
  <c r="G13" i="12"/>
  <c r="H13" i="12" s="1"/>
  <c r="H14" i="12"/>
  <c r="H15" i="12"/>
  <c r="K15" i="12" s="1"/>
  <c r="H16" i="12"/>
  <c r="H17" i="12"/>
  <c r="C18" i="12"/>
  <c r="F18" i="12"/>
  <c r="G18" i="12"/>
  <c r="C19" i="12"/>
  <c r="F19" i="12"/>
  <c r="F21" i="12"/>
  <c r="G21" i="12"/>
  <c r="G22" i="12"/>
  <c r="H22" i="12" s="1"/>
  <c r="K22" i="12" s="1"/>
  <c r="H23" i="12"/>
  <c r="K23" i="12" s="1"/>
  <c r="H24" i="12"/>
  <c r="K24" i="12" s="1"/>
  <c r="H25" i="12"/>
  <c r="K25" i="12" s="1"/>
  <c r="C26" i="12"/>
  <c r="F26" i="12"/>
  <c r="G26" i="12"/>
  <c r="C27" i="12"/>
  <c r="F27" i="12"/>
  <c r="F29" i="12"/>
  <c r="F30" i="12"/>
  <c r="F32" i="12"/>
  <c r="G32" i="12"/>
  <c r="H33" i="12"/>
  <c r="K33" i="12"/>
  <c r="H34" i="12"/>
  <c r="K34" i="12" s="1"/>
  <c r="C35" i="12"/>
  <c r="F35" i="12"/>
  <c r="G35" i="12"/>
  <c r="P1" i="11"/>
  <c r="E12" i="11"/>
  <c r="C49" i="11"/>
  <c r="F12" i="11"/>
  <c r="G12" i="11"/>
  <c r="H12" i="11"/>
  <c r="I12" i="11"/>
  <c r="J12" i="11"/>
  <c r="K13" i="11"/>
  <c r="O13" i="11"/>
  <c r="K14" i="11"/>
  <c r="O14" i="11"/>
  <c r="K15" i="11"/>
  <c r="K16" i="11"/>
  <c r="O16" i="11"/>
  <c r="K17" i="11"/>
  <c r="O17" i="11" s="1"/>
  <c r="K18" i="11"/>
  <c r="C19" i="11"/>
  <c r="E19" i="11"/>
  <c r="F19" i="11"/>
  <c r="G19" i="11"/>
  <c r="H19" i="11"/>
  <c r="I19" i="11"/>
  <c r="J19" i="11"/>
  <c r="E21" i="11"/>
  <c r="C53" i="11" s="1"/>
  <c r="F21" i="11"/>
  <c r="G21" i="11"/>
  <c r="H21" i="11"/>
  <c r="J21" i="11"/>
  <c r="K22" i="11"/>
  <c r="K23" i="11"/>
  <c r="K24" i="11"/>
  <c r="O26" i="11"/>
  <c r="K27" i="11"/>
  <c r="K28" i="11"/>
  <c r="C29" i="11"/>
  <c r="E29" i="11"/>
  <c r="F29" i="11"/>
  <c r="G29" i="11"/>
  <c r="H29" i="11"/>
  <c r="I29" i="11"/>
  <c r="J29" i="11"/>
  <c r="E31" i="11"/>
  <c r="F31" i="11"/>
  <c r="G31" i="11"/>
  <c r="H31" i="11"/>
  <c r="J31" i="11"/>
  <c r="K32" i="11"/>
  <c r="K33" i="11"/>
  <c r="O33" i="11"/>
  <c r="K34" i="11"/>
  <c r="O34" i="11"/>
  <c r="K35" i="11"/>
  <c r="O35" i="11"/>
  <c r="K36" i="11"/>
  <c r="C37" i="11"/>
  <c r="E37" i="11"/>
  <c r="F37" i="11"/>
  <c r="G37" i="11"/>
  <c r="H37" i="11"/>
  <c r="I37" i="11"/>
  <c r="J37" i="11"/>
  <c r="G41" i="11"/>
  <c r="G42" i="11"/>
  <c r="E49" i="11"/>
  <c r="F49" i="11"/>
  <c r="G49" i="11"/>
  <c r="H49" i="11"/>
  <c r="I49" i="11"/>
  <c r="J49" i="11"/>
  <c r="L49" i="11"/>
  <c r="M49" i="11"/>
  <c r="C50" i="11"/>
  <c r="C51" i="11"/>
  <c r="C52" i="11"/>
  <c r="E53" i="11"/>
  <c r="F53" i="11"/>
  <c r="G53" i="11"/>
  <c r="H53" i="11"/>
  <c r="I53" i="11"/>
  <c r="J53" i="11"/>
  <c r="L53" i="11"/>
  <c r="M53" i="11"/>
  <c r="C54" i="11"/>
  <c r="C55" i="11"/>
  <c r="C56" i="11"/>
  <c r="E57" i="11"/>
  <c r="F57" i="11"/>
  <c r="G57" i="11"/>
  <c r="H57" i="11"/>
  <c r="I57" i="11"/>
  <c r="J57" i="11"/>
  <c r="L57" i="11"/>
  <c r="M57" i="11"/>
  <c r="C58" i="11"/>
  <c r="J1" i="10"/>
  <c r="M7" i="10"/>
  <c r="D8" i="10"/>
  <c r="F8" i="10"/>
  <c r="G8" i="10"/>
  <c r="C10" i="10"/>
  <c r="E12" i="10"/>
  <c r="D16" i="10"/>
  <c r="F16" i="10"/>
  <c r="G16" i="10"/>
  <c r="C18" i="10"/>
  <c r="E20" i="10"/>
  <c r="D24" i="10"/>
  <c r="F24" i="10"/>
  <c r="G24" i="10"/>
  <c r="C26" i="10"/>
  <c r="D31" i="10"/>
  <c r="F31" i="10"/>
  <c r="G31" i="10"/>
  <c r="G43" i="10" s="1"/>
  <c r="D44" i="10"/>
  <c r="F44" i="10"/>
  <c r="G44" i="10"/>
  <c r="G57" i="10" s="1"/>
  <c r="D58" i="10"/>
  <c r="F58" i="10"/>
  <c r="G58" i="10"/>
  <c r="G71" i="10" s="1"/>
  <c r="D72" i="10"/>
  <c r="F72" i="10"/>
  <c r="G72" i="10"/>
  <c r="G85" i="10" s="1"/>
  <c r="D86" i="10"/>
  <c r="F86" i="10"/>
  <c r="G86" i="10"/>
  <c r="G94" i="10" s="1"/>
  <c r="D95" i="10"/>
  <c r="F95" i="10"/>
  <c r="G95" i="10"/>
  <c r="G103" i="10" s="1"/>
  <c r="K1" i="9"/>
  <c r="AA1" i="9"/>
  <c r="C13" i="9"/>
  <c r="M13" i="9" s="1"/>
  <c r="N13" i="9"/>
  <c r="X13" i="9" s="1"/>
  <c r="AD13" i="9"/>
  <c r="C14" i="9"/>
  <c r="M14" i="9" s="1"/>
  <c r="N14" i="9"/>
  <c r="X14" i="9" s="1"/>
  <c r="AD14" i="9"/>
  <c r="C15" i="9"/>
  <c r="M15" i="9" s="1"/>
  <c r="N15" i="9"/>
  <c r="X15" i="9" s="1"/>
  <c r="AD15" i="9"/>
  <c r="C16" i="9"/>
  <c r="M16" i="9" s="1"/>
  <c r="N16" i="9"/>
  <c r="X16" i="9" s="1"/>
  <c r="AD16" i="9"/>
  <c r="C17" i="9"/>
  <c r="M17" i="9" s="1"/>
  <c r="N17" i="9"/>
  <c r="X17" i="9" s="1"/>
  <c r="AD17" i="9"/>
  <c r="C18" i="9"/>
  <c r="M18" i="9" s="1"/>
  <c r="N18" i="9"/>
  <c r="X18" i="9" s="1"/>
  <c r="AD18" i="9"/>
  <c r="C19" i="9"/>
  <c r="M19" i="9" s="1"/>
  <c r="N19" i="9"/>
  <c r="X19" i="9" s="1"/>
  <c r="AD19" i="9"/>
  <c r="C20" i="9"/>
  <c r="M20" i="9" s="1"/>
  <c r="N20" i="9"/>
  <c r="X20" i="9" s="1"/>
  <c r="AD20" i="9"/>
  <c r="C21" i="9"/>
  <c r="M21" i="9" s="1"/>
  <c r="N21" i="9"/>
  <c r="X21" i="9" s="1"/>
  <c r="AD21" i="9"/>
  <c r="C22" i="9"/>
  <c r="M22" i="9" s="1"/>
  <c r="N22" i="9"/>
  <c r="X22" i="9" s="1"/>
  <c r="AD22" i="9"/>
  <c r="C23" i="9"/>
  <c r="M23" i="9" s="1"/>
  <c r="N23" i="9"/>
  <c r="X23" i="9" s="1"/>
  <c r="AD23" i="9"/>
  <c r="C24" i="9"/>
  <c r="M24" i="9" s="1"/>
  <c r="N24" i="9"/>
  <c r="X24" i="9" s="1"/>
  <c r="AD24" i="9"/>
  <c r="C25" i="9"/>
  <c r="M25" i="9" s="1"/>
  <c r="N25" i="9"/>
  <c r="X25" i="9" s="1"/>
  <c r="AD25" i="9"/>
  <c r="C26" i="9"/>
  <c r="M26" i="9" s="1"/>
  <c r="N26" i="9"/>
  <c r="X26" i="9" s="1"/>
  <c r="AD26" i="9"/>
  <c r="C27" i="9"/>
  <c r="M27" i="9" s="1"/>
  <c r="N27" i="9"/>
  <c r="X27" i="9" s="1"/>
  <c r="AD27" i="9"/>
  <c r="C28" i="9"/>
  <c r="M28" i="9" s="1"/>
  <c r="N28" i="9"/>
  <c r="X28" i="9" s="1"/>
  <c r="AD28" i="9"/>
  <c r="C29" i="9"/>
  <c r="M29" i="9" s="1"/>
  <c r="N29" i="9"/>
  <c r="X29" i="9" s="1"/>
  <c r="AD29" i="9"/>
  <c r="C30" i="9"/>
  <c r="M30" i="9" s="1"/>
  <c r="N30" i="9"/>
  <c r="X30" i="9" s="1"/>
  <c r="AD30" i="9"/>
  <c r="C31" i="9"/>
  <c r="M31" i="9" s="1"/>
  <c r="N31" i="9"/>
  <c r="A13" i="16" s="1"/>
  <c r="AD31" i="9"/>
  <c r="M32" i="9"/>
  <c r="X32" i="9"/>
  <c r="C33" i="9"/>
  <c r="A16" i="16" s="1"/>
  <c r="C16" i="16" s="1"/>
  <c r="N33" i="9"/>
  <c r="AD33" i="9"/>
  <c r="M34" i="9"/>
  <c r="X34" i="9"/>
  <c r="C35" i="9"/>
  <c r="M35" i="9" s="1"/>
  <c r="N35" i="9"/>
  <c r="A44" i="16"/>
  <c r="AD35" i="9"/>
  <c r="C36" i="9"/>
  <c r="M36" i="9" s="1"/>
  <c r="N36" i="9"/>
  <c r="X36" i="9" s="1"/>
  <c r="AD36" i="9"/>
  <c r="C37" i="9"/>
  <c r="M37" i="9" s="1"/>
  <c r="N37" i="9"/>
  <c r="X37" i="9" s="1"/>
  <c r="AD37" i="9"/>
  <c r="C39" i="9"/>
  <c r="M39" i="9" s="1"/>
  <c r="N39" i="9"/>
  <c r="X39" i="9" s="1"/>
  <c r="AD39" i="9"/>
  <c r="A37" i="16" s="1"/>
  <c r="D40" i="9"/>
  <c r="E40" i="9"/>
  <c r="F40" i="9"/>
  <c r="G40" i="9"/>
  <c r="H40" i="9"/>
  <c r="I40" i="9"/>
  <c r="J40" i="9"/>
  <c r="K40" i="9"/>
  <c r="L40" i="9"/>
  <c r="O40" i="9"/>
  <c r="P40" i="9"/>
  <c r="Q40" i="9"/>
  <c r="R40" i="9"/>
  <c r="S40" i="9"/>
  <c r="T40" i="9"/>
  <c r="U40" i="9"/>
  <c r="V40" i="9"/>
  <c r="W40" i="9"/>
  <c r="Y40" i="9"/>
  <c r="Z40" i="9"/>
  <c r="AA40" i="9"/>
  <c r="AB40" i="9"/>
  <c r="AC40" i="9"/>
  <c r="A47" i="16"/>
  <c r="A49" i="16"/>
  <c r="C49" i="16" s="1"/>
  <c r="A51" i="16"/>
  <c r="A53" i="16"/>
  <c r="A48" i="16"/>
  <c r="A50" i="16"/>
  <c r="A52" i="16"/>
  <c r="A54" i="16"/>
  <c r="J1" i="8"/>
  <c r="Z1" i="8"/>
  <c r="W13" i="8"/>
  <c r="AH13" i="8" s="1"/>
  <c r="W14" i="8"/>
  <c r="AH14" i="8" s="1"/>
  <c r="W15" i="8"/>
  <c r="AH15" i="8" s="1"/>
  <c r="W16" i="8"/>
  <c r="AH16" i="8" s="1"/>
  <c r="C17" i="8"/>
  <c r="D17" i="8"/>
  <c r="E17" i="8"/>
  <c r="F17" i="8"/>
  <c r="C9" i="9" s="1"/>
  <c r="M9" i="9" s="1"/>
  <c r="G17" i="8"/>
  <c r="H17" i="8"/>
  <c r="I17" i="8"/>
  <c r="J17" i="8"/>
  <c r="L17" i="8"/>
  <c r="M17" i="8"/>
  <c r="N17" i="8"/>
  <c r="R17" i="8"/>
  <c r="S17" i="8"/>
  <c r="T17" i="8"/>
  <c r="AD9" i="9"/>
  <c r="V17" i="8"/>
  <c r="W19" i="8"/>
  <c r="AH19" i="8" s="1"/>
  <c r="W20" i="8"/>
  <c r="AH20" i="8" s="1"/>
  <c r="W21" i="8"/>
  <c r="AH21" i="8" s="1"/>
  <c r="W22" i="8"/>
  <c r="AH22" i="8" s="1"/>
  <c r="W23" i="8"/>
  <c r="AH23" i="8" s="1"/>
  <c r="W24" i="8"/>
  <c r="AH24" i="8" s="1"/>
  <c r="W25" i="8"/>
  <c r="AH25" i="8" s="1"/>
  <c r="W26" i="8"/>
  <c r="AH26" i="8" s="1"/>
  <c r="W27" i="8"/>
  <c r="AH27" i="8" s="1"/>
  <c r="W28" i="8"/>
  <c r="AH28" i="8" s="1"/>
  <c r="W29" i="8"/>
  <c r="AH29" i="8" s="1"/>
  <c r="C30" i="8"/>
  <c r="D30" i="8"/>
  <c r="E30" i="8"/>
  <c r="F30" i="8"/>
  <c r="C10" i="9" s="1"/>
  <c r="M10" i="9" s="1"/>
  <c r="G30" i="8"/>
  <c r="H30" i="8"/>
  <c r="N10" i="9"/>
  <c r="X10" i="9" s="1"/>
  <c r="I30" i="8"/>
  <c r="J30" i="8"/>
  <c r="L30" i="8"/>
  <c r="M30" i="8"/>
  <c r="N30" i="8"/>
  <c r="R30" i="8"/>
  <c r="S30" i="8"/>
  <c r="T30" i="8"/>
  <c r="AD10" i="9" s="1"/>
  <c r="A36" i="16" s="1"/>
  <c r="V30" i="8"/>
  <c r="W33" i="8"/>
  <c r="AH33" i="8" s="1"/>
  <c r="W34" i="8"/>
  <c r="AH34" i="8" s="1"/>
  <c r="W35" i="8"/>
  <c r="AH35" i="8" s="1"/>
  <c r="W36" i="8"/>
  <c r="AH36" i="8" s="1"/>
  <c r="C37" i="8"/>
  <c r="D37" i="8"/>
  <c r="E37" i="8"/>
  <c r="F37" i="8"/>
  <c r="C11" i="9"/>
  <c r="M11" i="9" s="1"/>
  <c r="G37" i="8"/>
  <c r="H37" i="8"/>
  <c r="N11" i="9" s="1"/>
  <c r="X11" i="9" s="1"/>
  <c r="I37" i="8"/>
  <c r="J37" i="8"/>
  <c r="L37" i="8"/>
  <c r="M37" i="8"/>
  <c r="M43" i="8" s="1"/>
  <c r="N37" i="8"/>
  <c r="R37" i="8"/>
  <c r="S37" i="8"/>
  <c r="T37" i="8"/>
  <c r="AD11" i="9" s="1"/>
  <c r="V37" i="8"/>
  <c r="W39" i="8"/>
  <c r="AH39" i="8" s="1"/>
  <c r="W40" i="8"/>
  <c r="AH40" i="8" s="1"/>
  <c r="W41" i="8"/>
  <c r="AH41" i="8" s="1"/>
  <c r="C42" i="8"/>
  <c r="D42" i="8"/>
  <c r="E42" i="8"/>
  <c r="F42" i="8"/>
  <c r="C12" i="9" s="1"/>
  <c r="M12" i="9" s="1"/>
  <c r="G42" i="8"/>
  <c r="H42" i="8"/>
  <c r="I42" i="8"/>
  <c r="J42" i="8"/>
  <c r="L42" i="8"/>
  <c r="M42" i="8"/>
  <c r="N42" i="8"/>
  <c r="R42" i="8"/>
  <c r="S42" i="8"/>
  <c r="T42" i="8"/>
  <c r="AD12" i="9" s="1"/>
  <c r="V42" i="8"/>
  <c r="W46" i="8"/>
  <c r="AH46" i="8" s="1"/>
  <c r="W47" i="8"/>
  <c r="AH47" i="8" s="1"/>
  <c r="W48" i="8"/>
  <c r="AH48" i="8" s="1"/>
  <c r="W49" i="8"/>
  <c r="AH49" i="8" s="1"/>
  <c r="W50" i="8"/>
  <c r="AH50" i="8" s="1"/>
  <c r="C51" i="8"/>
  <c r="D51" i="8"/>
  <c r="E51" i="8"/>
  <c r="F51" i="8"/>
  <c r="G51" i="8"/>
  <c r="H51" i="8"/>
  <c r="I51" i="8"/>
  <c r="J51" i="8"/>
  <c r="L51" i="8"/>
  <c r="M51" i="8"/>
  <c r="N51" i="8"/>
  <c r="R51" i="8"/>
  <c r="S51" i="8"/>
  <c r="T51" i="8"/>
  <c r="V51" i="8"/>
  <c r="W53" i="8"/>
  <c r="AH53" i="8" s="1"/>
  <c r="W54" i="8"/>
  <c r="AH54" i="8" s="1"/>
  <c r="W55" i="8"/>
  <c r="AH55" i="8" s="1"/>
  <c r="W56" i="8"/>
  <c r="AH56" i="8" s="1"/>
  <c r="W57" i="8"/>
  <c r="AH57" i="8" s="1"/>
  <c r="C58" i="8"/>
  <c r="C67" i="8"/>
  <c r="D58" i="8"/>
  <c r="D67" i="8" s="1"/>
  <c r="E58" i="8"/>
  <c r="E67" i="8" s="1"/>
  <c r="F58" i="8"/>
  <c r="F67" i="8" s="1"/>
  <c r="F68" i="8" s="1"/>
  <c r="G58" i="8"/>
  <c r="G67" i="8" s="1"/>
  <c r="G68" i="8" s="1"/>
  <c r="H58" i="8"/>
  <c r="H67" i="8" s="1"/>
  <c r="I58" i="8"/>
  <c r="I67" i="8"/>
  <c r="J58" i="8"/>
  <c r="J67" i="8" s="1"/>
  <c r="L58" i="8"/>
  <c r="L67" i="8" s="1"/>
  <c r="L68" i="8" s="1"/>
  <c r="M58" i="8"/>
  <c r="M67" i="8" s="1"/>
  <c r="N58" i="8"/>
  <c r="N67" i="8"/>
  <c r="R58" i="8"/>
  <c r="R67" i="8" s="1"/>
  <c r="S58" i="8"/>
  <c r="S67" i="8" s="1"/>
  <c r="S68" i="8" s="1"/>
  <c r="T58" i="8"/>
  <c r="T67" i="8" s="1"/>
  <c r="V58" i="8"/>
  <c r="V67" i="8" s="1"/>
  <c r="W60" i="8"/>
  <c r="E86" i="10"/>
  <c r="W61" i="8"/>
  <c r="AH61" i="8"/>
  <c r="W63" i="8"/>
  <c r="AH63" i="8" s="1"/>
  <c r="W64" i="8"/>
  <c r="AH64" i="8" s="1"/>
  <c r="W65" i="8"/>
  <c r="AH65" i="8" s="1"/>
  <c r="W66" i="8"/>
  <c r="AH66" i="8" s="1"/>
  <c r="W70" i="8"/>
  <c r="AH70" i="8" s="1"/>
  <c r="W71" i="8"/>
  <c r="AH71" i="8" s="1"/>
  <c r="W73" i="8"/>
  <c r="AH73" i="8" s="1"/>
  <c r="W74" i="8"/>
  <c r="AH74" i="8" s="1"/>
  <c r="W75" i="8"/>
  <c r="W76" i="8"/>
  <c r="AH76" i="8" s="1"/>
  <c r="C77" i="8"/>
  <c r="D77" i="8"/>
  <c r="E77" i="8"/>
  <c r="E85" i="8"/>
  <c r="F77" i="8"/>
  <c r="G77" i="8"/>
  <c r="G85" i="8" s="1"/>
  <c r="H77" i="8"/>
  <c r="I77" i="8"/>
  <c r="J77" i="8"/>
  <c r="L77" i="8"/>
  <c r="M77" i="8"/>
  <c r="N77" i="8"/>
  <c r="R77" i="8"/>
  <c r="S77" i="8"/>
  <c r="S85" i="8" s="1"/>
  <c r="T77" i="8"/>
  <c r="V77" i="8"/>
  <c r="W79" i="8"/>
  <c r="AH79" i="8" s="1"/>
  <c r="W80" i="8"/>
  <c r="AH80" i="8" s="1"/>
  <c r="W81" i="8"/>
  <c r="AH81" i="8" s="1"/>
  <c r="W82" i="8"/>
  <c r="AH82" i="8" s="1"/>
  <c r="C83" i="8"/>
  <c r="D83" i="8"/>
  <c r="E83" i="8"/>
  <c r="F83" i="8"/>
  <c r="G83" i="8"/>
  <c r="H83" i="8"/>
  <c r="H85" i="8" s="1"/>
  <c r="AE80" i="8" s="1"/>
  <c r="I83" i="8"/>
  <c r="J83" i="8"/>
  <c r="L83" i="8"/>
  <c r="M83" i="8"/>
  <c r="N83" i="8"/>
  <c r="R83" i="8"/>
  <c r="S83" i="8"/>
  <c r="T83" i="8"/>
  <c r="V83" i="8"/>
  <c r="W84" i="8"/>
  <c r="AH84" i="8" s="1"/>
  <c r="W87" i="8"/>
  <c r="AH87" i="8" s="1"/>
  <c r="W88" i="8"/>
  <c r="C89" i="8"/>
  <c r="D89" i="8"/>
  <c r="E89" i="8"/>
  <c r="F89" i="8"/>
  <c r="G89" i="8"/>
  <c r="H89" i="8"/>
  <c r="I89" i="8"/>
  <c r="J89" i="8"/>
  <c r="L89" i="8"/>
  <c r="M89" i="8"/>
  <c r="N89" i="8"/>
  <c r="R89" i="8"/>
  <c r="S89" i="8"/>
  <c r="T89" i="8"/>
  <c r="V89" i="8"/>
  <c r="W93" i="8"/>
  <c r="AH93" i="8" s="1"/>
  <c r="W94" i="8"/>
  <c r="AH94" i="8" s="1"/>
  <c r="W95" i="8"/>
  <c r="W96" i="8"/>
  <c r="AH96" i="8" s="1"/>
  <c r="C97" i="8"/>
  <c r="D97" i="8"/>
  <c r="E97" i="8"/>
  <c r="F97" i="8"/>
  <c r="G97" i="8"/>
  <c r="G109" i="8" s="1"/>
  <c r="H97" i="8"/>
  <c r="I97" i="8"/>
  <c r="J97" i="8"/>
  <c r="L97" i="8"/>
  <c r="M97" i="8"/>
  <c r="N97" i="8"/>
  <c r="R97" i="8"/>
  <c r="S97" i="8"/>
  <c r="T97" i="8"/>
  <c r="V97" i="8"/>
  <c r="W99" i="8"/>
  <c r="AH99" i="8" s="1"/>
  <c r="W100" i="8"/>
  <c r="AH100" i="8" s="1"/>
  <c r="W101" i="8"/>
  <c r="AH101" i="8" s="1"/>
  <c r="C102" i="8"/>
  <c r="D102" i="8"/>
  <c r="E102" i="8"/>
  <c r="F102" i="8"/>
  <c r="G102" i="8"/>
  <c r="H102" i="8"/>
  <c r="I102" i="8"/>
  <c r="J102" i="8"/>
  <c r="L102" i="8"/>
  <c r="M102" i="8"/>
  <c r="N102" i="8"/>
  <c r="R102" i="8"/>
  <c r="S102" i="8"/>
  <c r="T102" i="8"/>
  <c r="V102" i="8"/>
  <c r="W104" i="8"/>
  <c r="AH104" i="8" s="1"/>
  <c r="W105" i="8"/>
  <c r="AH105" i="8" s="1"/>
  <c r="W106" i="8"/>
  <c r="AH106" i="8" s="1"/>
  <c r="W107" i="8"/>
  <c r="AH107" i="8" s="1"/>
  <c r="C108" i="8"/>
  <c r="D108" i="8"/>
  <c r="E108" i="8"/>
  <c r="F108" i="8"/>
  <c r="G108" i="8"/>
  <c r="H108" i="8"/>
  <c r="I108" i="8"/>
  <c r="J108" i="8"/>
  <c r="L108" i="8"/>
  <c r="M108" i="8"/>
  <c r="M109" i="8" s="1"/>
  <c r="N108" i="8"/>
  <c r="R108" i="8"/>
  <c r="S108" i="8"/>
  <c r="T108" i="8"/>
  <c r="V108" i="8"/>
  <c r="P111" i="8"/>
  <c r="W111" i="8"/>
  <c r="P112" i="8"/>
  <c r="AD115" i="8" s="1"/>
  <c r="M114" i="8"/>
  <c r="W122" i="8"/>
  <c r="P125" i="8"/>
  <c r="H1" i="7"/>
  <c r="C15" i="7"/>
  <c r="C16" i="7" s="1"/>
  <c r="A27" i="16" s="1"/>
  <c r="D15" i="7"/>
  <c r="D16" i="7" s="1"/>
  <c r="D17" i="7" s="1"/>
  <c r="F15" i="7"/>
  <c r="C33" i="7"/>
  <c r="D33" i="7"/>
  <c r="E33" i="7"/>
  <c r="F33" i="7"/>
  <c r="C40" i="7"/>
  <c r="C41" i="7" s="1"/>
  <c r="D40" i="7"/>
  <c r="D41" i="7"/>
  <c r="E40" i="7"/>
  <c r="E41" i="7" s="1"/>
  <c r="F40" i="7"/>
  <c r="F41" i="7" s="1"/>
  <c r="C47" i="7"/>
  <c r="D47" i="7"/>
  <c r="E47" i="7"/>
  <c r="F47" i="7"/>
  <c r="C54" i="7"/>
  <c r="D54" i="7"/>
  <c r="E54" i="7"/>
  <c r="F54" i="7"/>
  <c r="C58" i="7"/>
  <c r="D58" i="7"/>
  <c r="E58" i="7"/>
  <c r="F58" i="7"/>
  <c r="C63" i="7"/>
  <c r="D63" i="7"/>
  <c r="E63" i="7"/>
  <c r="F63" i="7"/>
  <c r="T1" i="6"/>
  <c r="E11" i="6"/>
  <c r="A25" i="16" s="1"/>
  <c r="D14" i="6"/>
  <c r="C11" i="3" s="1"/>
  <c r="D11" i="3" s="1"/>
  <c r="K16" i="6"/>
  <c r="N16" i="6"/>
  <c r="D28" i="6"/>
  <c r="K30" i="6"/>
  <c r="D39" i="6"/>
  <c r="J1" i="5"/>
  <c r="N8" i="5"/>
  <c r="D12" i="5"/>
  <c r="N12" i="5" s="1"/>
  <c r="N13" i="5"/>
  <c r="D16" i="5"/>
  <c r="N16" i="5"/>
  <c r="E20" i="5"/>
  <c r="A19" i="16" s="1"/>
  <c r="E21" i="5"/>
  <c r="A20" i="16" s="1"/>
  <c r="N21" i="5"/>
  <c r="N25" i="5"/>
  <c r="J26" i="5"/>
  <c r="J27" i="5"/>
  <c r="D29" i="5"/>
  <c r="N29" i="5" s="1"/>
  <c r="D34" i="5"/>
  <c r="J39" i="5"/>
  <c r="J41" i="5"/>
  <c r="A22" i="16" s="1"/>
  <c r="D44" i="5"/>
  <c r="N44" i="5" s="1"/>
  <c r="J45" i="5"/>
  <c r="A23" i="16" s="1"/>
  <c r="C23" i="16" s="1"/>
  <c r="N45" i="5"/>
  <c r="N47" i="5"/>
  <c r="N48" i="5"/>
  <c r="C51" i="5"/>
  <c r="D52" i="5"/>
  <c r="D57" i="5"/>
  <c r="N59" i="5"/>
  <c r="N66" i="5"/>
  <c r="D70" i="5"/>
  <c r="N70" i="5" s="1"/>
  <c r="D75" i="5"/>
  <c r="F1" i="4"/>
  <c r="D12" i="4"/>
  <c r="F12" i="4"/>
  <c r="D17" i="4"/>
  <c r="E15" i="7" s="1"/>
  <c r="E16" i="7" s="1"/>
  <c r="E17" i="7" s="1"/>
  <c r="E18" i="4"/>
  <c r="F32" i="4"/>
  <c r="D49" i="4"/>
  <c r="D56" i="4"/>
  <c r="F61" i="4"/>
  <c r="A3" i="16" s="1"/>
  <c r="C3" i="16" s="1"/>
  <c r="F62" i="4"/>
  <c r="F63" i="4"/>
  <c r="D66" i="4"/>
  <c r="D67" i="4"/>
  <c r="M76" i="4"/>
  <c r="M78" i="4"/>
  <c r="M79" i="4"/>
  <c r="A2" i="16" s="1"/>
  <c r="D80" i="4"/>
  <c r="E80" i="4"/>
  <c r="G1" i="3"/>
  <c r="E7" i="3"/>
  <c r="A1" i="16" s="1"/>
  <c r="E8" i="3"/>
  <c r="E9" i="3"/>
  <c r="C10" i="3"/>
  <c r="D10" i="3"/>
  <c r="E13" i="3"/>
  <c r="E14" i="3"/>
  <c r="I51" i="3"/>
  <c r="J51" i="3"/>
  <c r="I55" i="3"/>
  <c r="N57" i="5"/>
  <c r="O15" i="11"/>
  <c r="A14" i="16"/>
  <c r="C14" i="16" s="1"/>
  <c r="R109" i="8"/>
  <c r="H109" i="8"/>
  <c r="N38" i="9" s="1"/>
  <c r="X38" i="9" s="1"/>
  <c r="G43" i="8"/>
  <c r="T109" i="8"/>
  <c r="AD38" i="9" s="1"/>
  <c r="I43" i="8"/>
  <c r="F109" i="8"/>
  <c r="C38" i="9" s="1"/>
  <c r="D43" i="8"/>
  <c r="N43" i="8"/>
  <c r="L85" i="8"/>
  <c r="E43" i="8"/>
  <c r="N9" i="9"/>
  <c r="X9" i="9" s="1"/>
  <c r="X33" i="9"/>
  <c r="A18" i="16"/>
  <c r="C18" i="16" s="1"/>
  <c r="N12" i="9"/>
  <c r="X12" i="9" s="1"/>
  <c r="E24" i="10"/>
  <c r="N85" i="8"/>
  <c r="D109" i="8"/>
  <c r="V43" i="8"/>
  <c r="X35" i="9"/>
  <c r="M33" i="9"/>
  <c r="D33" i="5"/>
  <c r="D35" i="5" s="1"/>
  <c r="K17" i="12"/>
  <c r="F64" i="7"/>
  <c r="F49" i="7"/>
  <c r="D49" i="7"/>
  <c r="G19" i="12"/>
  <c r="H26" i="12"/>
  <c r="K26" i="12" s="1"/>
  <c r="F17" i="4"/>
  <c r="E44" i="10"/>
  <c r="E95" i="10"/>
  <c r="E103" i="10" s="1"/>
  <c r="AH60" i="8"/>
  <c r="E58" i="10"/>
  <c r="E71" i="10" s="1"/>
  <c r="C82" i="7"/>
  <c r="K16" i="12"/>
  <c r="E67" i="4"/>
  <c r="L55" i="4"/>
  <c r="E16" i="10"/>
  <c r="E8" i="10"/>
  <c r="E57" i="10" l="1"/>
  <c r="N57" i="11"/>
  <c r="C36" i="16"/>
  <c r="M95" i="10"/>
  <c r="E94" i="10"/>
  <c r="M72" i="10"/>
  <c r="M80" i="10" s="1"/>
  <c r="A43" i="16"/>
  <c r="C43" i="16" s="1"/>
  <c r="N54" i="11"/>
  <c r="N50" i="11"/>
  <c r="G31" i="12"/>
  <c r="N58" i="11"/>
  <c r="N53" i="11"/>
  <c r="N49" i="11"/>
  <c r="A15" i="16"/>
  <c r="H43" i="8"/>
  <c r="W102" i="8"/>
  <c r="W108" i="8"/>
  <c r="J109" i="8"/>
  <c r="R85" i="8"/>
  <c r="J85" i="8"/>
  <c r="C85" i="8"/>
  <c r="J68" i="8"/>
  <c r="D68" i="8"/>
  <c r="S43" i="8"/>
  <c r="L43" i="8"/>
  <c r="E31" i="12"/>
  <c r="W17" i="8"/>
  <c r="AH17" i="8" s="1"/>
  <c r="V109" i="8"/>
  <c r="M68" i="8"/>
  <c r="E72" i="10"/>
  <c r="E85" i="10" s="1"/>
  <c r="W77" i="8"/>
  <c r="AH77" i="8" s="1"/>
  <c r="T43" i="8"/>
  <c r="F43" i="8"/>
  <c r="W42" i="8"/>
  <c r="AH42" i="8" s="1"/>
  <c r="T85" i="8"/>
  <c r="R68" i="8"/>
  <c r="C43" i="8"/>
  <c r="C49" i="7"/>
  <c r="E49" i="7"/>
  <c r="E34" i="4"/>
  <c r="F16" i="7"/>
  <c r="A30" i="16" s="1"/>
  <c r="C30" i="16" s="1"/>
  <c r="L56" i="4"/>
  <c r="F31" i="12"/>
  <c r="G37" i="12"/>
  <c r="C64" i="7"/>
  <c r="C66" i="7"/>
  <c r="G65" i="7" s="1"/>
  <c r="O27" i="11"/>
  <c r="O23" i="11"/>
  <c r="O32" i="11"/>
  <c r="M86" i="10"/>
  <c r="A21" i="16"/>
  <c r="C21" i="16" s="1"/>
  <c r="K14" i="12"/>
  <c r="K13" i="12"/>
  <c r="A29" i="16"/>
  <c r="C29" i="16" s="1"/>
  <c r="M44" i="10"/>
  <c r="W51" i="8"/>
  <c r="AH51" i="8" s="1"/>
  <c r="M58" i="10"/>
  <c r="O22" i="11"/>
  <c r="O24" i="11"/>
  <c r="E68" i="8"/>
  <c r="E90" i="8" s="1"/>
  <c r="W58" i="8"/>
  <c r="W67" i="8" s="1"/>
  <c r="AH67" i="8" s="1"/>
  <c r="E31" i="10"/>
  <c r="E43" i="10" s="1"/>
  <c r="K31" i="6"/>
  <c r="L31" i="6" s="1"/>
  <c r="M28" i="6"/>
  <c r="M29" i="6"/>
  <c r="M26" i="6"/>
  <c r="M27" i="6"/>
  <c r="M25" i="6"/>
  <c r="M23" i="6"/>
  <c r="M24" i="6"/>
  <c r="M22" i="6"/>
  <c r="K17" i="6"/>
  <c r="L17" i="6" s="1"/>
  <c r="M9" i="6"/>
  <c r="M8" i="6"/>
  <c r="M14" i="6"/>
  <c r="M11" i="6"/>
  <c r="M15" i="6"/>
  <c r="M10" i="6"/>
  <c r="M13" i="6"/>
  <c r="M12" i="6"/>
  <c r="M31" i="10"/>
  <c r="M39" i="10" s="1"/>
  <c r="I85" i="8"/>
  <c r="AH75" i="8"/>
  <c r="F85" i="8"/>
  <c r="AE79" i="8" s="1"/>
  <c r="C53" i="16"/>
  <c r="A46" i="16"/>
  <c r="C46" i="16" s="1"/>
  <c r="A17" i="16"/>
  <c r="A41" i="16"/>
  <c r="C41" i="16" s="1"/>
  <c r="X31" i="9"/>
  <c r="X40" i="9" s="1"/>
  <c r="A39" i="16" s="1"/>
  <c r="C39" i="16" s="1"/>
  <c r="A12" i="16"/>
  <c r="C12" i="16" s="1"/>
  <c r="A11" i="16"/>
  <c r="G27" i="12"/>
  <c r="C47" i="16"/>
  <c r="W68" i="8"/>
  <c r="C12" i="3"/>
  <c r="C15" i="3" s="1"/>
  <c r="C19" i="3" s="1"/>
  <c r="I50" i="3" s="1"/>
  <c r="F90" i="8"/>
  <c r="F110" i="8" s="1"/>
  <c r="F113" i="8" s="1"/>
  <c r="M80" i="4"/>
  <c r="I117" i="8"/>
  <c r="A28" i="16"/>
  <c r="C28" i="16" s="1"/>
  <c r="C17" i="7"/>
  <c r="D33" i="4"/>
  <c r="D74" i="5"/>
  <c r="D76" i="5" s="1"/>
  <c r="A24" i="16" s="1"/>
  <c r="C24" i="16" s="1"/>
  <c r="F49" i="4"/>
  <c r="L109" i="8"/>
  <c r="I68" i="8"/>
  <c r="A45" i="16"/>
  <c r="C45" i="16" s="1"/>
  <c r="H18" i="12"/>
  <c r="K18" i="12" s="1"/>
  <c r="S109" i="8"/>
  <c r="D85" i="8"/>
  <c r="D90" i="8" s="1"/>
  <c r="D110" i="8" s="1"/>
  <c r="D113" i="8" s="1"/>
  <c r="V68" i="8"/>
  <c r="N68" i="8"/>
  <c r="W37" i="8"/>
  <c r="AH37" i="8" s="1"/>
  <c r="AH43" i="8" s="1"/>
  <c r="A42" i="16"/>
  <c r="C42" i="16" s="1"/>
  <c r="D18" i="4"/>
  <c r="E64" i="7"/>
  <c r="E66" i="7" s="1"/>
  <c r="E109" i="8"/>
  <c r="V85" i="8"/>
  <c r="T68" i="8"/>
  <c r="T90" i="8" s="1"/>
  <c r="T110" i="8" s="1"/>
  <c r="T113" i="8" s="1"/>
  <c r="H68" i="8"/>
  <c r="H90" i="8" s="1"/>
  <c r="H110" i="8" s="1"/>
  <c r="H113" i="8" s="1"/>
  <c r="C68" i="8"/>
  <c r="C90" i="8" s="1"/>
  <c r="C110" i="8" s="1"/>
  <c r="C113" i="8" s="1"/>
  <c r="R43" i="8"/>
  <c r="J43" i="8"/>
  <c r="J90" i="8" s="1"/>
  <c r="J110" i="8" s="1"/>
  <c r="J113" i="8" s="1"/>
  <c r="C109" i="8"/>
  <c r="M85" i="8"/>
  <c r="M90" i="8" s="1"/>
  <c r="M110" i="8" s="1"/>
  <c r="M113" i="8" s="1"/>
  <c r="N114" i="8" s="1"/>
  <c r="A33" i="16" s="1"/>
  <c r="C33" i="16" s="1"/>
  <c r="A61" i="16"/>
  <c r="C61" i="16" s="1"/>
  <c r="C44" i="16"/>
  <c r="C6" i="16"/>
  <c r="C20" i="16"/>
  <c r="C15" i="16"/>
  <c r="C22" i="16"/>
  <c r="C19" i="16"/>
  <c r="C27" i="16"/>
  <c r="C11" i="16"/>
  <c r="C4" i="16"/>
  <c r="C37" i="16"/>
  <c r="C1" i="16"/>
  <c r="C25" i="16"/>
  <c r="C54" i="16"/>
  <c r="C51" i="16"/>
  <c r="C17" i="16"/>
  <c r="C2" i="16"/>
  <c r="C52" i="16"/>
  <c r="C48" i="16"/>
  <c r="C26" i="16"/>
  <c r="C13" i="16"/>
  <c r="C5" i="16"/>
  <c r="C50" i="16"/>
  <c r="C40" i="16"/>
  <c r="C40" i="9"/>
  <c r="M38" i="9"/>
  <c r="M40" i="9" s="1"/>
  <c r="F66" i="7"/>
  <c r="A70" i="16"/>
  <c r="N40" i="9"/>
  <c r="D64" i="7"/>
  <c r="D66" i="7" s="1"/>
  <c r="R90" i="8"/>
  <c r="R110" i="8" s="1"/>
  <c r="R113" i="8" s="1"/>
  <c r="G90" i="8"/>
  <c r="G110" i="8" s="1"/>
  <c r="G113" i="8" s="1"/>
  <c r="N109" i="8"/>
  <c r="AH88" i="8"/>
  <c r="W89" i="8"/>
  <c r="AH89" i="8" s="1"/>
  <c r="N90" i="8"/>
  <c r="I90" i="8"/>
  <c r="I109" i="8"/>
  <c r="S90" i="8"/>
  <c r="L90" i="8"/>
  <c r="L110" i="8" s="1"/>
  <c r="AH95" i="8"/>
  <c r="AH97" i="8" s="1"/>
  <c r="W97" i="8"/>
  <c r="W109" i="8" s="1"/>
  <c r="AH109" i="8" s="1"/>
  <c r="A64" i="16"/>
  <c r="C64" i="16" s="1"/>
  <c r="C57" i="11"/>
  <c r="W83" i="8"/>
  <c r="AH108" i="8"/>
  <c r="AH102" i="8"/>
  <c r="W30" i="8"/>
  <c r="A68" i="16" l="1"/>
  <c r="E68" i="16" s="1"/>
  <c r="C68" i="16" s="1"/>
  <c r="A60" i="16"/>
  <c r="E60" i="16" s="1"/>
  <c r="C60" i="16" s="1"/>
  <c r="A63" i="16"/>
  <c r="E63" i="16" s="1"/>
  <c r="C63" i="16" s="1"/>
  <c r="A66" i="16"/>
  <c r="C66" i="16" s="1"/>
  <c r="E110" i="8"/>
  <c r="E113" i="8" s="1"/>
  <c r="W43" i="8"/>
  <c r="V90" i="8"/>
  <c r="V110" i="8" s="1"/>
  <c r="J118" i="8" s="1"/>
  <c r="A35" i="16" s="1"/>
  <c r="C35" i="16" s="1"/>
  <c r="N110" i="8"/>
  <c r="N113" i="8" s="1"/>
  <c r="I119" i="8" s="1"/>
  <c r="I120" i="8" s="1"/>
  <c r="F121" i="8" s="1"/>
  <c r="S110" i="8"/>
  <c r="S113" i="8" s="1"/>
  <c r="A87" i="16" s="1"/>
  <c r="C87" i="16" s="1"/>
  <c r="F17" i="7"/>
  <c r="I7" i="7"/>
  <c r="G66" i="7"/>
  <c r="A31" i="16" s="1"/>
  <c r="C31" i="16" s="1"/>
  <c r="I54" i="3"/>
  <c r="I47" i="3"/>
  <c r="A58" i="16"/>
  <c r="E58" i="16" s="1"/>
  <c r="C58" i="16" s="1"/>
  <c r="AH58" i="8"/>
  <c r="AH68" i="8" s="1"/>
  <c r="I52" i="3"/>
  <c r="I53" i="3"/>
  <c r="I48" i="3"/>
  <c r="D12" i="3"/>
  <c r="A38" i="16"/>
  <c r="C38" i="16" s="1"/>
  <c r="A32" i="16"/>
  <c r="C32" i="16" s="1"/>
  <c r="I49" i="3"/>
  <c r="D34" i="4"/>
  <c r="A89" i="16"/>
  <c r="C89" i="16" s="1"/>
  <c r="A83" i="16"/>
  <c r="C83" i="16" s="1"/>
  <c r="A82" i="16"/>
  <c r="C82" i="16" s="1"/>
  <c r="C30" i="3"/>
  <c r="D40" i="4"/>
  <c r="AH83" i="8"/>
  <c r="AH85" i="8" s="1"/>
  <c r="W85" i="8"/>
  <c r="A86" i="16"/>
  <c r="C86" i="16" s="1"/>
  <c r="A93" i="16"/>
  <c r="C93" i="16" s="1"/>
  <c r="I110" i="8"/>
  <c r="I113" i="8" s="1"/>
  <c r="AH30" i="8"/>
  <c r="W90" i="8"/>
  <c r="W110" i="8" s="1"/>
  <c r="D59" i="11"/>
  <c r="A75" i="16" s="1"/>
  <c r="C75" i="16" s="1"/>
  <c r="L113" i="8"/>
  <c r="A84" i="16"/>
  <c r="P116" i="8"/>
  <c r="D114" i="8"/>
  <c r="E70" i="16"/>
  <c r="C70" i="16" s="1"/>
  <c r="A92" i="16" l="1"/>
  <c r="C92" i="16" s="1"/>
  <c r="A81" i="16"/>
  <c r="C81" i="16" s="1"/>
  <c r="AH90" i="8"/>
  <c r="AH110" i="8" s="1"/>
  <c r="J47" i="3"/>
  <c r="D15" i="3"/>
  <c r="J48" i="3"/>
  <c r="A80" i="16"/>
  <c r="C80" i="16" s="1"/>
  <c r="A88" i="16"/>
  <c r="C88" i="16" s="1"/>
  <c r="D42" i="4"/>
  <c r="M42" i="4" s="1"/>
  <c r="C36" i="3"/>
  <c r="C39" i="3" s="1"/>
  <c r="I39" i="3" s="1"/>
  <c r="A94" i="16"/>
  <c r="C84" i="16"/>
  <c r="A85" i="16"/>
  <c r="C85" i="16" s="1"/>
  <c r="P82" i="8"/>
  <c r="P54" i="8"/>
  <c r="P40" i="8"/>
  <c r="P28" i="8"/>
  <c r="P84" i="8"/>
  <c r="P101" i="8"/>
  <c r="P64" i="8"/>
  <c r="P55" i="8"/>
  <c r="P74" i="8"/>
  <c r="P57" i="8"/>
  <c r="P26" i="8"/>
  <c r="P81" i="8"/>
  <c r="P80" i="8"/>
  <c r="P27" i="8"/>
  <c r="P21" i="8"/>
  <c r="P15" i="8"/>
  <c r="P56" i="8"/>
  <c r="P60" i="8"/>
  <c r="P79" i="8"/>
  <c r="P94" i="8"/>
  <c r="P47" i="8"/>
  <c r="P71" i="8"/>
  <c r="P65" i="8"/>
  <c r="P95" i="8"/>
  <c r="P24" i="8"/>
  <c r="P29" i="8"/>
  <c r="P76" i="8"/>
  <c r="P61" i="8"/>
  <c r="P105" i="8"/>
  <c r="P50" i="8"/>
  <c r="P23" i="8"/>
  <c r="P63" i="8"/>
  <c r="P16" i="8"/>
  <c r="P49" i="8"/>
  <c r="O83" i="8"/>
  <c r="P20" i="8"/>
  <c r="P96" i="8"/>
  <c r="P36" i="8"/>
  <c r="P14" i="8"/>
  <c r="P100" i="8"/>
  <c r="P107" i="8"/>
  <c r="P41" i="8"/>
  <c r="P34" i="8"/>
  <c r="P66" i="8"/>
  <c r="P35" i="8"/>
  <c r="P25" i="8"/>
  <c r="P48" i="8"/>
  <c r="P88" i="8"/>
  <c r="P22" i="8"/>
  <c r="P106" i="8"/>
  <c r="V112" i="8"/>
  <c r="P75" i="8" l="1"/>
  <c r="D19" i="3"/>
  <c r="J49" i="3"/>
  <c r="M71" i="4"/>
  <c r="M72" i="4"/>
  <c r="C43" i="3"/>
  <c r="I43" i="3" s="1"/>
  <c r="A90" i="16"/>
  <c r="C90" i="16" s="1"/>
  <c r="D68" i="4"/>
  <c r="P87" i="8"/>
  <c r="O89" i="8"/>
  <c r="AC80" i="8"/>
  <c r="C21" i="12"/>
  <c r="P53" i="8"/>
  <c r="O58" i="8"/>
  <c r="O67" i="8" s="1"/>
  <c r="P13" i="8"/>
  <c r="O17" i="8"/>
  <c r="O108" i="8"/>
  <c r="P104" i="8"/>
  <c r="P39" i="8"/>
  <c r="O42" i="8"/>
  <c r="P42" i="8" s="1"/>
  <c r="C16" i="10"/>
  <c r="O97" i="8"/>
  <c r="P93" i="8"/>
  <c r="C29" i="12"/>
  <c r="C44" i="10"/>
  <c r="C32" i="12"/>
  <c r="AC84" i="8"/>
  <c r="C31" i="10"/>
  <c r="AC79" i="8"/>
  <c r="P83" i="8"/>
  <c r="C12" i="12"/>
  <c r="P99" i="8"/>
  <c r="O102" i="8"/>
  <c r="C8" i="10"/>
  <c r="P73" i="8"/>
  <c r="O77" i="8"/>
  <c r="O85" i="8" s="1"/>
  <c r="P46" i="8"/>
  <c r="O51" i="8"/>
  <c r="C95" i="10"/>
  <c r="C86" i="10"/>
  <c r="C72" i="10"/>
  <c r="O30" i="8"/>
  <c r="P19" i="8"/>
  <c r="AC82" i="8"/>
  <c r="C30" i="12"/>
  <c r="W112" i="8"/>
  <c r="W113" i="8" s="1"/>
  <c r="V113" i="8"/>
  <c r="W116" i="8" s="1"/>
  <c r="P33" i="8"/>
  <c r="O37" i="8"/>
  <c r="AC76" i="8"/>
  <c r="C58" i="10"/>
  <c r="C21" i="11"/>
  <c r="AC74" i="8"/>
  <c r="P70" i="8"/>
  <c r="C71" i="10" l="1"/>
  <c r="C85" i="10"/>
  <c r="C94" i="10"/>
  <c r="C103" i="10"/>
  <c r="C57" i="10"/>
  <c r="C43" i="10"/>
  <c r="AC88" i="8"/>
  <c r="C31" i="11"/>
  <c r="H41" i="11" s="1"/>
  <c r="J50" i="3"/>
  <c r="E40" i="4"/>
  <c r="O43" i="8"/>
  <c r="O68" i="8"/>
  <c r="H30" i="12"/>
  <c r="K30" i="12" s="1"/>
  <c r="P30" i="8"/>
  <c r="P51" i="8"/>
  <c r="P77" i="8"/>
  <c r="C12" i="11"/>
  <c r="AC78" i="8"/>
  <c r="AC36" i="8"/>
  <c r="H29" i="12"/>
  <c r="K29" i="12" s="1"/>
  <c r="P97" i="8"/>
  <c r="P89" i="8"/>
  <c r="P37" i="8"/>
  <c r="P102" i="8"/>
  <c r="A76" i="16"/>
  <c r="C76" i="16" s="1"/>
  <c r="C31" i="12"/>
  <c r="H12" i="12"/>
  <c r="K12" i="12"/>
  <c r="O109" i="8"/>
  <c r="P17" i="8"/>
  <c r="P58" i="8"/>
  <c r="C24" i="10"/>
  <c r="K21" i="11"/>
  <c r="A73" i="16"/>
  <c r="C73" i="16" s="1"/>
  <c r="L21" i="11"/>
  <c r="W121" i="8"/>
  <c r="W123" i="8" s="1"/>
  <c r="A9" i="16" s="1"/>
  <c r="C9" i="16" s="1"/>
  <c r="C9" i="10"/>
  <c r="H32" i="12"/>
  <c r="A79" i="16"/>
  <c r="C79" i="16" s="1"/>
  <c r="AC81" i="8"/>
  <c r="C17" i="10"/>
  <c r="P108" i="8"/>
  <c r="A77" i="16"/>
  <c r="C77" i="16" s="1"/>
  <c r="H21" i="12"/>
  <c r="K21" i="12" s="1"/>
  <c r="A69" i="16" l="1"/>
  <c r="C69" i="16" s="1"/>
  <c r="A59" i="16"/>
  <c r="C59" i="16" s="1"/>
  <c r="A67" i="16"/>
  <c r="C67" i="16" s="1"/>
  <c r="A65" i="16"/>
  <c r="C65" i="16" s="1"/>
  <c r="A62" i="16"/>
  <c r="C62" i="16" s="1"/>
  <c r="A71" i="16"/>
  <c r="C71" i="16" s="1"/>
  <c r="P85" i="8"/>
  <c r="AC83" i="8"/>
  <c r="M10" i="10"/>
  <c r="M23" i="10"/>
  <c r="M18" i="10"/>
  <c r="AC75" i="8"/>
  <c r="K32" i="12"/>
  <c r="A78" i="16"/>
  <c r="C78" i="16" s="1"/>
  <c r="L31" i="11"/>
  <c r="A74" i="16"/>
  <c r="C74" i="16" s="1"/>
  <c r="AC87" i="8"/>
  <c r="H42" i="11"/>
  <c r="K31" i="11"/>
  <c r="O31" i="11" s="1"/>
  <c r="O90" i="8"/>
  <c r="O110" i="8" s="1"/>
  <c r="O113" i="8" s="1"/>
  <c r="P117" i="8" s="1"/>
  <c r="E42" i="4"/>
  <c r="N42" i="4" s="1"/>
  <c r="M15" i="10"/>
  <c r="C25" i="10"/>
  <c r="K12" i="11"/>
  <c r="A72" i="16"/>
  <c r="C72" i="16" s="1"/>
  <c r="L12" i="11"/>
  <c r="AC42" i="8"/>
  <c r="P43" i="8"/>
  <c r="P109" i="8"/>
  <c r="H31" i="12"/>
  <c r="K31" i="12" s="1"/>
  <c r="AC73" i="8"/>
  <c r="P67" i="8"/>
  <c r="P68" i="8" s="1"/>
  <c r="A56" i="16" l="1"/>
  <c r="A55" i="16"/>
  <c r="X116" i="8"/>
  <c r="A34" i="16" s="1"/>
  <c r="C34" i="16" s="1"/>
  <c r="M26" i="10"/>
  <c r="F42" i="4"/>
  <c r="N72" i="4"/>
  <c r="N71" i="4"/>
  <c r="E68" i="4"/>
  <c r="A91" i="16"/>
  <c r="C91" i="16" s="1"/>
  <c r="AC89" i="8"/>
  <c r="AC30" i="8"/>
  <c r="P90" i="8"/>
  <c r="A57" i="16" l="1"/>
  <c r="AC37" i="8"/>
  <c r="E56" i="16"/>
  <c r="C56" i="16" s="1"/>
  <c r="P110" i="8"/>
  <c r="P114" i="8" s="1"/>
  <c r="Z110" i="8"/>
  <c r="E55" i="16"/>
  <c r="C55" i="16" s="1"/>
  <c r="AC17" i="8"/>
  <c r="AA90" i="8"/>
  <c r="AC77" i="8"/>
  <c r="AC67" i="8"/>
  <c r="AC51" i="8"/>
  <c r="AC109" i="8"/>
  <c r="AE90" i="8" l="1"/>
  <c r="AE93" i="8"/>
  <c r="AE91" i="8"/>
  <c r="AE85" i="8"/>
  <c r="E57" i="16"/>
  <c r="C57" i="16" s="1"/>
  <c r="P124" i="8"/>
  <c r="P113" i="8"/>
  <c r="AC90" i="8"/>
  <c r="AA110" i="8"/>
  <c r="P126" i="8" l="1"/>
  <c r="A10" i="16" s="1"/>
  <c r="C10" i="16" s="1"/>
  <c r="P303" i="8"/>
</calcChain>
</file>

<file path=xl/sharedStrings.xml><?xml version="1.0" encoding="utf-8"?>
<sst xmlns="http://schemas.openxmlformats.org/spreadsheetml/2006/main" count="1704" uniqueCount="1324">
  <si>
    <t>i kommunens koncernföretag</t>
  </si>
  <si>
    <t>hos kommunens koncernföretag</t>
  </si>
  <si>
    <t>fordringar hos staten</t>
  </si>
  <si>
    <t xml:space="preserve">Kortfristiga skulder till koncernföretag </t>
  </si>
  <si>
    <t>Lev.skulder till kommunens koncernf.</t>
  </si>
  <si>
    <t>135</t>
  </si>
  <si>
    <t>Förvaltningsavgifter</t>
  </si>
  <si>
    <t>139</t>
  </si>
  <si>
    <t>13 (ej 139)</t>
  </si>
  <si>
    <t>10-13 (ej 139)</t>
  </si>
  <si>
    <t>FINANSIELLA INTÄKTER ENL RR</t>
  </si>
  <si>
    <t>FINANSIELLA KOSTNADER ENL RR</t>
  </si>
  <si>
    <t xml:space="preserve">Obligationer, förlagsbevis m.m. samt certifikat </t>
  </si>
  <si>
    <t>Personalens källskatt</t>
  </si>
  <si>
    <t>298</t>
  </si>
  <si>
    <t>Förutbetalda skatteintäkter</t>
  </si>
  <si>
    <t>Verksamhetsblock/-områden</t>
  </si>
  <si>
    <t>EGENTLIG VERKSAMHET</t>
  </si>
  <si>
    <t>Politisk verksamhet, totalt</t>
  </si>
  <si>
    <t>Parker</t>
  </si>
  <si>
    <t>Räddningstjänst</t>
  </si>
  <si>
    <t>Övrig utbildning</t>
  </si>
  <si>
    <t>Utbildning, totalt</t>
  </si>
  <si>
    <t>SUMMA EGENTLIG VERKSAMHET</t>
  </si>
  <si>
    <t>Hamnverksamhet</t>
  </si>
  <si>
    <t>Kommersiell verksamhet</t>
  </si>
  <si>
    <t>Bostadsverksamhet</t>
  </si>
  <si>
    <t>Näringsliv och bostäder, totalt</t>
  </si>
  <si>
    <t>Sjötrafik</t>
  </si>
  <si>
    <t>Kommunikationer, totalt</t>
  </si>
  <si>
    <t>Fjärrvärmeförsörjning</t>
  </si>
  <si>
    <t>Vattenförsörjning och avloppshantering</t>
  </si>
  <si>
    <t>Avfallshantering</t>
  </si>
  <si>
    <t>SUMMA AFFÄRSVERKSAMHET</t>
  </si>
  <si>
    <t>Gemensamma lokaler</t>
  </si>
  <si>
    <t>Gemensamma verksamheter</t>
  </si>
  <si>
    <t>TOTALSUMMA</t>
  </si>
  <si>
    <t>Personalkostnader</t>
  </si>
  <si>
    <t xml:space="preserve">Externa varor, tjänster och bidrag  </t>
  </si>
  <si>
    <t>Lokal- och anläggningskostnader</t>
  </si>
  <si>
    <t>Externa intäkter</t>
  </si>
  <si>
    <t xml:space="preserve">Interna </t>
  </si>
  <si>
    <t>BRUTTO-</t>
  </si>
  <si>
    <t>intäkter</t>
  </si>
  <si>
    <t>KOSTNAD</t>
  </si>
  <si>
    <t>intäkter och</t>
  </si>
  <si>
    <t>kostnad</t>
  </si>
  <si>
    <t>[45]</t>
  </si>
  <si>
    <t>[601]</t>
  </si>
  <si>
    <t>[341]</t>
  </si>
  <si>
    <t>muner o landst.</t>
  </si>
  <si>
    <t>Block 1. POLITISK VERKSAMHET</t>
  </si>
  <si>
    <t>Nämnd- och styrelseverksamhet</t>
  </si>
  <si>
    <t>Stöd till politiska partier</t>
  </si>
  <si>
    <t>Revision</t>
  </si>
  <si>
    <t xml:space="preserve">Övrig politisk verksamhet </t>
  </si>
  <si>
    <t>POLITISK VERKSAMHET, TOTALT</t>
  </si>
  <si>
    <t>Block 2. INFRASTRUKTUR, SKYDD mm</t>
  </si>
  <si>
    <t>Fysisk o.teknisk planering, bostadsförbättr.</t>
  </si>
  <si>
    <t>Näringslivsfrämjande åtgärder</t>
  </si>
  <si>
    <t>Konsument- och energirådgivning</t>
  </si>
  <si>
    <t>Turistverksamhet</t>
  </si>
  <si>
    <t>Beskrivning av nyckeltalen</t>
  </si>
  <si>
    <t>Miljö- och hälsoskydd, myndighetsutövning</t>
  </si>
  <si>
    <t>Miljö- hälsa och hållbar utveckling</t>
  </si>
  <si>
    <t>Alkoholtillstånd m.m.</t>
  </si>
  <si>
    <t xml:space="preserve">Totalförsvar och samhällsskydd  </t>
  </si>
  <si>
    <t>INFRASTRUKTUR, SKYDD mm TOTALT</t>
  </si>
  <si>
    <t>Block 3.  KULTUR OCH FRITID</t>
  </si>
  <si>
    <t>Kulturverksamhet</t>
  </si>
  <si>
    <t>Stöd till studieorganisationer</t>
  </si>
  <si>
    <t>Allmän kulturverksamhet, övrigt</t>
  </si>
  <si>
    <t>Bibliotek</t>
  </si>
  <si>
    <t>Musikskola / kulturskola</t>
  </si>
  <si>
    <t>Kulturverksamhet totalt</t>
  </si>
  <si>
    <t>Fritidsverksamhet</t>
  </si>
  <si>
    <t>Allmän fritidsverksamhet</t>
  </si>
  <si>
    <t>Idrotts- och fritidsanläggningar</t>
  </si>
  <si>
    <t>Fritidsgårdar</t>
  </si>
  <si>
    <t>Fritidsverksamhet, totalt</t>
  </si>
  <si>
    <t xml:space="preserve"> KULTUR OCH FRITID, TOTALT</t>
  </si>
  <si>
    <t>Block 4. PEDAGOGISK VERKSAMHET</t>
  </si>
  <si>
    <t>Öppen förskola</t>
  </si>
  <si>
    <t>Förskola</t>
  </si>
  <si>
    <t>Pedagogisk omsorg</t>
  </si>
  <si>
    <t>Öppen fritidsverksamhet</t>
  </si>
  <si>
    <t>Fritidshem</t>
  </si>
  <si>
    <t>Skolväsendet för barn- o ungdom</t>
  </si>
  <si>
    <t>Gymnasieskola</t>
  </si>
  <si>
    <t xml:space="preserve">Gymnasiesärskola </t>
  </si>
  <si>
    <t>Skolväsendet för barn o ungdom totalt</t>
  </si>
  <si>
    <t>Kommunal vuxenutbildning</t>
  </si>
  <si>
    <t>Högskoleutbildning m.m.</t>
  </si>
  <si>
    <t>Verksamhetens kostnad enligt RR</t>
  </si>
  <si>
    <t>Verksamhetens intäkter enl. RR</t>
  </si>
  <si>
    <t>Verksamhetens kostnader enl. RR</t>
  </si>
  <si>
    <t>Verksamhetens intäkter enl.RR</t>
  </si>
  <si>
    <t xml:space="preserve">Svenska för invandrare </t>
  </si>
  <si>
    <t>Utbildning inkl. förskoleklass</t>
  </si>
  <si>
    <t>PEDAGOGISK VERKSAMH., TOTALT</t>
  </si>
  <si>
    <t>Block 5. VÅRD O OMSORG</t>
  </si>
  <si>
    <t>Primärvård</t>
  </si>
  <si>
    <t>Hälso- och sjukvård, övrigt exkl. hemsjukvård</t>
  </si>
  <si>
    <t xml:space="preserve">Vård, omsorg: äldre och personer med funktionsnedsättning </t>
  </si>
  <si>
    <t>Färdtjänst/riksfärdtjänst</t>
  </si>
  <si>
    <t>Öppen verksamhet</t>
  </si>
  <si>
    <t>VoO: äldre, personer m.funktionsneds., tot.</t>
  </si>
  <si>
    <t xml:space="preserve">Individ- och familjeomsorg               </t>
  </si>
  <si>
    <t>Barn och ungdomsvård</t>
  </si>
  <si>
    <t>Ekonomiskt bistånd</t>
  </si>
  <si>
    <t xml:space="preserve">Individ- och familjeomsorg, totalt </t>
  </si>
  <si>
    <t>Familjerätt och familjerådgivning</t>
  </si>
  <si>
    <t>VÅRD OCH OMSORG, TOTALT</t>
  </si>
  <si>
    <t>Block 6. SÄRSKILT RIKTADE INSATSER</t>
  </si>
  <si>
    <r>
      <t>Insatser till personer med funktionsnedsättning (exkl LSS/SFB</t>
    </r>
    <r>
      <rPr>
        <b/>
        <vertAlign val="superscript"/>
        <sz val="7"/>
        <rFont val="Helvetica"/>
        <family val="2"/>
      </rPr>
      <t>1</t>
    </r>
    <r>
      <rPr>
        <b/>
        <sz val="7"/>
        <rFont val="Helvetica"/>
        <family val="2"/>
      </rPr>
      <t>)</t>
    </r>
  </si>
  <si>
    <t xml:space="preserve"> </t>
  </si>
  <si>
    <t>Flyktingmottagande</t>
  </si>
  <si>
    <t xml:space="preserve">Arbetsmarknadsåtgärder </t>
  </si>
  <si>
    <t>SÄRSKILT RIKTADE INSATSER,TOTALT</t>
  </si>
  <si>
    <t>AFFÄRSVERKSAMHET</t>
  </si>
  <si>
    <t>Näringsliv och bostäder</t>
  </si>
  <si>
    <t>Arbetsområden och lokaler</t>
  </si>
  <si>
    <t>Kommunikationer</t>
  </si>
  <si>
    <t>Flygtrafik</t>
  </si>
  <si>
    <t>Energi, vatten och avfall</t>
  </si>
  <si>
    <t>Elförsörjning + gasförsörjning</t>
  </si>
  <si>
    <t>Energi, vatten och avfall, totalt</t>
  </si>
  <si>
    <t>SUMMA DRIFTVERKSAMHET</t>
  </si>
  <si>
    <t>Nettokostnad gemensamma verksamheter</t>
  </si>
  <si>
    <t>Kommuner</t>
  </si>
  <si>
    <t>Kommunal-</t>
  </si>
  <si>
    <t>Staten och</t>
  </si>
  <si>
    <t>Differens</t>
  </si>
  <si>
    <t xml:space="preserve"> stiftelser</t>
  </si>
  <si>
    <t>företag</t>
  </si>
  <si>
    <t>förbund</t>
  </si>
  <si>
    <t>statl.myndigh.</t>
  </si>
  <si>
    <t>[358]</t>
  </si>
  <si>
    <t xml:space="preserve">Fritidsverksamhet, totalt  </t>
  </si>
  <si>
    <t xml:space="preserve">Gymnasieskola </t>
  </si>
  <si>
    <t xml:space="preserve">Gymnasiesärskola  </t>
  </si>
  <si>
    <t xml:space="preserve">Förändring pensionsavs inkl.särsk.lönesk på p.avs </t>
  </si>
  <si>
    <t xml:space="preserve"> därav  inst. vård för vuxna med missbruksprob.</t>
  </si>
  <si>
    <t>Övrig Ifo + fam.rätt (rad 571+ 575+585)</t>
  </si>
  <si>
    <t>Arbetsmarknadsåtgärder</t>
  </si>
  <si>
    <t>Summa affärsverksamhet</t>
  </si>
  <si>
    <t>Gemensam verksamhet (inkl. lokaler)</t>
  </si>
  <si>
    <t>Brutto-</t>
  </si>
  <si>
    <t>Nyckeltal</t>
  </si>
  <si>
    <t xml:space="preserve">Interna kostnader </t>
  </si>
  <si>
    <t xml:space="preserve">Fördelning av gemensamma verksamheter </t>
  </si>
  <si>
    <t>Interna intäkter</t>
  </si>
  <si>
    <t>Balanskravsresultat</t>
  </si>
  <si>
    <t>Årets resultat enligt resultaträkningen</t>
  </si>
  <si>
    <t>intäkt</t>
  </si>
  <si>
    <t>Infrastruktur, skydd mm totalt</t>
  </si>
  <si>
    <t>Utlandet</t>
  </si>
  <si>
    <t>-/+ Nedskrivningar/återföring av nedskrivning</t>
  </si>
  <si>
    <t>Anhörigbidrag</t>
  </si>
  <si>
    <t>Vårdnadsbidrag barnomsorg</t>
  </si>
  <si>
    <t>Sjuklön</t>
  </si>
  <si>
    <t>Vatten och avlopp</t>
  </si>
  <si>
    <t>Öppen förskola och öppen fritidsverksamhet</t>
  </si>
  <si>
    <t>Summa vård och omsorg om äldre</t>
  </si>
  <si>
    <t>Daglig verksamhet enligt LSS</t>
  </si>
  <si>
    <t>Övriga insatser enligt LSS</t>
  </si>
  <si>
    <t>Öppna insatser, individuellt behovsprövad öppen vård</t>
  </si>
  <si>
    <t>Öppna insatser, bistånd som avser boende</t>
  </si>
  <si>
    <t>Öppna insatser, övriga</t>
  </si>
  <si>
    <r>
      <t xml:space="preserve">Konto </t>
    </r>
    <r>
      <rPr>
        <b/>
        <sz val="8"/>
        <rFont val="Helvetica"/>
        <family val="2"/>
      </rPr>
      <t>[354]</t>
    </r>
    <r>
      <rPr>
        <sz val="8"/>
        <rFont val="Helvetica"/>
        <family val="2"/>
      </rPr>
      <t xml:space="preserve"> kommunens ersättning </t>
    </r>
    <r>
      <rPr>
        <b/>
        <sz val="8"/>
        <rFont val="Helvetica"/>
        <family val="2"/>
      </rPr>
      <t>från</t>
    </r>
    <r>
      <rPr>
        <sz val="8"/>
        <rFont val="Helvetica"/>
        <family val="2"/>
      </rPr>
      <t xml:space="preserve"> Försäkringskassan för personlig assistent enligt SFB, tkr</t>
    </r>
  </si>
  <si>
    <r>
      <t xml:space="preserve">Konto </t>
    </r>
    <r>
      <rPr>
        <b/>
        <sz val="8"/>
        <rFont val="Helvetica"/>
        <family val="2"/>
      </rPr>
      <t>[4538]</t>
    </r>
    <r>
      <rPr>
        <sz val="8"/>
        <rFont val="Helvetica"/>
        <family val="2"/>
      </rPr>
      <t xml:space="preserve"> kommunens ersättning</t>
    </r>
    <r>
      <rPr>
        <b/>
        <sz val="8"/>
        <rFont val="Helvetica"/>
        <family val="2"/>
      </rPr>
      <t xml:space="preserve"> till</t>
    </r>
    <r>
      <rPr>
        <sz val="8"/>
        <rFont val="Helvetica"/>
        <family val="2"/>
      </rPr>
      <t xml:space="preserve"> Försäkringskassan för personlig assistent enligt  SFB, tkr</t>
    </r>
  </si>
  <si>
    <t>Familjehemsvård för barn och unga</t>
  </si>
  <si>
    <t>Summa barn- och ungdomsvård</t>
  </si>
  <si>
    <t>Övriga insatser till vuxna</t>
  </si>
  <si>
    <t>Familjerätt</t>
  </si>
  <si>
    <t>Familjerådgivning</t>
  </si>
  <si>
    <t>Summa individ- och familjeomsorg</t>
  </si>
  <si>
    <t>Därav</t>
  </si>
  <si>
    <t>inventarier</t>
  </si>
  <si>
    <t>tekn.anläggn.</t>
  </si>
  <si>
    <t>Näringsl.främj.åtg, turistv.o konsum.-ener.rådg</t>
  </si>
  <si>
    <t>17 [ej 178]</t>
  </si>
  <si>
    <t>Miljö- och hälsoskydd och alkoholtillstånd</t>
  </si>
  <si>
    <t>Totalförsvar och samhällsskydd</t>
  </si>
  <si>
    <t>Infrastruktur, skydd m.m. totalt</t>
  </si>
  <si>
    <t>Kultur och fritid, totalt</t>
  </si>
  <si>
    <r>
      <t>Utbildning</t>
    </r>
    <r>
      <rPr>
        <sz val="7"/>
        <rFont val="Helvetica"/>
        <family val="2"/>
      </rPr>
      <t xml:space="preserve">                                            </t>
    </r>
  </si>
  <si>
    <t>Gymnasieskola inkl gymnasiesärskola</t>
  </si>
  <si>
    <t>Pedagogisk verksamhet, totalt</t>
  </si>
  <si>
    <r>
      <t xml:space="preserve">Vård och omsorg </t>
    </r>
    <r>
      <rPr>
        <sz val="7"/>
        <rFont val="Helvetica"/>
        <family val="2"/>
      </rPr>
      <t xml:space="preserve">                                    
Primärvård</t>
    </r>
  </si>
  <si>
    <t>Individ o familjeomsorg totalt, familjerätt</t>
  </si>
  <si>
    <t xml:space="preserve">Vård och omsorg, totalt                                    </t>
  </si>
  <si>
    <t>Särskilt riktade insatser, totalt</t>
  </si>
  <si>
    <r>
      <t xml:space="preserve">AFFÄRSVERKSAMHET                            
</t>
    </r>
    <r>
      <rPr>
        <b/>
        <sz val="7"/>
        <rFont val="Helvetica"/>
        <family val="2"/>
      </rPr>
      <t xml:space="preserve">Näringsliv och bostäder                   </t>
    </r>
    <r>
      <rPr>
        <sz val="7"/>
        <rFont val="Helvetica"/>
        <family val="2"/>
      </rPr>
      <t>Arbetsområden och lokaler</t>
    </r>
  </si>
  <si>
    <r>
      <t>Kommunikationer</t>
    </r>
    <r>
      <rPr>
        <sz val="7"/>
        <rFont val="Helvetica"/>
        <family val="2"/>
      </rPr>
      <t xml:space="preserve">                                                         Flygtrafik</t>
    </r>
  </si>
  <si>
    <r>
      <t>Energi, vatten och avfall</t>
    </r>
    <r>
      <rPr>
        <sz val="7"/>
        <rFont val="Helvetica"/>
        <family val="2"/>
      </rPr>
      <t xml:space="preserve">                                        
El- och gasförsörjning</t>
    </r>
  </si>
  <si>
    <t>Energi, vatten och avfall,totalt</t>
  </si>
  <si>
    <t>Ange kommunens kostnad för rådgivning och annat personligt stöd enl 9 § punkt 1 LSS, tkr</t>
  </si>
  <si>
    <t>Övriga tilläggsupplysningar</t>
  </si>
  <si>
    <t>EU-bidrag (driftbidrag)</t>
  </si>
  <si>
    <t>Löner</t>
  </si>
  <si>
    <t>Boende enl. LSS för vuxna</t>
  </si>
  <si>
    <t>ägda företag</t>
  </si>
  <si>
    <t>Föreningar,</t>
  </si>
  <si>
    <t>Privata</t>
  </si>
  <si>
    <t>Utjämningssystemen o. generella statliga bidrag samt fastighetsavg.</t>
  </si>
  <si>
    <t xml:space="preserve">Summa öppna insatser vuxna </t>
  </si>
  <si>
    <t>HVB-vård för barn och unga</t>
  </si>
  <si>
    <t>Vård för vuxna med missbruksproblem</t>
  </si>
  <si>
    <r>
      <t xml:space="preserve">Övriga </t>
    </r>
    <r>
      <rPr>
        <b/>
        <sz val="7"/>
        <rFont val="Helvetica"/>
        <family val="2"/>
      </rPr>
      <t/>
    </r>
  </si>
  <si>
    <t>Rad  nr</t>
  </si>
  <si>
    <t>Summa vård för vuxna med missbruksproblem</t>
  </si>
  <si>
    <t xml:space="preserve"> därav  HVB-vård för barn och unga</t>
  </si>
  <si>
    <t xml:space="preserve">Summa öppna insatser för barn och unga </t>
  </si>
  <si>
    <t>178</t>
  </si>
  <si>
    <t>Kalkylerad PO + Kalkylerad kapitalkostn.</t>
  </si>
  <si>
    <t>Interna kostnader</t>
  </si>
  <si>
    <t>Soc.avg o pens.utbet./kostn. (56(ej 5635), 57 (ej572)</t>
  </si>
  <si>
    <t>Förändr.pens.avs.[572] o.särsk.lönesk.pens.avs.[5635]</t>
  </si>
  <si>
    <t>Jämförelsestörande kostnader</t>
  </si>
  <si>
    <t>Jämförelsestörande intäkter</t>
  </si>
  <si>
    <t>100</t>
  </si>
  <si>
    <t>110</t>
  </si>
  <si>
    <t>120</t>
  </si>
  <si>
    <t>130</t>
  </si>
  <si>
    <t>190</t>
  </si>
  <si>
    <t>215</t>
  </si>
  <si>
    <t>220</t>
  </si>
  <si>
    <t>230</t>
  </si>
  <si>
    <t>249</t>
  </si>
  <si>
    <t>250</t>
  </si>
  <si>
    <t>261</t>
  </si>
  <si>
    <t>263</t>
  </si>
  <si>
    <t>267</t>
  </si>
  <si>
    <t>270</t>
  </si>
  <si>
    <t>275</t>
  </si>
  <si>
    <t>290</t>
  </si>
  <si>
    <t>310</t>
  </si>
  <si>
    <t>315</t>
  </si>
  <si>
    <t>320</t>
  </si>
  <si>
    <t>330</t>
  </si>
  <si>
    <t>339</t>
  </si>
  <si>
    <t>300</t>
  </si>
  <si>
    <t>340</t>
  </si>
  <si>
    <t>350</t>
  </si>
  <si>
    <t>359</t>
  </si>
  <si>
    <t>390</t>
  </si>
  <si>
    <t>400</t>
  </si>
  <si>
    <t>407</t>
  </si>
  <si>
    <t>412</t>
  </si>
  <si>
    <t>415</t>
  </si>
  <si>
    <t>425</t>
  </si>
  <si>
    <t>430</t>
  </si>
  <si>
    <t>443</t>
  </si>
  <si>
    <t>450</t>
  </si>
  <si>
    <t>453</t>
  </si>
  <si>
    <t>469</t>
  </si>
  <si>
    <t>474</t>
  </si>
  <si>
    <t>475</t>
  </si>
  <si>
    <t>476</t>
  </si>
  <si>
    <t>478</t>
  </si>
  <si>
    <t>480</t>
  </si>
  <si>
    <t>490</t>
  </si>
  <si>
    <t>500</t>
  </si>
  <si>
    <t>505</t>
  </si>
  <si>
    <t>513</t>
  </si>
  <si>
    <t>530</t>
  </si>
  <si>
    <t>600</t>
  </si>
  <si>
    <t>610</t>
  </si>
  <si>
    <t>690</t>
  </si>
  <si>
    <t>790</t>
  </si>
  <si>
    <t>800</t>
  </si>
  <si>
    <t>805</t>
  </si>
  <si>
    <t>810</t>
  </si>
  <si>
    <t>815</t>
  </si>
  <si>
    <t>820</t>
  </si>
  <si>
    <t>830</t>
  </si>
  <si>
    <t>832</t>
  </si>
  <si>
    <t>834</t>
  </si>
  <si>
    <t>840</t>
  </si>
  <si>
    <t>855</t>
  </si>
  <si>
    <t>860</t>
  </si>
  <si>
    <t>865</t>
  </si>
  <si>
    <t>870</t>
  </si>
  <si>
    <t>880</t>
  </si>
  <si>
    <t>890</t>
  </si>
  <si>
    <t>900</t>
  </si>
  <si>
    <t>910</t>
  </si>
  <si>
    <t>920</t>
  </si>
  <si>
    <t>950</t>
  </si>
  <si>
    <t>010</t>
  </si>
  <si>
    <t>020</t>
  </si>
  <si>
    <t>025</t>
  </si>
  <si>
    <t>030</t>
  </si>
  <si>
    <t>040</t>
  </si>
  <si>
    <t>050</t>
  </si>
  <si>
    <t>060</t>
  </si>
  <si>
    <t>070</t>
  </si>
  <si>
    <t>080</t>
  </si>
  <si>
    <t>115</t>
  </si>
  <si>
    <t>015</t>
  </si>
  <si>
    <t>021</t>
  </si>
  <si>
    <t>023</t>
  </si>
  <si>
    <t>036</t>
  </si>
  <si>
    <t>037</t>
  </si>
  <si>
    <t>033</t>
  </si>
  <si>
    <t>032</t>
  </si>
  <si>
    <t>031</t>
  </si>
  <si>
    <t>034</t>
  </si>
  <si>
    <t>035</t>
  </si>
  <si>
    <t>039</t>
  </si>
  <si>
    <t>045</t>
  </si>
  <si>
    <t>046</t>
  </si>
  <si>
    <t>051</t>
  </si>
  <si>
    <t>055</t>
  </si>
  <si>
    <t>053</t>
  </si>
  <si>
    <t>054</t>
  </si>
  <si>
    <t>056</t>
  </si>
  <si>
    <t>058</t>
  </si>
  <si>
    <t>065</t>
  </si>
  <si>
    <t>069</t>
  </si>
  <si>
    <t>999</t>
  </si>
  <si>
    <t>052</t>
  </si>
  <si>
    <t>066</t>
  </si>
  <si>
    <t>073</t>
  </si>
  <si>
    <t>074</t>
  </si>
  <si>
    <t>075</t>
  </si>
  <si>
    <t>076</t>
  </si>
  <si>
    <t>071</t>
  </si>
  <si>
    <t>077</t>
  </si>
  <si>
    <t>078</t>
  </si>
  <si>
    <t>079</t>
  </si>
  <si>
    <t>081</t>
  </si>
  <si>
    <t>082</t>
  </si>
  <si>
    <t>083</t>
  </si>
  <si>
    <t>084</t>
  </si>
  <si>
    <t>085</t>
  </si>
  <si>
    <t>089</t>
  </si>
  <si>
    <t>090</t>
  </si>
  <si>
    <t>086</t>
  </si>
  <si>
    <t>091</t>
  </si>
  <si>
    <t>092</t>
  </si>
  <si>
    <t>093</t>
  </si>
  <si>
    <t>094</t>
  </si>
  <si>
    <t>095</t>
  </si>
  <si>
    <t>096</t>
  </si>
  <si>
    <t>097</t>
  </si>
  <si>
    <t>098</t>
  </si>
  <si>
    <t>099</t>
  </si>
  <si>
    <t>107</t>
  </si>
  <si>
    <t>108</t>
  </si>
  <si>
    <t>121</t>
  </si>
  <si>
    <t>122</t>
  </si>
  <si>
    <t>140</t>
  </si>
  <si>
    <t>150</t>
  </si>
  <si>
    <t>160</t>
  </si>
  <si>
    <t>088</t>
  </si>
  <si>
    <t>101</t>
  </si>
  <si>
    <t>239</t>
  </si>
  <si>
    <t>269</t>
  </si>
  <si>
    <t>459</t>
  </si>
  <si>
    <t>479</t>
  </si>
  <si>
    <t>580</t>
  </si>
  <si>
    <t>590</t>
  </si>
  <si>
    <t>- Avskrivningar</t>
  </si>
  <si>
    <t>+/- Omklassificeringar</t>
  </si>
  <si>
    <t>+/- Övriga förändringar</t>
  </si>
  <si>
    <t>990</t>
  </si>
  <si>
    <t>991</t>
  </si>
  <si>
    <t>992</t>
  </si>
  <si>
    <t>993</t>
  </si>
  <si>
    <t>994</t>
  </si>
  <si>
    <t>995</t>
  </si>
  <si>
    <t>Eget kapital, avsättningar och skulder</t>
  </si>
  <si>
    <t>Verksamhetens intäkter</t>
  </si>
  <si>
    <t>Verksamhetens kostnader</t>
  </si>
  <si>
    <t>Kommunal regi</t>
  </si>
  <si>
    <t>Därav pedagogisk verksamhet och omsorg (kostnad för personal)</t>
  </si>
  <si>
    <t>Förskola, personalkostnad andel av total kostnad kommunal regi.</t>
  </si>
  <si>
    <t>Övr periodiseringar</t>
  </si>
  <si>
    <t>381, 382, 384</t>
  </si>
  <si>
    <t>Övriga insatser i ordinärt boende</t>
  </si>
  <si>
    <t>Återföring av nedskrivning av finansiella tillgångar</t>
  </si>
  <si>
    <t>IB Anläggningstillgångar</t>
  </si>
  <si>
    <t>UB Anläggningstillgångar</t>
  </si>
  <si>
    <t>Insatser till personer med funktionsnedsättning (ej LSS/SFB)</t>
  </si>
  <si>
    <t>Insatser enligt LSS/SFB</t>
  </si>
  <si>
    <t>Fritidshem, personalkostnad andel av total kostnad kommunal regi.</t>
  </si>
  <si>
    <t>Förskoleklass, personalkostnad andel av total kostnad kommunal regi.</t>
  </si>
  <si>
    <t>Grundskola</t>
  </si>
  <si>
    <t>Grundläggande vuxenutbildning</t>
  </si>
  <si>
    <t>Gymnasial vuxen- och påbyggnadsutbildning</t>
  </si>
  <si>
    <t>251</t>
  </si>
  <si>
    <t>255</t>
  </si>
  <si>
    <t>257</t>
  </si>
  <si>
    <t>351</t>
  </si>
  <si>
    <t>355</t>
  </si>
  <si>
    <t>357</t>
  </si>
  <si>
    <t>35</t>
  </si>
  <si>
    <t>401</t>
  </si>
  <si>
    <t>402</t>
  </si>
  <si>
    <t>404</t>
  </si>
  <si>
    <t>405</t>
  </si>
  <si>
    <t>406</t>
  </si>
  <si>
    <t>408</t>
  </si>
  <si>
    <t>4081</t>
  </si>
  <si>
    <t>431</t>
  </si>
  <si>
    <t>435</t>
  </si>
  <si>
    <t>439</t>
  </si>
  <si>
    <t>07</t>
  </si>
  <si>
    <t>40</t>
  </si>
  <si>
    <t>Kontroll mot driftrredovisningen</t>
  </si>
  <si>
    <t>43</t>
  </si>
  <si>
    <t>432</t>
  </si>
  <si>
    <t>434</t>
  </si>
  <si>
    <t>436</t>
  </si>
  <si>
    <t>437</t>
  </si>
  <si>
    <t>438</t>
  </si>
  <si>
    <t>4381</t>
  </si>
  <si>
    <t>50</t>
  </si>
  <si>
    <t>501</t>
  </si>
  <si>
    <t>502</t>
  </si>
  <si>
    <t>504</t>
  </si>
  <si>
    <t>506</t>
  </si>
  <si>
    <t>507</t>
  </si>
  <si>
    <t>508</t>
  </si>
  <si>
    <t>5081</t>
  </si>
  <si>
    <t>53</t>
  </si>
  <si>
    <t>531</t>
  </si>
  <si>
    <t>532</t>
  </si>
  <si>
    <t>534</t>
  </si>
  <si>
    <t>535</t>
  </si>
  <si>
    <t>536</t>
  </si>
  <si>
    <t>537</t>
  </si>
  <si>
    <t>538</t>
  </si>
  <si>
    <t>5381</t>
  </si>
  <si>
    <t>70</t>
  </si>
  <si>
    <t>701</t>
  </si>
  <si>
    <t>702</t>
  </si>
  <si>
    <t>706</t>
  </si>
  <si>
    <t>707</t>
  </si>
  <si>
    <t>708</t>
  </si>
  <si>
    <t>7081</t>
  </si>
  <si>
    <t>72</t>
  </si>
  <si>
    <t>721</t>
  </si>
  <si>
    <t>722</t>
  </si>
  <si>
    <t>726</t>
  </si>
  <si>
    <t>727</t>
  </si>
  <si>
    <t>728</t>
  </si>
  <si>
    <t>7281</t>
  </si>
  <si>
    <t>520</t>
  </si>
  <si>
    <t>510</t>
  </si>
  <si>
    <t>Hälso- o sjukvård, primärvård  (rad 500+505)</t>
  </si>
  <si>
    <t>Övrig utbildning (rad 475+476+478)</t>
  </si>
  <si>
    <t xml:space="preserve">Institutionsvård vuxna </t>
  </si>
  <si>
    <t>569</t>
  </si>
  <si>
    <t>559</t>
  </si>
  <si>
    <t>575</t>
  </si>
  <si>
    <t>571</t>
  </si>
  <si>
    <t xml:space="preserve">Korttidsboende </t>
  </si>
  <si>
    <t>Hemtjänst i ordinärt  boende</t>
  </si>
  <si>
    <t>Dagverksamhet,  ordinärt boende</t>
  </si>
  <si>
    <t>Hemtjänst i ordinärt boende</t>
  </si>
  <si>
    <t>Boendestöd i ordinärt boende</t>
  </si>
  <si>
    <t>585</t>
  </si>
  <si>
    <t>103</t>
  </si>
  <si>
    <t>Summering</t>
  </si>
  <si>
    <t>Försäljning av exploateringsfastigheter, tomträtter</t>
  </si>
  <si>
    <r>
      <t>Insatser enligt LSS/SFB</t>
    </r>
    <r>
      <rPr>
        <b/>
        <vertAlign val="superscript"/>
        <sz val="7"/>
        <rFont val="Helvetica"/>
        <family val="2"/>
      </rPr>
      <t>1</t>
    </r>
  </si>
  <si>
    <t xml:space="preserve">Insatser till personer med funktionneds. </t>
  </si>
  <si>
    <t>Övriga periodiseringar</t>
  </si>
  <si>
    <t>901</t>
  </si>
  <si>
    <t>Övrigt</t>
  </si>
  <si>
    <t>Verksamhet/skolform</t>
  </si>
  <si>
    <t/>
  </si>
  <si>
    <t>Landsting</t>
  </si>
  <si>
    <t>0799</t>
  </si>
  <si>
    <t>07991</t>
  </si>
  <si>
    <t>Därav avgifter för verksamhet i enskild regi</t>
  </si>
  <si>
    <t>Nyckeltal kr/inv</t>
  </si>
  <si>
    <t>Däravposter till kommunernas tillgångar</t>
  </si>
  <si>
    <t>Externa lokalhyror</t>
  </si>
  <si>
    <t>Interna köp och övriga interna kostnader</t>
  </si>
  <si>
    <t>Fördelad gemensam verksamhet</t>
  </si>
  <si>
    <t>Externa bostadshyror o lokalhyror</t>
  </si>
  <si>
    <t>Övriga externa intäkter</t>
  </si>
  <si>
    <t>Bruttokostnad  ./. Interna intäkter och försäljning till andra kommuner och landsting</t>
  </si>
  <si>
    <t>Föreningar stiftelser</t>
  </si>
  <si>
    <t>Privata företag</t>
  </si>
  <si>
    <t>Staten och statl. myndigheter</t>
  </si>
  <si>
    <t>Förs.av versamh. till landsting</t>
  </si>
  <si>
    <t>Driftbidrag från EU</t>
  </si>
  <si>
    <t>Markhyror och bidrag</t>
  </si>
  <si>
    <t>BRUTTO-KOSTNAD</t>
  </si>
  <si>
    <t>BRUTTO-INTÄKT</t>
  </si>
  <si>
    <t>Rad- nr</t>
  </si>
  <si>
    <t>440</t>
  </si>
  <si>
    <t>Förskoleklass</t>
  </si>
  <si>
    <t>Särskilt boende/annat boende</t>
  </si>
  <si>
    <t>Realiserade valutakursvinster</t>
  </si>
  <si>
    <t>986</t>
  </si>
  <si>
    <t>987</t>
  </si>
  <si>
    <t>988</t>
  </si>
  <si>
    <t>989</t>
  </si>
  <si>
    <t>470</t>
  </si>
  <si>
    <t>472</t>
  </si>
  <si>
    <t>Upplupna skatteintäkter</t>
  </si>
  <si>
    <t>Vård och omsorg om äldre</t>
  </si>
  <si>
    <t xml:space="preserve">Vård för vuxna med missbruksproblem </t>
  </si>
  <si>
    <t xml:space="preserve">Barn- och ungdomsvård </t>
  </si>
  <si>
    <t xml:space="preserve">Familjerätt och familjerådgivning </t>
  </si>
  <si>
    <t>Kommun-</t>
  </si>
  <si>
    <t>+ Reavinst</t>
  </si>
  <si>
    <t>Kommunägda företag</t>
  </si>
  <si>
    <t>Familjehemsvård för vuxna</t>
  </si>
  <si>
    <t>Därav försäljn. av verksamhet till andra kommuner</t>
  </si>
  <si>
    <t xml:space="preserve"> Avgifter</t>
  </si>
  <si>
    <t>Kalkylerad personal-omkostnad</t>
  </si>
  <si>
    <t>Kalkylerade kapital-kostnader</t>
  </si>
  <si>
    <t>540</t>
  </si>
  <si>
    <t>519</t>
  </si>
  <si>
    <t>Insatser till personer med funktionsnedsättning totalt (inkl LSS)</t>
  </si>
  <si>
    <t>Från driftredovis-ningen</t>
  </si>
  <si>
    <t xml:space="preserve"> Undervisning</t>
  </si>
  <si>
    <t>Skolskjuts, reseersättning o inackordering</t>
  </si>
  <si>
    <t xml:space="preserve"> Fördelad gemensam verksamhet</t>
  </si>
  <si>
    <t>Undervisning</t>
  </si>
  <si>
    <t>Differens grundskolan</t>
  </si>
  <si>
    <t>Differens grundsärskolan</t>
  </si>
  <si>
    <t>Differens gymnasieskolan</t>
  </si>
  <si>
    <t>Differens gymnasiesärskolan</t>
  </si>
  <si>
    <t>Differens grundläggande vuxenutbildning</t>
  </si>
  <si>
    <t>Differens gymnasial vuxenutbildning</t>
  </si>
  <si>
    <t>Differens mot drift-  redovisningen</t>
  </si>
  <si>
    <t>Vård och omsorg om äldre (från motpart)</t>
  </si>
  <si>
    <t>inv 21-64 år</t>
  </si>
  <si>
    <t>Summa familjerätt och familjerådgivning</t>
  </si>
  <si>
    <t>inv 0-20 år</t>
  </si>
  <si>
    <t>invånare</t>
  </si>
  <si>
    <t>inv 0-17 år</t>
  </si>
  <si>
    <t>inv 18-69 år</t>
  </si>
  <si>
    <t>Därav undervisning (kostnad för personal)</t>
  </si>
  <si>
    <t>Finansiella nyckeltal</t>
  </si>
  <si>
    <t>Likvida medel i % av externa driftkostnader</t>
  </si>
  <si>
    <t>Försäljn.av anl.tillg. i % av skatteintäkter, generella statsbidrag o utj.</t>
  </si>
  <si>
    <t>Andel investeringar som finansieras med försäljn. av anl.tillg.</t>
  </si>
  <si>
    <t>Måltider</t>
  </si>
  <si>
    <t>Förskola, avgiftsfinansierringsgrad %</t>
  </si>
  <si>
    <t>F</t>
  </si>
  <si>
    <t>H</t>
  </si>
  <si>
    <t>I</t>
  </si>
  <si>
    <t>Fritidshem, avgiftsfinansieringsgrad</t>
  </si>
  <si>
    <t>Soliditet, % enligt balansräkningen</t>
  </si>
  <si>
    <t>Soliditet, % inkl. pensionsåtaganden före 1998</t>
  </si>
  <si>
    <t>Långfristiga skulder exkl. utlåning till kommunägda bolag</t>
  </si>
  <si>
    <t>Verksamhetens nettokostnader / Skatteintäkter, generella statsbidrag och utj.</t>
  </si>
  <si>
    <t>Finansnetto / Skatteintäkter, generella statsbidrag och utjämning</t>
  </si>
  <si>
    <t>Förutbet. kostnader o uppl. Intäkter, exkl.uppl skatteint.</t>
  </si>
  <si>
    <t>Resultat före extraordinära poster / Skatteintäkter, generella statsbidrag och utj.</t>
  </si>
  <si>
    <t>Verksamhetens självfinansieringsgrad</t>
  </si>
  <si>
    <t>Förs. expl.fastigheter, tomträtter [37]</t>
  </si>
  <si>
    <t>Interna lokal-kostnader</t>
  </si>
  <si>
    <t>Utlämnade lån till koncernföretag  (rad 088)</t>
  </si>
  <si>
    <t>572, 5635</t>
  </si>
  <si>
    <t>56 [ej 5635]</t>
  </si>
  <si>
    <t xml:space="preserve">Därav från gemensamma verksamheter  </t>
  </si>
  <si>
    <t xml:space="preserve">Boende enligt LSS för barn och unga </t>
  </si>
  <si>
    <t>Förskola, fritidshem och annan pedagogisk verksamhet</t>
  </si>
  <si>
    <t>Därav lokalkostnader</t>
  </si>
  <si>
    <t>Lokalkostnader</t>
  </si>
  <si>
    <t>Invånarantal 19 - 64</t>
  </si>
  <si>
    <t>Förskola, totalt</t>
  </si>
  <si>
    <t>Fritidshem, totalt</t>
  </si>
  <si>
    <t>Förskoleklass, totalt</t>
  </si>
  <si>
    <t>Grundskola, totalt</t>
  </si>
  <si>
    <t>Gymnasieskola, totalt</t>
  </si>
  <si>
    <t>Gymnasiesärskola, totalt</t>
  </si>
  <si>
    <t>Specificering av vissa intäkter (i kol.övr. externa intäkter)</t>
  </si>
  <si>
    <t>Grundläggande vuxenutbildning, totalt</t>
  </si>
  <si>
    <t>Gymnasial vuxen- och påbyggnadsutbildning, totalt</t>
  </si>
  <si>
    <t>1321</t>
  </si>
  <si>
    <t>Rad nr</t>
  </si>
  <si>
    <t>5731</t>
  </si>
  <si>
    <t>5732</t>
  </si>
  <si>
    <t>07911</t>
  </si>
  <si>
    <t>07912</t>
  </si>
  <si>
    <t>07951</t>
  </si>
  <si>
    <t>2599</t>
  </si>
  <si>
    <t>25991</t>
  </si>
  <si>
    <t>253</t>
  </si>
  <si>
    <t>3521</t>
  </si>
  <si>
    <t>3522</t>
  </si>
  <si>
    <t>4091</t>
  </si>
  <si>
    <t>4092</t>
  </si>
  <si>
    <t>4094</t>
  </si>
  <si>
    <t>4391</t>
  </si>
  <si>
    <t>4392</t>
  </si>
  <si>
    <t>4393</t>
  </si>
  <si>
    <t>4394</t>
  </si>
  <si>
    <t>3524</t>
  </si>
  <si>
    <t>2524</t>
  </si>
  <si>
    <t>0724</t>
  </si>
  <si>
    <t>5091</t>
  </si>
  <si>
    <t>5092</t>
  </si>
  <si>
    <t>5093</t>
  </si>
  <si>
    <t>5094</t>
  </si>
  <si>
    <t>5391</t>
  </si>
  <si>
    <t>5392</t>
  </si>
  <si>
    <t>5393</t>
  </si>
  <si>
    <t>5394</t>
  </si>
  <si>
    <t>Beteckning</t>
  </si>
  <si>
    <t>Grundsärskola, totalt</t>
  </si>
  <si>
    <t>87</t>
  </si>
  <si>
    <t>25911</t>
  </si>
  <si>
    <t>25912</t>
  </si>
  <si>
    <t>25951</t>
  </si>
  <si>
    <t>88</t>
  </si>
  <si>
    <t>35911</t>
  </si>
  <si>
    <t>35912</t>
  </si>
  <si>
    <t>35951</t>
  </si>
  <si>
    <t>89</t>
  </si>
  <si>
    <t>80</t>
  </si>
  <si>
    <t>40911</t>
  </si>
  <si>
    <t>40912</t>
  </si>
  <si>
    <t>40931</t>
  </si>
  <si>
    <t>90</t>
  </si>
  <si>
    <t>81</t>
  </si>
  <si>
    <t>43911</t>
  </si>
  <si>
    <t>43912</t>
  </si>
  <si>
    <t>43921</t>
  </si>
  <si>
    <t>43931</t>
  </si>
  <si>
    <t>91</t>
  </si>
  <si>
    <t>82</t>
  </si>
  <si>
    <t>50911</t>
  </si>
  <si>
    <t>50912</t>
  </si>
  <si>
    <t>50921</t>
  </si>
  <si>
    <t>50931</t>
  </si>
  <si>
    <t>92</t>
  </si>
  <si>
    <t>83</t>
  </si>
  <si>
    <t>53911</t>
  </si>
  <si>
    <t>53912</t>
  </si>
  <si>
    <t>53921</t>
  </si>
  <si>
    <t>53931</t>
  </si>
  <si>
    <t>Grundsärskola</t>
  </si>
  <si>
    <r>
      <t>Summa insatser till personer med funktionsnedsättning (exkl LSS/SFB</t>
    </r>
    <r>
      <rPr>
        <b/>
        <vertAlign val="superscript"/>
        <sz val="7"/>
        <rFont val="Helvetica"/>
        <family val="2"/>
      </rPr>
      <t>1</t>
    </r>
    <r>
      <rPr>
        <b/>
        <sz val="7"/>
        <rFont val="Helvetica"/>
        <family val="2"/>
      </rPr>
      <t>)</t>
    </r>
  </si>
  <si>
    <r>
      <t xml:space="preserve">Insatser enligt LSS/SFB </t>
    </r>
    <r>
      <rPr>
        <b/>
        <sz val="7"/>
        <rFont val="Calibri"/>
        <family val="2"/>
      </rPr>
      <t>¹</t>
    </r>
    <r>
      <rPr>
        <b/>
        <vertAlign val="superscript"/>
        <sz val="7"/>
        <rFont val="Calibri"/>
        <family val="2"/>
      </rPr>
      <t>,2</t>
    </r>
    <r>
      <rPr>
        <b/>
        <sz val="7"/>
        <rFont val="Calibri"/>
        <family val="2"/>
      </rPr>
      <t>)</t>
    </r>
  </si>
  <si>
    <r>
      <t>Personlig assistans enl. LSS/SFB</t>
    </r>
    <r>
      <rPr>
        <vertAlign val="superscript"/>
        <sz val="7"/>
        <rFont val="Helvetica"/>
        <family val="2"/>
      </rPr>
      <t>1</t>
    </r>
  </si>
  <si>
    <r>
      <t>Summa insatser enligt LSS/SFB</t>
    </r>
    <r>
      <rPr>
        <b/>
        <vertAlign val="superscript"/>
        <sz val="7"/>
        <rFont val="Helvetica"/>
        <family val="2"/>
      </rPr>
      <t>1</t>
    </r>
  </si>
  <si>
    <t>2) Kostnaderna och intäkterna för LSS bruttoredovisas liksom övriga verksamheter</t>
  </si>
  <si>
    <t>Skattekostnader/bokslutsdispositioner</t>
  </si>
  <si>
    <t>1) De bestämmelser om personlig assistans som tidigare fanns i LASS är fr.o.m. år 2011 inordnade i Socialförsäkringsbalken (SFB, 51 kap.).</t>
  </si>
  <si>
    <r>
      <t>Omsättningstillgångar</t>
    </r>
    <r>
      <rPr>
        <sz val="7"/>
        <rFont val="Helvetica"/>
        <family val="2"/>
      </rPr>
      <t xml:space="preserve">                                       </t>
    </r>
  </si>
  <si>
    <t>C</t>
  </si>
  <si>
    <t>E</t>
  </si>
  <si>
    <t>G</t>
  </si>
  <si>
    <t>VKV</t>
  </si>
  <si>
    <t>VKVK</t>
  </si>
  <si>
    <t>D</t>
  </si>
  <si>
    <t>Rad-</t>
  </si>
  <si>
    <t>Text</t>
  </si>
  <si>
    <t>Kommunen</t>
  </si>
  <si>
    <t>nr</t>
  </si>
  <si>
    <t>Verksamhetens nettokostnader</t>
  </si>
  <si>
    <t>Skatteintäkter</t>
  </si>
  <si>
    <t>Finansiella intäkter</t>
  </si>
  <si>
    <t>Finansiella kostnader</t>
  </si>
  <si>
    <t>Resultat före extraordinära poster</t>
  </si>
  <si>
    <t>Extraordinära intäkter</t>
  </si>
  <si>
    <t>Extraordinära kostnader</t>
  </si>
  <si>
    <t>Årets resultat</t>
  </si>
  <si>
    <t>Rad</t>
  </si>
  <si>
    <t>Anläggningstillgångar</t>
  </si>
  <si>
    <t>Immateriella anläggningstillgångar</t>
  </si>
  <si>
    <t>Mark, byggn. och tekn. anläggningar</t>
  </si>
  <si>
    <t>Maskiner och inventarier</t>
  </si>
  <si>
    <t>Summa materiella anläggningstillg.</t>
  </si>
  <si>
    <t>Aktier och andelar, bostadsrätter</t>
  </si>
  <si>
    <t>Långfristiga fordringar</t>
  </si>
  <si>
    <t>Summa finansiella anläggningstillg.</t>
  </si>
  <si>
    <t>Summering av verksamhetens intäkter</t>
  </si>
  <si>
    <t>Summering av verksamhetens kostnader</t>
  </si>
  <si>
    <t>SUMMA ANLÄGGNINGSTILLGÅNGAR</t>
  </si>
  <si>
    <t>15</t>
  </si>
  <si>
    <t>Kundfordringar</t>
  </si>
  <si>
    <t>16</t>
  </si>
  <si>
    <t>Diverse kortfristiga fordringar</t>
  </si>
  <si>
    <t>165</t>
  </si>
  <si>
    <t>182</t>
  </si>
  <si>
    <t>Aktier och andelar</t>
  </si>
  <si>
    <t>183</t>
  </si>
  <si>
    <t>Värdereglering av kortfristiga placeringar</t>
  </si>
  <si>
    <t>Obligationer, förlagsbevis m.m.</t>
  </si>
  <si>
    <t>184</t>
  </si>
  <si>
    <t>Certifikat</t>
  </si>
  <si>
    <t>189</t>
  </si>
  <si>
    <t>Kassa och bank (likvida medel)</t>
  </si>
  <si>
    <t>14-19</t>
  </si>
  <si>
    <t>SUMMA OMSÄTTNINGSTILLG.</t>
  </si>
  <si>
    <t>10-19</t>
  </si>
  <si>
    <t>SUMMA TILLGÅNGAR</t>
  </si>
  <si>
    <t>Eget kapital, ingående värde</t>
  </si>
  <si>
    <t>221</t>
  </si>
  <si>
    <t>222</t>
  </si>
  <si>
    <t>225</t>
  </si>
  <si>
    <t>228</t>
  </si>
  <si>
    <t>Andra avsättningar</t>
  </si>
  <si>
    <t>2281</t>
  </si>
  <si>
    <t>SUMMA AVSÄTTNINGAR</t>
  </si>
  <si>
    <t>Lån i banker och kreditinstitut</t>
  </si>
  <si>
    <t>Lån i utländsk valuta</t>
  </si>
  <si>
    <t>Långfristiga skulder till koncernföretag</t>
  </si>
  <si>
    <t>237</t>
  </si>
  <si>
    <t>Långfristig leasingskuld</t>
  </si>
  <si>
    <t>Långfristiga skulder, totalt</t>
  </si>
  <si>
    <t>24</t>
  </si>
  <si>
    <t>Kortfristiga skulder till kreditinstitut och kunder</t>
  </si>
  <si>
    <t>25</t>
  </si>
  <si>
    <t>Leverantörsskulder</t>
  </si>
  <si>
    <t>Skulder till staten</t>
  </si>
  <si>
    <t>292</t>
  </si>
  <si>
    <t>Upplupna semesterlöner</t>
  </si>
  <si>
    <t>2933</t>
  </si>
  <si>
    <t>296</t>
  </si>
  <si>
    <t>Not 1</t>
  </si>
  <si>
    <t>Not 2</t>
  </si>
  <si>
    <t>Övriga kortfristiga skulder</t>
  </si>
  <si>
    <t>24-29</t>
  </si>
  <si>
    <t>Kortfristiga skulder, totalt</t>
  </si>
  <si>
    <t>23-29</t>
  </si>
  <si>
    <t>SUMMA SKULDER</t>
  </si>
  <si>
    <t>20,22-29</t>
  </si>
  <si>
    <t>SKULDER, AVSÄTT.O EGET KAPITAL</t>
  </si>
  <si>
    <t>Borgen o andra förpliktelser gentemot kommunala bostadsföretag</t>
  </si>
  <si>
    <t>Borgen o andra förplikt. gentemot övriga bostadsföretag/föreningar</t>
  </si>
  <si>
    <t>Borgen o andra förpliktelser gentemot övriga kommunala företag</t>
  </si>
  <si>
    <t>SUMMA ANSVARSFÖRBINDELSER</t>
  </si>
  <si>
    <t>Förrättnings- och granskningsavgifter</t>
  </si>
  <si>
    <t>Taxor och avgifter, övrigt</t>
  </si>
  <si>
    <t>Taxor och avgifter</t>
  </si>
  <si>
    <t>Bostads- och lokalhyror</t>
  </si>
  <si>
    <t>Markhyror och arrenden mm.</t>
  </si>
  <si>
    <t>343-349</t>
  </si>
  <si>
    <t>Hyror och arrenden</t>
  </si>
  <si>
    <t>Bidrag</t>
  </si>
  <si>
    <t>Bidrag till enskilda</t>
  </si>
  <si>
    <t>Bostadssociala bidrag</t>
  </si>
  <si>
    <t>Löner mm.</t>
  </si>
  <si>
    <t>Personal</t>
  </si>
  <si>
    <t>Livsmedel</t>
  </si>
  <si>
    <t>Kontorsmaterial</t>
  </si>
  <si>
    <t>Material, övrigt</t>
  </si>
  <si>
    <t>Material</t>
  </si>
  <si>
    <t>Tillfälligt inhyrd personal</t>
  </si>
  <si>
    <t>Hyra / leasing av anläggningstillgångar</t>
  </si>
  <si>
    <t>Tele-, It-kommunikation o. postbefordran</t>
  </si>
  <si>
    <t>Transporter</t>
  </si>
  <si>
    <t>Lokalhyror</t>
  </si>
  <si>
    <t>Markhyror</t>
  </si>
  <si>
    <t>Tjänster, övrigt</t>
  </si>
  <si>
    <t>Tjänster, inkl köp av verksamhet</t>
  </si>
  <si>
    <t>Allmän kommunalskatt</t>
  </si>
  <si>
    <t>Inkomstutjämningsavgift</t>
  </si>
  <si>
    <t>Regleringsavgift</t>
  </si>
  <si>
    <t>Kostnadsutjämningsavgift</t>
  </si>
  <si>
    <t>Avgift till LSS-utjämningen</t>
  </si>
  <si>
    <t>Avgifter i utjämningssystemen</t>
  </si>
  <si>
    <t>Inkomstutjämningsbidrag</t>
  </si>
  <si>
    <t>Strukturbidrag</t>
  </si>
  <si>
    <t>Införandebidrag</t>
  </si>
  <si>
    <t>Regleringsbidrag</t>
  </si>
  <si>
    <t>Kostnadsutjämningsbidrag</t>
  </si>
  <si>
    <t>Bidrag för LSS-utjämning</t>
  </si>
  <si>
    <t>Bidrag från utjämningssystemen och generella statliga bidrag</t>
  </si>
  <si>
    <t>Utdelning på aktier och andelar</t>
  </si>
  <si>
    <t>Ränteintäkter</t>
  </si>
  <si>
    <t>Ränteintäkter på kundfordringar</t>
  </si>
  <si>
    <t>855, 857</t>
  </si>
  <si>
    <t>Räntekostn. för lev.skulder o bankkostnader</t>
  </si>
  <si>
    <t>U</t>
  </si>
  <si>
    <t>V</t>
  </si>
  <si>
    <t>W</t>
  </si>
  <si>
    <t>X</t>
  </si>
  <si>
    <t>Z</t>
  </si>
  <si>
    <t>ZF</t>
  </si>
  <si>
    <t>ZM</t>
  </si>
  <si>
    <t>Y</t>
  </si>
  <si>
    <t>YJ</t>
  </si>
  <si>
    <t>Koncernen</t>
  </si>
  <si>
    <t xml:space="preserve">Orealiserade valutakursvinster  </t>
  </si>
  <si>
    <t>Nedskrivning av finansiella tillgångar</t>
  </si>
  <si>
    <t>Tillgångar</t>
  </si>
  <si>
    <t>Förråd, lager, exploateringsfastigh.</t>
  </si>
  <si>
    <t>1351</t>
  </si>
  <si>
    <t>246</t>
  </si>
  <si>
    <t>Årets resultat / Skatteintäkter, generella statsbidrag och utj.</t>
  </si>
  <si>
    <t>Investeringar i % av skatteintäkter, generella statsbidrag och utj.</t>
  </si>
  <si>
    <t>Grundskola inkl förskoleklass och grundsärskola</t>
  </si>
  <si>
    <t xml:space="preserve">Bidrag från utjämningssystemen och generella </t>
  </si>
  <si>
    <t>statliga bidrag</t>
  </si>
  <si>
    <t xml:space="preserve">Realiserade valutakursförluster </t>
  </si>
  <si>
    <t>Orealiserade valutakursförluster</t>
  </si>
  <si>
    <t>Övr. finans. intäkter</t>
  </si>
  <si>
    <t>Övr. finans. kostn.</t>
  </si>
  <si>
    <t xml:space="preserve">Verksamhetens intäkter </t>
  </si>
  <si>
    <t xml:space="preserve">Verksamhetens kostnader </t>
  </si>
  <si>
    <t>Däravposter till verksamhetens kostnader</t>
  </si>
  <si>
    <t>Förändring</t>
  </si>
  <si>
    <t>procent</t>
  </si>
  <si>
    <t>Borgensförbindelser och övriga ansvarsförbindelser</t>
  </si>
  <si>
    <t xml:space="preserve">Förskola, fritidshem o annan ped.verksamhet totalt </t>
  </si>
  <si>
    <t>Förskola, fritidshem o annan pedagogisk verksamhet, totalt</t>
  </si>
  <si>
    <t xml:space="preserve">Korttidsboende / Korttidsvård </t>
  </si>
  <si>
    <t>Elevhälsa</t>
  </si>
  <si>
    <t>563 [ej 5635]</t>
  </si>
  <si>
    <t>BAS 13</t>
  </si>
  <si>
    <t>del av 15</t>
  </si>
  <si>
    <t>del av 25</t>
  </si>
  <si>
    <t>30, 369</t>
  </si>
  <si>
    <t>Övriga hyror och arrenden</t>
  </si>
  <si>
    <t>Däravposter till verksamhetens intäkter</t>
  </si>
  <si>
    <t>Försäljning av verksamhet, motpart landsting</t>
  </si>
  <si>
    <t>Försäljning av verksamhet, motpart kommun</t>
  </si>
  <si>
    <t>4541</t>
  </si>
  <si>
    <t>Förändring av avsättning</t>
  </si>
  <si>
    <t>Försäljningsintäker,  övriga ersättningar och intäkter</t>
  </si>
  <si>
    <t>Erhållna ersättningar för personlig assistent (FK)</t>
  </si>
  <si>
    <t>Särsk. löneskatt, exkl. särsk.lönesk.pens.avs.</t>
  </si>
  <si>
    <t>Försäljn. av verksamheter och tjänster</t>
  </si>
  <si>
    <t>Bidrag till föreningar, komm.förb., företag m.fl.</t>
  </si>
  <si>
    <t>Lämnade bidrag</t>
  </si>
  <si>
    <t>Pensionsförsäkringspremier</t>
  </si>
  <si>
    <t>Husbyggnads-, anläggnings- o reparationsentrenader</t>
  </si>
  <si>
    <t>Köp av huvudverksamhet</t>
  </si>
  <si>
    <t>Reparation och underhåll</t>
  </si>
  <si>
    <t>Avsättning för särskild löneskatt på pensioner</t>
  </si>
  <si>
    <t>Avsättn. för återställ. av avfallsdeponier</t>
  </si>
  <si>
    <t>Upplupen pensionskostnad avgiftsbestämd ålderspension</t>
  </si>
  <si>
    <t>761</t>
  </si>
  <si>
    <t>Kommunal fastighetsavgift</t>
  </si>
  <si>
    <t>Förbrukningsinventarier</t>
  </si>
  <si>
    <t>Förlust vid avyttring av finansiella anläggningstillg.</t>
  </si>
  <si>
    <t>Räntekostnader</t>
  </si>
  <si>
    <t>Aktier, andelar och bostadsrätter [132, 137]</t>
  </si>
  <si>
    <t xml:space="preserve">Köp av huvud-verksamhet </t>
  </si>
  <si>
    <t>[30, 34 ej 341, 35-36</t>
  </si>
  <si>
    <t>Lämnade bidrag  [45]</t>
  </si>
  <si>
    <t>Mortpart 85</t>
  </si>
  <si>
    <t>Extern motpart, interv.5-7</t>
  </si>
  <si>
    <t>Motpart 87</t>
  </si>
  <si>
    <t>Motpart 82</t>
  </si>
  <si>
    <t>Motpart 84</t>
  </si>
  <si>
    <t>Motpart 81</t>
  </si>
  <si>
    <t>Motpart 86</t>
  </si>
  <si>
    <t>Motpart 83</t>
  </si>
  <si>
    <t>Extern motpart interv. 9</t>
  </si>
  <si>
    <t>[361]                      Motpart 82</t>
  </si>
  <si>
    <t>[361]                       Motpart 84</t>
  </si>
  <si>
    <t>[351]                       Motpart 81</t>
  </si>
  <si>
    <t xml:space="preserve">därav </t>
  </si>
  <si>
    <t>Köp av huvud-</t>
  </si>
  <si>
    <t>238</t>
  </si>
  <si>
    <t>Skuld för kostnadsersättningar och investeringsbidrag</t>
  </si>
  <si>
    <t>232, 239</t>
  </si>
  <si>
    <t>Uppl.särsk.lönesk.avgiftsbest.ålderspens.</t>
  </si>
  <si>
    <t>Upplupna sociala avgifter</t>
  </si>
  <si>
    <t>Bränsle, energi och vatten, Drivmedel</t>
  </si>
  <si>
    <t>62, 691</t>
  </si>
  <si>
    <t>8597, 8598</t>
  </si>
  <si>
    <t>361, 363, 365</t>
  </si>
  <si>
    <t>Kostnadsersättningar</t>
  </si>
  <si>
    <t>Övriga främmande tjänster</t>
  </si>
  <si>
    <t>781, 782,784</t>
  </si>
  <si>
    <t>6192, 692, 696, 73, 76</t>
  </si>
  <si>
    <t>Fastighets-, fordons- o trängselskatt, Försäkringspremier o riskkostnader, div.kostnad.</t>
  </si>
  <si>
    <t>Pensionsutbetalningar intjänade fr.o.m.98</t>
  </si>
  <si>
    <t>Pensutbetalningar intjänade före 98</t>
  </si>
  <si>
    <t>Pens.utbet. särsk. avtalspens., visstidspens.</t>
  </si>
  <si>
    <t>(Reavinst vid) Försäljning av finans. anläggningstillg.</t>
  </si>
  <si>
    <t>859 ej [8597, 8598]</t>
  </si>
  <si>
    <t>Generella bidrag från staten  m.m.</t>
  </si>
  <si>
    <t>[46]</t>
  </si>
  <si>
    <t>Köp av huvudverksamhet [46]</t>
  </si>
  <si>
    <t>verksamhet [46]</t>
  </si>
  <si>
    <t>617, 618</t>
  </si>
  <si>
    <t>63, 695</t>
  </si>
  <si>
    <t>50, 51, 53, 54, 55x2, 5598</t>
  </si>
  <si>
    <t>[50-51, 53, 54, 55x2, 5598]</t>
  </si>
  <si>
    <t>[55x1, 5597, 60,"ej 601", 61"ej 617,618", 63, 66, 68, 69"ej 691", 70-72, 731-734, 74, 75, 76, 787</t>
  </si>
  <si>
    <t>Kostn.avs. ersättning för pers. assistenter</t>
  </si>
  <si>
    <t>361, 363</t>
  </si>
  <si>
    <t>Försälj.av verksamh. och tjänster, motpart kommun</t>
  </si>
  <si>
    <t>Försälj.av verksamh. och tjänster,motpart landsting</t>
  </si>
  <si>
    <t>Försälj.av verksamh. och tjänster, motpart övr. mm.</t>
  </si>
  <si>
    <t>361 ,363</t>
  </si>
  <si>
    <t>Förs. av verksamh. till annan komm.</t>
  </si>
  <si>
    <t>361</t>
  </si>
  <si>
    <t>Därav köp av huvudverksamhet</t>
  </si>
  <si>
    <t>Motpartsredovisning av köp av huvudverksamhet [46]</t>
  </si>
  <si>
    <t>341</t>
  </si>
  <si>
    <t>651</t>
  </si>
  <si>
    <t>317</t>
  </si>
  <si>
    <t>327</t>
  </si>
  <si>
    <t>087</t>
  </si>
  <si>
    <t>062</t>
  </si>
  <si>
    <t>064</t>
  </si>
  <si>
    <t>Not 1: 26-27 (ej 271), 289, 29 (ej 292, 293, 296, 298)</t>
  </si>
  <si>
    <t>Driftbidr., motpart staten o statl.myndigheter, exkl.AF</t>
  </si>
  <si>
    <t>Driftbidrag, motpart arbetsförmedlingen</t>
  </si>
  <si>
    <t xml:space="preserve">6192, 692, 696 </t>
  </si>
  <si>
    <r>
      <rPr>
        <b/>
        <sz val="7"/>
        <rFont val="Helvetica"/>
        <family val="2"/>
      </rPr>
      <t>Not 2</t>
    </r>
    <r>
      <rPr>
        <sz val="7"/>
        <rFont val="Helvetica"/>
        <family val="2"/>
      </rPr>
      <t>: 55x1, 5597, 61 ej [617, 618, 6192], 699, 70 ej 701, 71-72</t>
    </r>
  </si>
  <si>
    <t>Differens mellan summan av rad 900-984 och RR rad 070</t>
  </si>
  <si>
    <t>[40"ej 401", 41, 43, 617, 618, 62, 64-65, 691]</t>
  </si>
  <si>
    <t>Enskilda personer, hushåll</t>
  </si>
  <si>
    <t>Kommunalförbund och SKL</t>
  </si>
  <si>
    <t>Staten, statl. Myndigheter (inkl.FK)</t>
  </si>
  <si>
    <t>[342, 351 [ej mot-part 81], 354, 356, 357, 359]</t>
  </si>
  <si>
    <t>Därav försäljning av verksamhet till kommuner och landsting</t>
  </si>
  <si>
    <t xml:space="preserve"> [30, 34 ej 341, 35-36] </t>
  </si>
  <si>
    <t>Externa bostadshyror och lokalhyror</t>
  </si>
  <si>
    <t>Försäljning av verksamhet till andra kommuner och landsting</t>
  </si>
  <si>
    <t>inkomster</t>
  </si>
  <si>
    <t>Avsättningar för pensioner och liknande förpliktelser</t>
  </si>
  <si>
    <t>Avsättningar för särskild avtalspens, visstidspens.o liknande</t>
  </si>
  <si>
    <t>Reaförluster o div. period. [78 "ej 787,"]</t>
  </si>
  <si>
    <t>138</t>
  </si>
  <si>
    <t>Grundfondskapital</t>
  </si>
  <si>
    <t>133, 134</t>
  </si>
  <si>
    <t>132, 137</t>
  </si>
  <si>
    <t>104</t>
  </si>
  <si>
    <t>31 [ej 311, 312]</t>
  </si>
  <si>
    <t>[31]</t>
  </si>
  <si>
    <t>Buss, bil och spårbundna persontransporter</t>
  </si>
  <si>
    <t>Väg- och järnvägsnät, parkering</t>
  </si>
  <si>
    <t>Justeringar i Eget kapital</t>
  </si>
  <si>
    <t xml:space="preserve">Lärverktyg </t>
  </si>
  <si>
    <t>Varor m.m.</t>
  </si>
  <si>
    <t>Kommun-                  nyckel</t>
  </si>
  <si>
    <t>SCB-             nyckel</t>
  </si>
  <si>
    <t xml:space="preserve">             Fördelning i kolumnen kommunnyckel </t>
  </si>
  <si>
    <t xml:space="preserve">             Fördelning i kolumnen SCB-nyckel</t>
  </si>
  <si>
    <t>'Verks int o kostn'!$D$76</t>
  </si>
  <si>
    <t>RR!$E$7</t>
  </si>
  <si>
    <t>'Verks int o kostn'!$E$20</t>
  </si>
  <si>
    <t>'Verks int o kostn'!$E$21</t>
  </si>
  <si>
    <t>'Verks int o kostn'!$J$45</t>
  </si>
  <si>
    <t>'Verks int o kostn'!$J$41</t>
  </si>
  <si>
    <t>'Skatter, bidrag o fin poster'!$E$11</t>
  </si>
  <si>
    <t>Investeringar!$C$16</t>
  </si>
  <si>
    <t>Investeringar!$D$16</t>
  </si>
  <si>
    <t>Investeringar!$E$16</t>
  </si>
  <si>
    <t>Investeringar!$F$16</t>
  </si>
  <si>
    <t>Drift!$AD$113</t>
  </si>
  <si>
    <t>Drift!$N$114</t>
  </si>
  <si>
    <t>Drift!$W$123</t>
  </si>
  <si>
    <t>Motpart!$AD$10</t>
  </si>
  <si>
    <t>'Pedagogisk verksamhet'!$P$43</t>
  </si>
  <si>
    <t>'Pedagogisk verksamhet'!$P$53</t>
  </si>
  <si>
    <t>Kontrollblad!$F$7</t>
  </si>
  <si>
    <t>'Pedagogisk verksamhet'!$P$67</t>
  </si>
  <si>
    <t>Kontrollblad!$F$18</t>
  </si>
  <si>
    <t>Kontrollblad!$F$26</t>
  </si>
  <si>
    <t>Kontrollblad!$F$43</t>
  </si>
  <si>
    <t>Kontrollblad!$F$51</t>
  </si>
  <si>
    <t>Kontrollblad!$F$60</t>
  </si>
  <si>
    <t>Kontrollblad!$F$68</t>
  </si>
  <si>
    <t>Kontrollblad!$F$76</t>
  </si>
  <si>
    <t>Kontrollblad!$F$89</t>
  </si>
  <si>
    <t>Kontrollblad!$F$102</t>
  </si>
  <si>
    <t>Kontrollblad!$F$110</t>
  </si>
  <si>
    <t>Kontrollblad!$F$118</t>
  </si>
  <si>
    <t>Kontrollblad!$F$128</t>
  </si>
  <si>
    <t>Kontrollblad!$F$141</t>
  </si>
  <si>
    <t>'Äldre o personer funktionsn'!$N$20</t>
  </si>
  <si>
    <t>'Äldre o personer funktionsn'!$D$59</t>
  </si>
  <si>
    <t>20</t>
  </si>
  <si>
    <t>EGET KAPITAL, utgående värde</t>
  </si>
  <si>
    <t xml:space="preserve">        därav Resultatutjämningsreserv</t>
  </si>
  <si>
    <t>Invånarantal 1-5 år</t>
  </si>
  <si>
    <t>Invånarantal 6-12 år</t>
  </si>
  <si>
    <t>Invånarantal 6 år</t>
  </si>
  <si>
    <t>Invånarantal 7-15 år</t>
  </si>
  <si>
    <t>Invånarantal 16-18 år</t>
  </si>
  <si>
    <t>Särskild utbildning för vuxna</t>
  </si>
  <si>
    <t>Förskola, kostnad per invånare 1-5 år</t>
  </si>
  <si>
    <t>Förskola, kostnad per invånare 1-5 år kommunal regi</t>
  </si>
  <si>
    <t>Förskola, kostnad för lokaler/invånare 1-5 år kommunal regi</t>
  </si>
  <si>
    <t>Förskola, köp av platser i annan kommun per invånare 1-5 år</t>
  </si>
  <si>
    <t>Förskola, försäljning av platser till annan kommun per invånare 1-5 år</t>
  </si>
  <si>
    <t>Förskola, köp av platser i enskild regi per invånare 1-5 år</t>
  </si>
  <si>
    <t>Kostnad per invånare 16-18 år kommunal regi.</t>
  </si>
  <si>
    <t>Kostnad per invånare 16-18 år för undervisning kommunal regi.</t>
  </si>
  <si>
    <t>Kostnad per invånare 16-18 år för lärverktyg kommunal regi.</t>
  </si>
  <si>
    <t>Kostnad per invånare 16-18 år för skolmåltider kommunal regi.</t>
  </si>
  <si>
    <t>Kostnad per invånare 16-18 år skolskjuts hemkommunen.</t>
  </si>
  <si>
    <t>Kostnad per invånare 16-18 år för elevhälsa kommunal regi.</t>
  </si>
  <si>
    <t>Lokalkostnad per invånare 16-18 år kommunal regi.</t>
  </si>
  <si>
    <t>Kostnad per invånare 16-18 år för övrigt kommunal regi.</t>
  </si>
  <si>
    <t>Kostnad per invånare 16-18 år för hemkommunen.</t>
  </si>
  <si>
    <t>Köp av platser i annan kommun per invånare 16-18 år.</t>
  </si>
  <si>
    <t>Försäljning av platser till annan kommun per invånare 16-18 år.</t>
  </si>
  <si>
    <t>Köp av plater från landsting per invånare 16-18 år.</t>
  </si>
  <si>
    <t>Köp av platser i fristående skola per invånare 16-18 år</t>
  </si>
  <si>
    <t>Köp av platser i fristående skola per invånare 16-18 år.</t>
  </si>
  <si>
    <t>Kostnad per invånare 19-64 år kommunal regi</t>
  </si>
  <si>
    <t>Kostnad per invånare 19-64 år för undervisning.</t>
  </si>
  <si>
    <t>Kostnad per invånare 19-64 år för lärverktyg</t>
  </si>
  <si>
    <t>Kostnad per invånare 19-64 år för elevhälsa.</t>
  </si>
  <si>
    <t>Kostnad per invånare 19-64 år för lokaler.</t>
  </si>
  <si>
    <t>Kostnad per invånare 19-64 år för övigt.</t>
  </si>
  <si>
    <t>Kostnad per invånare 19-64 år för hemkommunen, grundläggande och gymnasial vuxenutbildning.</t>
  </si>
  <si>
    <t>Kostnad per invånare 7-15 år kommunal regi.</t>
  </si>
  <si>
    <t>Kostnad per  invånare 7-15 år för undervisning kommunal regi.</t>
  </si>
  <si>
    <t>Kostnad per  invånare 7-15 år för lärverktyg kommunal regi.</t>
  </si>
  <si>
    <t>Kostnad per  invånare 7-15 år för skolmåltider kommunal regi.</t>
  </si>
  <si>
    <t>Kostnad per  invånare 7-15 år för skolskjuts hemkommun.</t>
  </si>
  <si>
    <t>Kostnad per  invånare 7-15 år för elevhälsa kommunal regi.</t>
  </si>
  <si>
    <t>Kostnad per  invånare 7-15 år för lokaler kommunal regi.</t>
  </si>
  <si>
    <t>Kostnad per  invånare 7-15 år för övrigt kommunal regi.</t>
  </si>
  <si>
    <t>Kostnad per  invånare 7-15 år för hemkommunen.</t>
  </si>
  <si>
    <t>Köp av platser i annan kommun per  invånare 7-15 år.</t>
  </si>
  <si>
    <t>Försäljning av platser till annan kommun per  invånare 7-15 år.</t>
  </si>
  <si>
    <t>Köp av platser i fristående skola per  invånare 7-15 år.</t>
  </si>
  <si>
    <t>Förskoleklass, kostnad per invånare 6 år för hemkommunen</t>
  </si>
  <si>
    <t>Förskoleklass, kostnad per invånare 6 år kommunal regi</t>
  </si>
  <si>
    <t>Förskolklass, kostnad för lokaler/invånare 6 år i kommunal regi.</t>
  </si>
  <si>
    <t>Förskoleklass, köp av platser i annan kommun per invånare 6 år</t>
  </si>
  <si>
    <t>Förskoleklass, försäljning av platser till annan kommun per invånare 6 år.</t>
  </si>
  <si>
    <t>Förskoleklass, köp av platser i enskild regi per invånare 6 år.</t>
  </si>
  <si>
    <t>Fritidshem, kostnad per invånare 6-12 år för hemkommunen</t>
  </si>
  <si>
    <t>Fritidshem, kostnad per invånare 6-12 år kommunal regi</t>
  </si>
  <si>
    <t>Fritidshem, kostnad för lokaler/invånare 6-12 år kommunal regi</t>
  </si>
  <si>
    <t>Fritidshem, köp av platser i annan kommun per invånare 6-12 år</t>
  </si>
  <si>
    <t>Fritidshem, försäljning av platser till annan kommun per invånare 6-12 år</t>
  </si>
  <si>
    <t>Fritidshem, köp av platser i enskild regi per invånare 6-12 år</t>
  </si>
  <si>
    <t>147</t>
  </si>
  <si>
    <t>+ Inköp / nyanskaffning inklusive pågående arbeten</t>
  </si>
  <si>
    <t>(Reavinst vid) försäljning av anläggningstillgångar</t>
  </si>
  <si>
    <t>Exploateringsfastigheter(avser kommun)</t>
  </si>
  <si>
    <t>Inköp av maskiner o</t>
  </si>
  <si>
    <t>Inköp av mark, byggn.</t>
  </si>
  <si>
    <t>Investerings-</t>
  </si>
  <si>
    <t>utgifter</t>
  </si>
  <si>
    <t>Därav borgensåtaganden för lån</t>
  </si>
  <si>
    <t xml:space="preserve">      varav för lån</t>
  </si>
  <si>
    <t>Borgensavgift</t>
  </si>
  <si>
    <t>042</t>
  </si>
  <si>
    <t xml:space="preserve">           varav  för lån av offentligt ägda bolag</t>
  </si>
  <si>
    <t>Återbet borgensåt.</t>
  </si>
  <si>
    <t>161</t>
  </si>
  <si>
    <t>162</t>
  </si>
  <si>
    <t>Kostnad per invånare 7-15 år för undervisning kommunal regi.</t>
  </si>
  <si>
    <t>Kostnad per invånare 7-15 år för lärverktyg kommunal regi.</t>
  </si>
  <si>
    <t>Kostnad per invånare 7-15 år för skolmåltider kommunal regi.</t>
  </si>
  <si>
    <t>Kostnad per invånare 7-15 år skolskjuts hemkommunen.</t>
  </si>
  <si>
    <t>Kostnad per invånare 7-15 år för elevhälsa kommunal regi.</t>
  </si>
  <si>
    <t>Lokalkostnad per invånare 7-15 år kommunal regi.</t>
  </si>
  <si>
    <t>Kostnad per invånare 7-15 år för övrigt kommunal regi.</t>
  </si>
  <si>
    <t>Kostnad per invånare 7-15 år för hemkommunen.</t>
  </si>
  <si>
    <t>Köp av platser i annan kommun per invånare 7-15 år.</t>
  </si>
  <si>
    <t>Försäljning av platser till annan kommun per invånare 7-15 år.</t>
  </si>
  <si>
    <t>Köp av platser från landsting per invånare 7-15 år.</t>
  </si>
  <si>
    <t>Köp av platser i fristående skola per invånare 7-15 år.</t>
  </si>
  <si>
    <t>Pensionsutbetalningar</t>
  </si>
  <si>
    <t>Uppdragsutbildning m.m.</t>
  </si>
  <si>
    <t>Avgifter till utjämningssystemen</t>
  </si>
  <si>
    <t>(Reavinst vid) Försälj. av anl.tillg.[38]</t>
  </si>
  <si>
    <t>Nyckeltal kostnad kr per invånare eller andel av verksamhet</t>
  </si>
  <si>
    <r>
      <t xml:space="preserve">Nedan fördelas summan av beloppen i kol. C och D på rad 987, inköp/nyansk. inkl. pågående arbeten. Invest. i imateriella anl.tillg. ska ingå. Finansiella inköp ska </t>
    </r>
    <r>
      <rPr>
        <b/>
        <u/>
        <sz val="9"/>
        <rFont val="Arial"/>
        <family val="2"/>
      </rPr>
      <t>ej</t>
    </r>
    <r>
      <rPr>
        <b/>
        <sz val="9"/>
        <rFont val="Arial"/>
        <family val="2"/>
      </rPr>
      <t xml:space="preserve"> ingå</t>
    </r>
  </si>
  <si>
    <t>Motpart!$M$41</t>
  </si>
  <si>
    <t>Motpart!$X$41</t>
  </si>
  <si>
    <t>Motpart!$Y$43</t>
  </si>
  <si>
    <t>Motpart!$Z$43</t>
  </si>
  <si>
    <t>Motpart!$AA$43</t>
  </si>
  <si>
    <t>Motpart!$AB$43</t>
  </si>
  <si>
    <t>Motpart!$AC$43</t>
  </si>
  <si>
    <t>Motpart!$AD$39</t>
  </si>
  <si>
    <t>BIDRAG TILL INFRASTRUKTUR</t>
  </si>
  <si>
    <t>Bidrag till infrastruktur</t>
  </si>
  <si>
    <t>Kostnadsföring bidrag till infrastruktur</t>
  </si>
  <si>
    <t>Upplösning aktiverat bidrag till infrastruktur</t>
  </si>
  <si>
    <t>Däravposter till finansiella intäkter</t>
  </si>
  <si>
    <t>733,734, 765</t>
  </si>
  <si>
    <t>Utdeln.aktier,andel.koncernftg.</t>
  </si>
  <si>
    <t>Kostnad för eget åtagande</t>
  </si>
  <si>
    <t>Kostnad för</t>
  </si>
  <si>
    <t xml:space="preserve">Kostnad för </t>
  </si>
  <si>
    <t xml:space="preserve">BRUTTO- 
</t>
  </si>
  <si>
    <t>[361] motpart 82, 84</t>
  </si>
  <si>
    <t>Begravningsavgift (Stockholm och Tranås)</t>
  </si>
  <si>
    <t>Netto-kostnad</t>
  </si>
  <si>
    <t xml:space="preserve">Produktions-kostnad </t>
  </si>
  <si>
    <t>Bruttokostnad ./. Bruttointäkt</t>
  </si>
  <si>
    <t>Bruttokostnad ./. Köp av huvud-verksamhet ./. Lämnade bidrag ./. Interna intäkter</t>
  </si>
  <si>
    <t xml:space="preserve">        kronor / invånare</t>
  </si>
  <si>
    <t xml:space="preserve">           Nyckeltal</t>
  </si>
  <si>
    <t>Bruttokostnad ./. Interna</t>
  </si>
  <si>
    <t>försäljning till andra kom-</t>
  </si>
  <si>
    <t xml:space="preserve">            Nyckeltal </t>
  </si>
  <si>
    <t>808, 809</t>
  </si>
  <si>
    <t xml:space="preserve">Mellankommunal kostn.utj., Övriga skatter </t>
  </si>
  <si>
    <t>Kostnader för eget åtagande</t>
  </si>
  <si>
    <t>åtagande</t>
  </si>
  <si>
    <t>eget</t>
  </si>
  <si>
    <t>Intern hantering inom kommunen: Synnerliga skäl att inte täcka underskott eller andra interna justeringar</t>
  </si>
  <si>
    <t>avgår: övriga justeringar</t>
  </si>
  <si>
    <t>tillägg: övriga justeringar</t>
  </si>
  <si>
    <t>varav synnerliga skäl för att inte behöva återställa ett negativt resultat</t>
  </si>
  <si>
    <r>
      <t xml:space="preserve">Nyckeltal, kronor / invånare
</t>
    </r>
    <r>
      <rPr>
        <sz val="7"/>
        <rFont val="Helvetica"/>
        <family val="2"/>
      </rPr>
      <t>och Kommentarrutor</t>
    </r>
  </si>
  <si>
    <t>Anskaffn.kostn försåld exploat.fastigh[422]</t>
  </si>
  <si>
    <t>342</t>
  </si>
  <si>
    <t>Anskaffningskostn, försåld exploat.fastigh.</t>
  </si>
  <si>
    <r>
      <rPr>
        <b/>
        <sz val="7"/>
        <rFont val="Helvetica"/>
        <family val="2"/>
      </rPr>
      <t xml:space="preserve">Not 1: </t>
    </r>
    <r>
      <rPr>
        <sz val="7"/>
        <rFont val="Helvetica"/>
        <family val="2"/>
      </rPr>
      <t xml:space="preserve">402,403, 41, 422, 43, 64 ej 644, 654, 655  </t>
    </r>
  </si>
  <si>
    <t>Avskrivningar, inklusive nedskrivningar</t>
  </si>
  <si>
    <t>Pedagogisk verksamhet'!$P$31</t>
  </si>
  <si>
    <t>Pedagogisk verksamhet'!$P$44</t>
  </si>
  <si>
    <t>Pedagogisk verksamhet'!$P$58</t>
  </si>
  <si>
    <t>Pedagogisk verksamhet'!$P$72</t>
  </si>
  <si>
    <t>Pedagogisk verksamhet'!$P$86</t>
  </si>
  <si>
    <t>Pedagogisk verksamhet'!$P$95</t>
  </si>
  <si>
    <t>Pedagogisk verksamhet'!$P$17</t>
  </si>
  <si>
    <t>Pedagogisk verksamhet'!$P$9</t>
  </si>
  <si>
    <t>Eliminera differens grundskola</t>
  </si>
  <si>
    <t>Pedagogisk verksamhet'!$P$57</t>
  </si>
  <si>
    <t>Eliminera differens grundsärskola</t>
  </si>
  <si>
    <t xml:space="preserve">Kommentera gymnasieskola </t>
  </si>
  <si>
    <t>Pedagogisk verksamhet'!$P$71</t>
  </si>
  <si>
    <t>Eliminera differens gymnasieskola</t>
  </si>
  <si>
    <t>Pedagogisk verksamhet'!$P$85</t>
  </si>
  <si>
    <t>Eliminera differens gymnasiesärskola</t>
  </si>
  <si>
    <t>Pedagogisk verksamhet'!$P$93</t>
  </si>
  <si>
    <t xml:space="preserve">Eliminera differens grundläggande vuxenutbildning </t>
  </si>
  <si>
    <t>Pedagogisk verksamhet'!$P$102</t>
  </si>
  <si>
    <t xml:space="preserve">Eliminera gymnasial vuxen- och påbyggnadsutbildning </t>
  </si>
  <si>
    <t>Drift!$X$116</t>
  </si>
  <si>
    <t>Drift!$J$118</t>
  </si>
  <si>
    <t>Drift!$P$126</t>
  </si>
  <si>
    <t>bindelser (inklusive borgens- o förlustansvar                   småhus)</t>
  </si>
  <si>
    <t>Pensionsförplikt.    Inkl. löneskatt på</t>
  </si>
  <si>
    <t xml:space="preserve"> som inte har upptagits bland skulder el. avsättningar                pensionsförpliktelse</t>
  </si>
  <si>
    <t>Övr. ansvarsför-    för egnahem o</t>
  </si>
  <si>
    <t>Särskild momsers. vid köp av ej skattepl. verksamh.</t>
  </si>
  <si>
    <t>Motpart!$U$42</t>
  </si>
  <si>
    <t>Landsting/ Regioner</t>
  </si>
  <si>
    <t xml:space="preserve">Entrepren., Konsulter </t>
  </si>
  <si>
    <t>[617,618,74,75]</t>
  </si>
  <si>
    <t>[402]</t>
  </si>
  <si>
    <t>[403]</t>
  </si>
  <si>
    <t>Samtliga invest. entrepr. och  invest.konsulter ingår)</t>
  </si>
  <si>
    <t>067</t>
  </si>
  <si>
    <t>15-17</t>
  </si>
  <si>
    <t>Summa kortfristiga fordringar</t>
  </si>
  <si>
    <t>18</t>
  </si>
  <si>
    <t>Summa kortfristiga placeringar</t>
  </si>
  <si>
    <t>131</t>
  </si>
  <si>
    <t>Avsättn. bidrag till infrastruktur</t>
  </si>
  <si>
    <t>132</t>
  </si>
  <si>
    <t>Årets uppbokade investeringsbidrag</t>
  </si>
  <si>
    <t>133</t>
  </si>
  <si>
    <t>134</t>
  </si>
  <si>
    <t>242</t>
  </si>
  <si>
    <t>Nyupptagna lån</t>
  </si>
  <si>
    <t>Investeringsbidrag (periodiserade över nyttjandetid)</t>
  </si>
  <si>
    <r>
      <rPr>
        <b/>
        <sz val="7"/>
        <rFont val="Helvetica"/>
        <family val="2"/>
      </rPr>
      <t>Kommun</t>
    </r>
    <r>
      <rPr>
        <sz val="7"/>
        <rFont val="Helvetica"/>
        <family val="2"/>
      </rPr>
      <t xml:space="preserve">
Mark, byggn. och tekn. Anläggningar [11]</t>
    </r>
  </si>
  <si>
    <r>
      <rPr>
        <b/>
        <sz val="7"/>
        <rFont val="Helvetica"/>
        <family val="2"/>
      </rPr>
      <t>Kommun</t>
    </r>
    <r>
      <rPr>
        <sz val="7"/>
        <rFont val="Helvetica"/>
        <family val="2"/>
      </rPr>
      <t xml:space="preserve">
Maskiner och inventarier [12]</t>
    </r>
  </si>
  <si>
    <r>
      <rPr>
        <b/>
        <sz val="7"/>
        <rFont val="Helvetica"/>
        <family val="2"/>
      </rPr>
      <t>Kommun</t>
    </r>
    <r>
      <rPr>
        <sz val="7"/>
        <rFont val="Helvetica"/>
        <family val="2"/>
      </rPr>
      <t xml:space="preserve">
Finansiella anläggnings-tillg.                 [13 ej 139]</t>
    </r>
  </si>
  <si>
    <t xml:space="preserve">
Därav</t>
  </si>
  <si>
    <r>
      <t xml:space="preserve">Koncern
</t>
    </r>
    <r>
      <rPr>
        <sz val="7"/>
        <color indexed="8"/>
        <rFont val="Helvetica"/>
        <family val="2"/>
      </rPr>
      <t>Materiella anläggningstillg.[11,12]</t>
    </r>
  </si>
  <si>
    <r>
      <t xml:space="preserve">Koncern
</t>
    </r>
    <r>
      <rPr>
        <sz val="7"/>
        <color indexed="8"/>
        <rFont val="Helvetica"/>
        <family val="2"/>
      </rPr>
      <t>Finansiella anläggningstillg.[13, ej 139]</t>
    </r>
  </si>
  <si>
    <t>Rad-nr</t>
  </si>
  <si>
    <t>Inköp och försäljning av mark oavsett bokfört som omsättningstillgång eller anläggningstillgång</t>
  </si>
  <si>
    <t>Inköp av mark</t>
  </si>
  <si>
    <t>Försäljning av mark, brutto inklusive rearesultat</t>
  </si>
  <si>
    <t xml:space="preserve">Vid redovisning av försäljning av mark ska enbart själva markens inkomst redovisas.  </t>
  </si>
  <si>
    <t>715</t>
  </si>
  <si>
    <t>720</t>
  </si>
  <si>
    <t>725</t>
  </si>
  <si>
    <t xml:space="preserve">Beloppen ska delas in utifrån den verksamhet som företagen klassificeras som enligt de alternativ som finns nedan.  T ex ska 50 % av ett bostadsföretags investeringsbelopp, som ägs </t>
  </si>
  <si>
    <t>Bransch</t>
  </si>
  <si>
    <t>Företagen/    dotterbolagen</t>
  </si>
  <si>
    <t>730</t>
  </si>
  <si>
    <t>Fastighetsverksamhet</t>
  </si>
  <si>
    <t>735</t>
  </si>
  <si>
    <t>Energi och vatten</t>
  </si>
  <si>
    <t>740</t>
  </si>
  <si>
    <t>Transport och kommunikation</t>
  </si>
  <si>
    <t>745</t>
  </si>
  <si>
    <t>Övriga</t>
  </si>
  <si>
    <t>750</t>
  </si>
  <si>
    <t>Summa</t>
  </si>
  <si>
    <t>Investeringsinkomster, exklusive försäljning av anläggningstillgångar</t>
  </si>
  <si>
    <t>(exkl. förs. av anl.tillgångar)</t>
  </si>
  <si>
    <t>Intäkter till Kolada</t>
  </si>
  <si>
    <t>Bruttointäkt minus Interna intäkter och försäljning till andra kommuner och landsting</t>
  </si>
  <si>
    <t>Därav personal-kostnader</t>
  </si>
  <si>
    <t>[50-51, 53, 54, 55x2, 5598, samt PO]</t>
  </si>
  <si>
    <t>Netto-</t>
  </si>
  <si>
    <t>Dagverksamhet, ordinärt boende</t>
  </si>
  <si>
    <t>del av 453   [ej 4538]</t>
  </si>
  <si>
    <t>- Försäljningspris / avyttringsbelopp</t>
  </si>
  <si>
    <t>Däravposter till avsättningar och skulder</t>
  </si>
  <si>
    <t>[50-51, 53, 54, 55x2, 5598] samt PO</t>
  </si>
  <si>
    <t>Därav köp av huvudverk-samhet</t>
  </si>
  <si>
    <r>
      <t>Bidrag motpart staten och statliga myndigheter</t>
    </r>
    <r>
      <rPr>
        <b/>
        <sz val="7"/>
        <rFont val="Helvetica"/>
        <family val="2"/>
      </rPr>
      <t xml:space="preserve"> exkl.</t>
    </r>
    <r>
      <rPr>
        <sz val="7"/>
        <rFont val="Helvetica"/>
        <family val="2"/>
      </rPr>
      <t xml:space="preserve"> ersättning till FK för pers.assistenter</t>
    </r>
  </si>
  <si>
    <t xml:space="preserve">   därav investeringsbidrag från staten o statl.myndigheter</t>
  </si>
  <si>
    <t xml:space="preserve">   därav investeringsbidrag från EU</t>
  </si>
  <si>
    <t xml:space="preserve">   därav investeringsinkomster från företag</t>
  </si>
  <si>
    <t xml:space="preserve">   därav övriga investeringsinkomster</t>
  </si>
  <si>
    <t>del av 238</t>
  </si>
  <si>
    <t>del av 23</t>
  </si>
  <si>
    <t>del av 228</t>
  </si>
  <si>
    <t>755</t>
  </si>
  <si>
    <t>Lån för vidarutlåning till koncernföretagen</t>
  </si>
  <si>
    <t>lämnas nedan</t>
  </si>
  <si>
    <t xml:space="preserve">Uppgifterna för koncernen </t>
  </si>
  <si>
    <r>
      <rPr>
        <b/>
        <sz val="7"/>
        <rFont val="Helvetica"/>
        <family val="2"/>
      </rPr>
      <t xml:space="preserve">Koncern: </t>
    </r>
    <r>
      <rPr>
        <sz val="7"/>
        <rFont val="Helvetica"/>
        <family val="2"/>
      </rPr>
      <t>Kortfrist. skulder till kreditinst. o kunder</t>
    </r>
  </si>
  <si>
    <t xml:space="preserve">                                Varav kortfristig del av långfr. skuld</t>
  </si>
  <si>
    <t>Kortfristig del av långfristig skuld</t>
  </si>
  <si>
    <t>Checkkredit, övriga långfristiga skulder</t>
  </si>
  <si>
    <t>Om ingen exakt uppdelning finns mellan mark och eventuell byggnad/anläggning så får en uppskattning med utgångspunkt ur bokfört värde göras.</t>
  </si>
  <si>
    <r>
      <t xml:space="preserve">Det som avses är de investeringar som har gjorts av de företag/bolag/stiftelser/kommunalförbund som konsolideras i den sammanställda redovisningen. </t>
    </r>
    <r>
      <rPr>
        <b/>
        <sz val="8"/>
        <rFont val="Helvetica"/>
        <family val="2"/>
      </rPr>
      <t xml:space="preserve">Endast kommunens andel  anges. </t>
    </r>
  </si>
  <si>
    <t>Öronmärkt belopp för framtida pensionsutbetalningar enligt kommunens årsredovisning</t>
  </si>
  <si>
    <t>- Förlust vid avyttring och utrangering av anl.tillgångar</t>
  </si>
  <si>
    <t>Div. förluster, övr.riskk. [735,736,737,738,739]</t>
  </si>
  <si>
    <t>Hälso- och sjukvård, övrigt (utöver den hemsjukvård som ingår på radnr 510, 520 eller 513)</t>
  </si>
  <si>
    <t>BR!$F$79</t>
  </si>
  <si>
    <t>BR!$F$61</t>
  </si>
  <si>
    <t>Verks int o kostn'!$D$35</t>
  </si>
  <si>
    <t>Investeringar!$I$13</t>
  </si>
  <si>
    <t>Investeringar!$G$66</t>
  </si>
  <si>
    <t>Investeringar!$E$97</t>
  </si>
  <si>
    <t>Motpart!$D$44</t>
  </si>
  <si>
    <t>Motpart!$D$45</t>
  </si>
  <si>
    <t>Motpart!$F$44</t>
  </si>
  <si>
    <t>Motpart!$F$45</t>
  </si>
  <si>
    <t>Motpart!$I$44</t>
  </si>
  <si>
    <t>Motpart!$I$45</t>
  </si>
  <si>
    <t>Motpart!$K$44</t>
  </si>
  <si>
    <t>Motpart!$K$45</t>
  </si>
  <si>
    <t>Motpart!$O$44</t>
  </si>
  <si>
    <t>Motpart!$O$45</t>
  </si>
  <si>
    <t>Motpart!$Q$44</t>
  </si>
  <si>
    <t>Motpart!$Q$45</t>
  </si>
  <si>
    <t>Motpart!$S$44</t>
  </si>
  <si>
    <t>Motpart!$S$45</t>
  </si>
  <si>
    <t>Motpart!$T$44</t>
  </si>
  <si>
    <t>Motpart!$T$45</t>
  </si>
  <si>
    <t>Motpart!$V$43</t>
  </si>
  <si>
    <t>Kommentera köp av platser i annan kommun grundsärskola</t>
  </si>
  <si>
    <t xml:space="preserve">Kommenetra köp av platser i annan kommun  gymnasiesärskola </t>
  </si>
  <si>
    <t xml:space="preserve"> förskola</t>
  </si>
  <si>
    <t xml:space="preserve"> fritidshem</t>
  </si>
  <si>
    <t xml:space="preserve"> förskoleklass</t>
  </si>
  <si>
    <t xml:space="preserve"> grundskola</t>
  </si>
  <si>
    <t xml:space="preserve"> grundsärskola</t>
  </si>
  <si>
    <t xml:space="preserve"> gymnasieskolan</t>
  </si>
  <si>
    <t xml:space="preserve"> grundläggande vuxenutbildning </t>
  </si>
  <si>
    <t xml:space="preserve"> gymnasial vuxen- och påbyggnadsutbildning </t>
  </si>
  <si>
    <t xml:space="preserve">Kommentera  köp av platser i annan kommun gymnasieskola </t>
  </si>
  <si>
    <t>Äldre o personer funktionsn'!$N$30</t>
  </si>
  <si>
    <t>Äldre o personer funktionsn'!$N$38</t>
  </si>
  <si>
    <t>Totalt (exklusive försäljning av anl.tillg.)</t>
  </si>
  <si>
    <r>
      <t>Infrastruktur, skydd m.m.</t>
    </r>
    <r>
      <rPr>
        <sz val="7"/>
        <rFont val="Helvetica"/>
        <family val="2"/>
      </rPr>
      <t xml:space="preserve">                                                      Fysisk o. teknisk planering, bostadsförbättr.</t>
    </r>
  </si>
  <si>
    <t>inv. 65-w år</t>
  </si>
  <si>
    <t>inv. 0-64 år</t>
  </si>
  <si>
    <t>inv. 23-w år</t>
  </si>
  <si>
    <t>inv. 0-22 år</t>
  </si>
  <si>
    <t>inv. 23-64 år</t>
  </si>
  <si>
    <t>Driftbidrag fr. staten, statl. mynd. Inkl.AF</t>
  </si>
  <si>
    <t>Därav                                köp av huvud-verksamhet</t>
  </si>
  <si>
    <t>Differens mellan summan av rad 800-844 och RR rad 060:</t>
  </si>
  <si>
    <t>Larm o bevakning, Brandskydd, Avgifter för kurser m.m.</t>
  </si>
  <si>
    <t>Försäkringsavgifter</t>
  </si>
  <si>
    <t>Självrisker</t>
  </si>
  <si>
    <t>Infriad borgen</t>
  </si>
  <si>
    <t>Avgifter</t>
  </si>
  <si>
    <t>Fastighets-,Fordons- och Trängselskatt</t>
  </si>
  <si>
    <t>IFO!$L$30</t>
  </si>
  <si>
    <t>IFO!$L$20</t>
  </si>
  <si>
    <t>IFO!$L$28</t>
  </si>
  <si>
    <t>IFO!$L$36</t>
  </si>
  <si>
    <t>Kundförluster, Straffavgifter m.m., Förluster på kortfr.fordringar, Övr. riskkostnader</t>
  </si>
  <si>
    <t>Ränta på pensionsavsättningar</t>
  </si>
  <si>
    <t>Nämnare nyckeltal och kommentar till kontroller</t>
  </si>
  <si>
    <t>Övriga bidrag</t>
  </si>
  <si>
    <t>Följande jämförelsestörande poster ingår i Resultaträkningen ovan:</t>
  </si>
  <si>
    <t>170</t>
  </si>
  <si>
    <t>175</t>
  </si>
  <si>
    <t>180</t>
  </si>
  <si>
    <t>Byggbonus</t>
  </si>
  <si>
    <r>
      <t>Därav Utdebiterat till verksamheterna (raderna)</t>
    </r>
    <r>
      <rPr>
        <sz val="7"/>
        <color rgb="FFFFFFCC"/>
        <rFont val="Helvetica"/>
      </rPr>
      <t xml:space="preserve"> …………..</t>
    </r>
    <r>
      <rPr>
        <sz val="7"/>
        <rFont val="Helvetica"/>
        <family val="2"/>
      </rPr>
      <t xml:space="preserve">100-910 i regel i kol.M </t>
    </r>
  </si>
  <si>
    <t>del av 16</t>
  </si>
  <si>
    <t>Fördelad gemensam verksamhet (rad 920)</t>
  </si>
  <si>
    <t>Investeringar!$I$14</t>
  </si>
  <si>
    <t>Pedagogisk verksamhet'!$P$24</t>
  </si>
  <si>
    <t>Skatter, bidrag o fin poster'!$E$27</t>
  </si>
  <si>
    <t>735, 736, 738, 739</t>
  </si>
  <si>
    <t>Förlust vid avyttring av materiella o. immat. anl.tillg.</t>
  </si>
  <si>
    <t>Driftbidrag, motpart kommuner, komm.förb. o landsting</t>
  </si>
  <si>
    <r>
      <t xml:space="preserve">till 50 % av kommunen, anges på raden för fastighetsverksamhet. I beloppet ska bolagets samtliga investeringsutgifter/inkomster </t>
    </r>
    <r>
      <rPr>
        <i/>
        <sz val="8"/>
        <color rgb="FFFF0000"/>
        <rFont val="Helvetica"/>
      </rPr>
      <t>avseende materiella och immateriella anläggningstillgångar</t>
    </r>
    <r>
      <rPr>
        <sz val="8"/>
        <rFont val="Helvetica"/>
        <family val="2"/>
      </rPr>
      <t xml:space="preserve"> ingå,dvs. inte enbart fastighetsinvesteringar.</t>
    </r>
  </si>
  <si>
    <t>utgifter i mat.</t>
  </si>
  <si>
    <r>
      <t xml:space="preserve">o immat. anl.    tillg.              </t>
    </r>
    <r>
      <rPr>
        <sz val="7"/>
        <rFont val="Helvetica"/>
      </rPr>
      <t xml:space="preserve">  (före konsolidering)</t>
    </r>
  </si>
  <si>
    <t>8497, 8498</t>
  </si>
  <si>
    <t xml:space="preserve"> 849 ej [8497,8498]</t>
  </si>
  <si>
    <t xml:space="preserve">Den del av välfärdsmilj. som fördelas utifrån flyktingvariabler, Byggbonus, Bidrag för ensamkom. unga över 18 år, Bidrag för att minska antalet långtidsarbetslösa ska ingå på rad 740. Beloppet borde därför finnas eller vara högre
</t>
  </si>
  <si>
    <t>Beloppet i kolumn D på rad 920 ska motsvara personal-omkostnaderna för gemen-samma verksamheter. Eventuella justeringar av för höga eller för låga PO på verksamheterna 100-910 ska göras på respektive verksamhet.</t>
  </si>
  <si>
    <r>
      <rPr>
        <b/>
        <sz val="7"/>
        <rFont val="Helvetica"/>
      </rPr>
      <t>Därav</t>
    </r>
    <r>
      <rPr>
        <sz val="7"/>
        <rFont val="Helvetica"/>
      </rPr>
      <t xml:space="preserve"> Jämförelsestörande intäkter </t>
    </r>
    <r>
      <rPr>
        <b/>
        <sz val="7"/>
        <rFont val="Helvetica"/>
      </rPr>
      <t>på rad 010</t>
    </r>
  </si>
  <si>
    <r>
      <rPr>
        <b/>
        <sz val="7"/>
        <rFont val="Helvetica"/>
      </rPr>
      <t>Därav</t>
    </r>
    <r>
      <rPr>
        <sz val="7"/>
        <rFont val="Helvetica"/>
      </rPr>
      <t xml:space="preserve"> Jämförelsestörande kostnader </t>
    </r>
    <r>
      <rPr>
        <b/>
        <sz val="7"/>
        <rFont val="Helvetica"/>
      </rPr>
      <t xml:space="preserve">på rad 020 </t>
    </r>
    <r>
      <rPr>
        <sz val="7"/>
        <rFont val="Helvetica"/>
      </rPr>
      <t xml:space="preserve"> </t>
    </r>
  </si>
  <si>
    <r>
      <rPr>
        <b/>
        <sz val="7"/>
        <rFont val="Helvetica"/>
      </rPr>
      <t>Därav</t>
    </r>
    <r>
      <rPr>
        <sz val="7"/>
        <rFont val="Helvetica"/>
      </rPr>
      <t xml:space="preserve"> Jämförelsestörande av-/nedskrivningar </t>
    </r>
    <r>
      <rPr>
        <b/>
        <sz val="7"/>
        <rFont val="Helvetica"/>
      </rPr>
      <t>på rad 025</t>
    </r>
  </si>
  <si>
    <r>
      <rPr>
        <b/>
        <sz val="7"/>
        <rFont val="Helvetica"/>
      </rPr>
      <t xml:space="preserve">Därav </t>
    </r>
    <r>
      <rPr>
        <sz val="7"/>
        <rFont val="Helvetica"/>
      </rPr>
      <t>Jämförelsestörande finansiella intäkter</t>
    </r>
    <r>
      <rPr>
        <b/>
        <sz val="7"/>
        <rFont val="Helvetica"/>
      </rPr>
      <t xml:space="preserve"> på rad 060</t>
    </r>
  </si>
  <si>
    <r>
      <rPr>
        <b/>
        <sz val="7"/>
        <rFont val="Helvetica"/>
      </rPr>
      <t xml:space="preserve">Därav </t>
    </r>
    <r>
      <rPr>
        <sz val="7"/>
        <rFont val="Helvetica"/>
      </rPr>
      <t>Jämförelsestörande finansiella kostnader</t>
    </r>
    <r>
      <rPr>
        <b/>
        <sz val="7"/>
        <rFont val="Helvetica"/>
      </rPr>
      <t xml:space="preserve"> på rad 070</t>
    </r>
  </si>
  <si>
    <t>Värde mnkr</t>
  </si>
  <si>
    <t>mnkr</t>
  </si>
  <si>
    <t>RIKSTOTAL</t>
  </si>
  <si>
    <t>Kommunernas finanser</t>
  </si>
  <si>
    <t>Räkenskapssammandraget 2018</t>
  </si>
  <si>
    <t>I denna sammanställning ingår Region Gotland till 100%.</t>
  </si>
  <si>
    <t>https://www.scb.se/rskommuner</t>
  </si>
  <si>
    <t>Värde, mnkr</t>
  </si>
  <si>
    <t>Investeringar fördelade på verksamheter</t>
  </si>
  <si>
    <t xml:space="preserve">Tilläggsuppgifter avseende kommunens investeringsredovisning </t>
  </si>
  <si>
    <t>Tilläggsuppgifter avseende investeringar i företag/bolag/stiftelser/kommunalförbund som konsolideras i den sammanställda redovisningen</t>
  </si>
  <si>
    <t xml:space="preserve">Därav interna intäkter
</t>
  </si>
  <si>
    <t>361 motp. 
82, 84</t>
  </si>
  <si>
    <t>Publiceringsdatum: 190830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</si>
</sst>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quot;kr&quot;#,##0_);[Red]\(&quot;kr&quot;#,##0\)"/>
    <numFmt numFmtId="165" formatCode="000"/>
    <numFmt numFmtId="166" formatCode="###,###,###"/>
    <numFmt numFmtId="167" formatCode=";;;"/>
    <numFmt numFmtId="168" formatCode="#,##0.0000"/>
    <numFmt numFmtId="169" formatCode="0.0000"/>
    <numFmt numFmtId="170" formatCode="###,##0"/>
    <numFmt numFmtId="171" formatCode="#,###"/>
    <numFmt numFmtId="172" formatCode="#,##0.0000000"/>
  </numFmts>
  <fonts count="154">
    <font>
      <sz val="10"/>
      <name val="Arial"/>
    </font>
    <font>
      <sz val="10"/>
      <name val="Helvetica"/>
      <family val="2"/>
    </font>
    <font>
      <sz val="8"/>
      <name val="Helvetica"/>
      <family val="2"/>
    </font>
    <font>
      <sz val="7"/>
      <name val="Helvetica"/>
      <family val="2"/>
    </font>
    <font>
      <b/>
      <sz val="8"/>
      <name val="Helvetica"/>
      <family val="2"/>
    </font>
    <font>
      <b/>
      <sz val="7"/>
      <name val="Helvetica"/>
      <family val="2"/>
    </font>
    <font>
      <b/>
      <sz val="11"/>
      <name val="Helvetica"/>
      <family val="2"/>
    </font>
    <font>
      <sz val="7"/>
      <name val="Arial"/>
      <family val="2"/>
    </font>
    <font>
      <sz val="7"/>
      <name val="Helvetica"/>
      <family val="2"/>
    </font>
    <font>
      <sz val="8"/>
      <name val="Arial"/>
      <family val="2"/>
    </font>
    <font>
      <sz val="8"/>
      <color indexed="8"/>
      <name val="Helvetica"/>
      <family val="2"/>
    </font>
    <font>
      <sz val="7"/>
      <name val="Arial"/>
      <family val="2"/>
    </font>
    <font>
      <b/>
      <sz val="7"/>
      <name val="Arial"/>
      <family val="2"/>
    </font>
    <font>
      <sz val="8"/>
      <name val="Helvetica"/>
      <family val="2"/>
    </font>
    <font>
      <b/>
      <sz val="7"/>
      <name val="Helvetica"/>
      <family val="2"/>
    </font>
    <font>
      <b/>
      <sz val="10"/>
      <name val="Helvetica"/>
      <family val="2"/>
    </font>
    <font>
      <sz val="7"/>
      <color indexed="8"/>
      <name val="Helvetica"/>
      <family val="2"/>
    </font>
    <font>
      <sz val="12"/>
      <name val="Times New Roman"/>
      <family val="1"/>
    </font>
    <font>
      <b/>
      <sz val="12"/>
      <name val="Helvetica"/>
      <family val="2"/>
    </font>
    <font>
      <b/>
      <sz val="8"/>
      <name val="Arial"/>
      <family val="2"/>
    </font>
    <font>
      <sz val="12"/>
      <name val="Helvetica"/>
      <family val="2"/>
    </font>
    <font>
      <sz val="10"/>
      <name val="MS Sans Serif"/>
      <family val="2"/>
    </font>
    <font>
      <sz val="10"/>
      <name val="Arial"/>
      <family val="2"/>
    </font>
    <font>
      <sz val="8"/>
      <name val="Arial"/>
      <family val="2"/>
    </font>
    <font>
      <b/>
      <sz val="9"/>
      <name val="Helvetica"/>
      <family val="2"/>
    </font>
    <font>
      <b/>
      <sz val="7"/>
      <name val="Coronet"/>
      <family val="2"/>
    </font>
    <font>
      <b/>
      <sz val="8"/>
      <name val="Coronet"/>
      <family val="2"/>
    </font>
    <font>
      <b/>
      <sz val="11"/>
      <name val="Coronet"/>
      <family val="2"/>
    </font>
    <font>
      <b/>
      <sz val="12"/>
      <color indexed="9"/>
      <name val="Arial Black"/>
      <family val="2"/>
    </font>
    <font>
      <sz val="10"/>
      <color indexed="9"/>
      <name val="Coronet"/>
      <family val="2"/>
    </font>
    <font>
      <b/>
      <sz val="9"/>
      <color indexed="9"/>
      <name val="Coronet"/>
      <family val="2"/>
    </font>
    <font>
      <b/>
      <sz val="16"/>
      <color indexed="9"/>
      <name val="Arial"/>
      <family val="2"/>
    </font>
    <font>
      <sz val="10"/>
      <name val="Arial"/>
      <family val="2"/>
    </font>
    <font>
      <sz val="10"/>
      <name val="Helvetica"/>
      <family val="2"/>
    </font>
    <font>
      <sz val="10"/>
      <color indexed="47"/>
      <name val="Arial"/>
      <family val="2"/>
    </font>
    <font>
      <sz val="7"/>
      <color indexed="10"/>
      <name val="Helvetica"/>
      <family val="2"/>
    </font>
    <font>
      <sz val="8"/>
      <color indexed="10"/>
      <name val="Helvetica"/>
      <family val="2"/>
    </font>
    <font>
      <sz val="7"/>
      <color indexed="10"/>
      <name val="Arial"/>
      <family val="2"/>
    </font>
    <font>
      <sz val="9"/>
      <name val="Helvetica"/>
      <family val="2"/>
    </font>
    <font>
      <sz val="10"/>
      <color indexed="9"/>
      <name val="Arial"/>
      <family val="2"/>
    </font>
    <font>
      <sz val="8"/>
      <color indexed="47"/>
      <name val="Arial"/>
      <family val="2"/>
    </font>
    <font>
      <sz val="8"/>
      <color indexed="9"/>
      <name val="Arial"/>
      <family val="2"/>
    </font>
    <font>
      <sz val="7"/>
      <color indexed="37"/>
      <name val="Helvetica"/>
      <family val="2"/>
    </font>
    <font>
      <sz val="8"/>
      <color indexed="37"/>
      <name val="Helvetica"/>
      <family val="2"/>
    </font>
    <font>
      <sz val="7"/>
      <color indexed="8"/>
      <name val="Arial"/>
      <family val="2"/>
    </font>
    <font>
      <sz val="10"/>
      <color indexed="39"/>
      <name val="Arial"/>
      <family val="2"/>
    </font>
    <font>
      <sz val="8"/>
      <color indexed="39"/>
      <name val="Helvetica"/>
      <family val="2"/>
    </font>
    <font>
      <b/>
      <sz val="7"/>
      <color indexed="10"/>
      <name val="Helvetica"/>
      <family val="2"/>
    </font>
    <font>
      <sz val="8"/>
      <color indexed="12"/>
      <name val="Helvetica"/>
      <family val="2"/>
    </font>
    <font>
      <sz val="8"/>
      <color indexed="39"/>
      <name val="Arial"/>
      <family val="2"/>
    </font>
    <font>
      <sz val="7"/>
      <color indexed="47"/>
      <name val="Arial"/>
      <family val="2"/>
    </font>
    <font>
      <b/>
      <sz val="7"/>
      <color indexed="10"/>
      <name val="Arial"/>
      <family val="2"/>
    </font>
    <font>
      <b/>
      <sz val="10"/>
      <name val="Arial"/>
      <family val="2"/>
    </font>
    <font>
      <sz val="9"/>
      <color indexed="39"/>
      <name val="Helvetica"/>
      <family val="2"/>
    </font>
    <font>
      <b/>
      <sz val="10"/>
      <color indexed="37"/>
      <name val="Helvetica"/>
      <family val="2"/>
    </font>
    <font>
      <b/>
      <sz val="10"/>
      <color indexed="47"/>
      <name val="Helvetica"/>
      <family val="2"/>
    </font>
    <font>
      <sz val="7"/>
      <color indexed="47"/>
      <name val="Helvetica"/>
      <family val="2"/>
    </font>
    <font>
      <b/>
      <sz val="9"/>
      <color indexed="8"/>
      <name val="Arial Black"/>
      <family val="2"/>
    </font>
    <font>
      <b/>
      <sz val="12"/>
      <name val="Arial"/>
      <family val="2"/>
    </font>
    <font>
      <b/>
      <sz val="10"/>
      <color indexed="37"/>
      <name val="Arial"/>
      <family val="2"/>
    </font>
    <font>
      <u/>
      <sz val="10"/>
      <color indexed="36"/>
      <name val="Arial"/>
      <family val="2"/>
    </font>
    <font>
      <sz val="7"/>
      <color indexed="10"/>
      <name val="Helvetica"/>
      <family val="2"/>
    </font>
    <font>
      <sz val="11"/>
      <color indexed="9"/>
      <name val="Calibri"/>
      <family val="2"/>
    </font>
    <font>
      <sz val="10"/>
      <color indexed="9"/>
      <name val="Helvetica"/>
      <family val="2"/>
    </font>
    <font>
      <b/>
      <sz val="9"/>
      <color indexed="9"/>
      <name val="Helvetica"/>
      <family val="2"/>
    </font>
    <font>
      <sz val="7"/>
      <color indexed="8"/>
      <name val="Helvetica"/>
      <family val="2"/>
    </font>
    <font>
      <b/>
      <sz val="8"/>
      <color indexed="8"/>
      <name val="Helvetica"/>
      <family val="2"/>
    </font>
    <font>
      <sz val="7"/>
      <color indexed="8"/>
      <name val="Calibri"/>
      <family val="2"/>
    </font>
    <font>
      <b/>
      <sz val="7"/>
      <color indexed="8"/>
      <name val="Helvetica"/>
      <family val="2"/>
    </font>
    <font>
      <sz val="10"/>
      <color indexed="8"/>
      <name val="Arial"/>
      <family val="2"/>
    </font>
    <font>
      <sz val="10"/>
      <color indexed="8"/>
      <name val="Helvetica"/>
      <family val="2"/>
    </font>
    <font>
      <sz val="7"/>
      <color indexed="10"/>
      <name val="Times New Roman"/>
      <family val="1"/>
    </font>
    <font>
      <sz val="8"/>
      <color indexed="10"/>
      <name val="Times New Roman"/>
      <family val="1"/>
    </font>
    <font>
      <sz val="8"/>
      <color indexed="10"/>
      <name val="Helvetica"/>
      <family val="2"/>
    </font>
    <font>
      <b/>
      <sz val="12"/>
      <color indexed="8"/>
      <name val="Arial"/>
      <family val="2"/>
    </font>
    <font>
      <b/>
      <sz val="8"/>
      <color indexed="8"/>
      <name val="Helvetica"/>
      <family val="2"/>
    </font>
    <font>
      <b/>
      <sz val="7"/>
      <name val="Calibri"/>
      <family val="2"/>
    </font>
    <font>
      <u/>
      <sz val="10"/>
      <color indexed="12"/>
      <name val="Arial"/>
      <family val="2"/>
    </font>
    <font>
      <b/>
      <sz val="12"/>
      <color indexed="8"/>
      <name val="Helvetica"/>
      <family val="2"/>
    </font>
    <font>
      <b/>
      <sz val="11"/>
      <color indexed="8"/>
      <name val="Helvetica"/>
      <family val="2"/>
    </font>
    <font>
      <b/>
      <sz val="10"/>
      <color indexed="8"/>
      <name val="Helvetica"/>
      <family val="2"/>
    </font>
    <font>
      <u/>
      <sz val="8"/>
      <color indexed="12"/>
      <name val="Helvetica"/>
      <family val="2"/>
    </font>
    <font>
      <sz val="8"/>
      <color indexed="9"/>
      <name val="Helvetica"/>
      <family val="2"/>
    </font>
    <font>
      <b/>
      <sz val="16"/>
      <color indexed="10"/>
      <name val="Arial"/>
      <family val="2"/>
    </font>
    <font>
      <sz val="10"/>
      <color indexed="10"/>
      <name val="Arial"/>
      <family val="2"/>
    </font>
    <font>
      <sz val="8"/>
      <color indexed="10"/>
      <name val="Arial"/>
      <family val="2"/>
    </font>
    <font>
      <sz val="7"/>
      <color indexed="16"/>
      <name val="Helvetica"/>
      <family val="2"/>
    </font>
    <font>
      <sz val="10"/>
      <color indexed="16"/>
      <name val="Cambria"/>
      <family val="1"/>
    </font>
    <font>
      <b/>
      <sz val="7"/>
      <color indexed="9"/>
      <name val="Helvetica"/>
      <family val="2"/>
    </font>
    <font>
      <b/>
      <vertAlign val="superscript"/>
      <sz val="7"/>
      <name val="Helvetica"/>
      <family val="2"/>
    </font>
    <font>
      <b/>
      <vertAlign val="superscript"/>
      <sz val="7"/>
      <name val="Calibri"/>
      <family val="2"/>
    </font>
    <font>
      <vertAlign val="superscript"/>
      <sz val="7"/>
      <name val="Helvetica"/>
      <family val="2"/>
    </font>
    <font>
      <sz val="8"/>
      <name val="Arial"/>
      <family val="2"/>
    </font>
    <font>
      <b/>
      <sz val="8"/>
      <name val="Arial"/>
      <family val="2"/>
    </font>
    <font>
      <sz val="7"/>
      <color indexed="10"/>
      <name val="Arial"/>
      <family val="2"/>
    </font>
    <font>
      <sz val="10"/>
      <color indexed="39"/>
      <name val="Helvetica"/>
      <family val="2"/>
    </font>
    <font>
      <b/>
      <sz val="9"/>
      <name val="Arial"/>
      <family val="2"/>
    </font>
    <font>
      <sz val="10"/>
      <color indexed="9"/>
      <name val="Arial"/>
      <family val="2"/>
    </font>
    <font>
      <sz val="10"/>
      <color indexed="9"/>
      <name val="Arial"/>
      <family val="2"/>
    </font>
    <font>
      <b/>
      <sz val="12"/>
      <color indexed="9"/>
      <name val="Arial"/>
      <family val="2"/>
    </font>
    <font>
      <b/>
      <sz val="10"/>
      <color indexed="9"/>
      <name val="Arial"/>
      <family val="2"/>
    </font>
    <font>
      <b/>
      <sz val="12"/>
      <color indexed="9"/>
      <name val="Arial"/>
      <family val="2"/>
    </font>
    <font>
      <sz val="14"/>
      <name val="Arial"/>
      <family val="2"/>
    </font>
    <font>
      <sz val="10"/>
      <color indexed="39"/>
      <name val="Arial"/>
      <family val="2"/>
    </font>
    <font>
      <sz val="6"/>
      <color indexed="10"/>
      <name val="Helvetica"/>
      <family val="2"/>
    </font>
    <font>
      <b/>
      <sz val="8"/>
      <color indexed="25"/>
      <name val="Arial"/>
      <family val="2"/>
    </font>
    <font>
      <b/>
      <sz val="10"/>
      <color indexed="25"/>
      <name val="Arial"/>
      <family val="2"/>
    </font>
    <font>
      <sz val="7"/>
      <name val="Helvetica "/>
    </font>
    <font>
      <sz val="8"/>
      <color indexed="9"/>
      <name val="Helvetica"/>
      <family val="2"/>
    </font>
    <font>
      <sz val="7"/>
      <color indexed="9"/>
      <name val="Cambria"/>
      <family val="1"/>
    </font>
    <font>
      <sz val="8"/>
      <color indexed="9"/>
      <name val="Cambria"/>
      <family val="1"/>
    </font>
    <font>
      <sz val="10"/>
      <color indexed="9"/>
      <name val="Cambria"/>
      <family val="1"/>
    </font>
    <font>
      <sz val="7"/>
      <name val="Cambria"/>
      <family val="1"/>
    </font>
    <font>
      <u/>
      <sz val="10"/>
      <name val="Arial"/>
      <family val="2"/>
    </font>
    <font>
      <b/>
      <u/>
      <sz val="10"/>
      <color indexed="12"/>
      <name val="Arial"/>
      <family val="2"/>
    </font>
    <font>
      <sz val="6.5"/>
      <name val="Helvetica"/>
      <family val="2"/>
    </font>
    <font>
      <sz val="7"/>
      <name val="Helvetica"/>
      <family val="2"/>
    </font>
    <font>
      <b/>
      <u/>
      <sz val="9"/>
      <name val="Arial"/>
      <family val="2"/>
    </font>
    <font>
      <sz val="10"/>
      <color indexed="12"/>
      <name val="Arial"/>
      <family val="2"/>
    </font>
    <font>
      <sz val="11"/>
      <color theme="1"/>
      <name val="Calibri"/>
      <family val="2"/>
      <scheme val="minor"/>
    </font>
    <font>
      <sz val="11"/>
      <color rgb="FF9C0006"/>
      <name val="Calibri"/>
      <family val="2"/>
      <scheme val="minor"/>
    </font>
    <font>
      <b/>
      <sz val="7"/>
      <color rgb="FFFF0000"/>
      <name val="Helvetica"/>
      <family val="2"/>
    </font>
    <font>
      <sz val="7"/>
      <color rgb="FFFF0000"/>
      <name val="Helvetica"/>
      <family val="2"/>
    </font>
    <font>
      <sz val="7"/>
      <color rgb="FFFF0000"/>
      <name val="Arial"/>
      <family val="2"/>
    </font>
    <font>
      <sz val="8"/>
      <color rgb="FFFF0000"/>
      <name val="Arial"/>
      <family val="2"/>
    </font>
    <font>
      <sz val="8"/>
      <color rgb="FFFF0000"/>
      <name val="Helvetica"/>
      <family val="2"/>
    </font>
    <font>
      <b/>
      <sz val="11"/>
      <color theme="0"/>
      <name val="Arial"/>
      <family val="2"/>
    </font>
    <font>
      <sz val="7"/>
      <color theme="0"/>
      <name val="Helvetica"/>
      <family val="2"/>
    </font>
    <font>
      <sz val="7"/>
      <color theme="7" tint="0.59999389629810485"/>
      <name val="Helvetica"/>
      <family val="2"/>
    </font>
    <font>
      <sz val="7"/>
      <color rgb="FFFFFFCC"/>
      <name val="Helvetica"/>
      <family val="2"/>
    </font>
    <font>
      <sz val="10"/>
      <color rgb="FFFFFFCC"/>
      <name val="Arial"/>
      <family val="2"/>
    </font>
    <font>
      <sz val="2"/>
      <color theme="0"/>
      <name val="Helvetica"/>
      <family val="2"/>
    </font>
    <font>
      <sz val="8"/>
      <color rgb="FF00B050"/>
      <name val="Helvetica"/>
      <family val="2"/>
    </font>
    <font>
      <sz val="8"/>
      <color theme="1"/>
      <name val="Helvetica"/>
      <family val="2"/>
    </font>
    <font>
      <b/>
      <sz val="7"/>
      <color theme="1"/>
      <name val="Helvetica"/>
      <family val="2"/>
    </font>
    <font>
      <b/>
      <sz val="8"/>
      <color theme="1"/>
      <name val="Helvetica"/>
      <family val="2"/>
    </font>
    <font>
      <sz val="8"/>
      <color rgb="FFFFFFCC"/>
      <name val="Helvetica"/>
      <family val="2"/>
    </font>
    <font>
      <b/>
      <sz val="7"/>
      <color rgb="FFFFFFCC"/>
      <name val="Helvetica"/>
      <family val="2"/>
    </font>
    <font>
      <sz val="7"/>
      <color rgb="FFFF0000"/>
      <name val="Helvetica"/>
    </font>
    <font>
      <sz val="7"/>
      <color indexed="10"/>
      <name val="Helvetica"/>
    </font>
    <font>
      <sz val="7"/>
      <name val="Helvetica"/>
    </font>
    <font>
      <b/>
      <sz val="7"/>
      <name val="Helvetica"/>
    </font>
    <font>
      <b/>
      <sz val="7"/>
      <color rgb="FFFFFFCC"/>
      <name val="Helvetica"/>
    </font>
    <font>
      <sz val="7"/>
      <color rgb="FFFFFFCC"/>
      <name val="Helvetica"/>
    </font>
    <font>
      <sz val="7"/>
      <color rgb="FFFFFFCC"/>
      <name val="Arial"/>
      <family val="2"/>
    </font>
    <font>
      <sz val="7"/>
      <color rgb="FFFFFFCC"/>
      <name val="Helvetia"/>
    </font>
    <font>
      <sz val="7"/>
      <name val="Helvetia"/>
    </font>
    <font>
      <sz val="8"/>
      <color theme="0"/>
      <name val="Arial"/>
      <family val="2"/>
    </font>
    <font>
      <i/>
      <sz val="8"/>
      <color rgb="FFFF0000"/>
      <name val="Helvetica"/>
    </font>
    <font>
      <sz val="10"/>
      <color theme="0"/>
      <name val="Arial"/>
      <family val="2"/>
    </font>
    <font>
      <sz val="8"/>
      <color theme="0"/>
      <name val="Helvetica"/>
      <family val="2"/>
    </font>
    <font>
      <b/>
      <sz val="26"/>
      <color indexed="8"/>
      <name val="Helvetica"/>
      <family val="2"/>
    </font>
    <font>
      <b/>
      <sz val="26"/>
      <name val="Helvetica"/>
      <family val="2"/>
    </font>
    <font>
      <b/>
      <sz val="11"/>
      <color rgb="FFFFFFC0"/>
      <name val="Helvetica"/>
      <family val="2"/>
    </font>
  </fonts>
  <fills count="33">
    <fill>
      <patternFill patternType="none"/>
    </fill>
    <fill>
      <patternFill patternType="gray125"/>
    </fill>
    <fill>
      <patternFill patternType="solid">
        <fgColor indexed="9"/>
        <bgColor indexed="64"/>
      </patternFill>
    </fill>
    <fill>
      <patternFill patternType="gray125">
        <fgColor indexed="22"/>
        <bgColor indexed="9"/>
      </patternFill>
    </fill>
    <fill>
      <patternFill patternType="solid">
        <fgColor indexed="9"/>
        <bgColor indexed="9"/>
      </patternFill>
    </fill>
    <fill>
      <patternFill patternType="gray125">
        <fgColor indexed="9"/>
        <bgColor indexed="9"/>
      </patternFill>
    </fill>
    <fill>
      <patternFill patternType="solid">
        <fgColor indexed="9"/>
        <bgColor indexed="22"/>
      </patternFill>
    </fill>
    <fill>
      <patternFill patternType="solid">
        <fgColor indexed="56"/>
        <bgColor indexed="64"/>
      </patternFill>
    </fill>
    <fill>
      <patternFill patternType="lightGray">
        <fgColor indexed="22"/>
        <bgColor indexed="9"/>
      </patternFill>
    </fill>
    <fill>
      <patternFill patternType="lightGray">
        <fgColor indexed="40"/>
        <bgColor indexed="9"/>
      </patternFill>
    </fill>
    <fill>
      <patternFill patternType="solid">
        <fgColor indexed="26"/>
        <bgColor indexed="64"/>
      </patternFill>
    </fill>
    <fill>
      <patternFill patternType="solid">
        <fgColor indexed="65"/>
        <bgColor indexed="31"/>
      </patternFill>
    </fill>
    <fill>
      <patternFill patternType="solid">
        <fgColor indexed="26"/>
        <bgColor indexed="55"/>
      </patternFill>
    </fill>
    <fill>
      <patternFill patternType="gray125">
        <fgColor indexed="22"/>
      </patternFill>
    </fill>
    <fill>
      <patternFill patternType="solid">
        <fgColor indexed="65"/>
        <bgColor indexed="64"/>
      </patternFill>
    </fill>
    <fill>
      <patternFill patternType="lightDown">
        <fgColor indexed="9"/>
        <bgColor indexed="26"/>
      </patternFill>
    </fill>
    <fill>
      <patternFill patternType="solid">
        <fgColor indexed="26"/>
        <bgColor indexed="22"/>
      </patternFill>
    </fill>
    <fill>
      <patternFill patternType="solid">
        <fgColor rgb="FFFFFFCC"/>
      </patternFill>
    </fill>
    <fill>
      <patternFill patternType="solid">
        <fgColor rgb="FFFFC7CE"/>
      </patternFill>
    </fill>
    <fill>
      <patternFill patternType="solid">
        <fgColor rgb="FFFFFFCC"/>
        <bgColor indexed="64"/>
      </patternFill>
    </fill>
    <fill>
      <patternFill patternType="solid">
        <fgColor rgb="FFFFFFCC"/>
        <bgColor indexed="22"/>
      </patternFill>
    </fill>
    <fill>
      <patternFill patternType="solid">
        <fgColor rgb="FFFFFFCC"/>
        <bgColor indexed="55"/>
      </patternFill>
    </fill>
    <fill>
      <patternFill patternType="solid">
        <fgColor rgb="FFFFFFCC"/>
        <bgColor indexed="31"/>
      </patternFill>
    </fill>
    <fill>
      <patternFill patternType="solid">
        <fgColor rgb="FFFFFFCC"/>
        <bgColor indexed="40"/>
      </patternFill>
    </fill>
    <fill>
      <patternFill patternType="gray125">
        <fgColor indexed="22"/>
        <bgColor rgb="FFFFFFFF"/>
      </patternFill>
    </fill>
    <fill>
      <patternFill patternType="lightGray">
        <fgColor indexed="40"/>
        <bgColor theme="0"/>
      </patternFill>
    </fill>
    <fill>
      <patternFill patternType="gray125">
        <fgColor indexed="22"/>
        <bgColor theme="0"/>
      </patternFill>
    </fill>
    <fill>
      <patternFill patternType="solid">
        <fgColor theme="0"/>
        <bgColor indexed="64"/>
      </patternFill>
    </fill>
    <fill>
      <patternFill patternType="solid">
        <fgColor rgb="FFFFFFE5"/>
        <bgColor indexed="64"/>
      </patternFill>
    </fill>
    <fill>
      <patternFill patternType="solid">
        <fgColor theme="0" tint="-0.14999847407452621"/>
        <bgColor indexed="64"/>
      </patternFill>
    </fill>
    <fill>
      <patternFill patternType="solid">
        <fgColor rgb="FFFFFFCC"/>
        <bgColor indexed="26"/>
      </patternFill>
    </fill>
    <fill>
      <patternFill patternType="solid">
        <fgColor rgb="FFFFFFCC"/>
        <bgColor rgb="FFFFFFCC"/>
      </patternFill>
    </fill>
    <fill>
      <patternFill patternType="solid">
        <fgColor rgb="FFFFFFC0"/>
        <bgColor indexed="64"/>
      </patternFill>
    </fill>
  </fills>
  <borders count="237">
    <border>
      <left/>
      <right/>
      <top/>
      <bottom/>
      <diagonal/>
    </border>
    <border>
      <left/>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hair">
        <color indexed="64"/>
      </right>
      <top style="medium">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top style="medium">
        <color indexed="64"/>
      </top>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right/>
      <top/>
      <bottom style="medium">
        <color indexed="64"/>
      </bottom>
      <diagonal/>
    </border>
    <border>
      <left style="hair">
        <color indexed="64"/>
      </left>
      <right style="medium">
        <color indexed="64"/>
      </right>
      <top style="thin">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style="medium">
        <color indexed="64"/>
      </top>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hair">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hair">
        <color indexed="64"/>
      </right>
      <top/>
      <bottom style="medium">
        <color indexed="64"/>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right style="medium">
        <color indexed="64"/>
      </right>
      <top style="hair">
        <color indexed="64"/>
      </top>
      <bottom/>
      <diagonal/>
    </border>
    <border>
      <left style="hair">
        <color indexed="64"/>
      </left>
      <right style="medium">
        <color indexed="64"/>
      </right>
      <top style="medium">
        <color indexed="64"/>
      </top>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diagonal/>
    </border>
    <border>
      <left style="hair">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style="hair">
        <color indexed="64"/>
      </top>
      <bottom/>
      <diagonal/>
    </border>
    <border>
      <left/>
      <right/>
      <top style="medium">
        <color indexed="64"/>
      </top>
      <bottom/>
      <diagonal/>
    </border>
    <border>
      <left style="medium">
        <color indexed="64"/>
      </left>
      <right/>
      <top style="thin">
        <color indexed="64"/>
      </top>
      <bottom style="hair">
        <color indexed="64"/>
      </bottom>
      <diagonal/>
    </border>
    <border>
      <left/>
      <right style="thin">
        <color indexed="64"/>
      </right>
      <top style="thin">
        <color indexed="64"/>
      </top>
      <bottom/>
      <diagonal/>
    </border>
    <border>
      <left style="medium">
        <color indexed="64"/>
      </left>
      <right style="hair">
        <color indexed="64"/>
      </right>
      <top/>
      <bottom/>
      <diagonal/>
    </border>
    <border>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hair">
        <color indexed="64"/>
      </top>
      <bottom/>
      <diagonal/>
    </border>
    <border>
      <left style="medium">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hair">
        <color indexed="64"/>
      </left>
      <right style="hair">
        <color indexed="64"/>
      </right>
      <top style="thin">
        <color indexed="39"/>
      </top>
      <bottom/>
      <diagonal/>
    </border>
    <border>
      <left style="medium">
        <color indexed="64"/>
      </left>
      <right style="hair">
        <color indexed="64"/>
      </right>
      <top style="medium">
        <color indexed="64"/>
      </top>
      <bottom style="medium">
        <color indexed="64"/>
      </bottom>
      <diagonal/>
    </border>
    <border>
      <left style="hair">
        <color indexed="64"/>
      </left>
      <right/>
      <top/>
      <bottom style="thin">
        <color indexed="64"/>
      </bottom>
      <diagonal/>
    </border>
    <border>
      <left style="hair">
        <color indexed="64"/>
      </left>
      <right/>
      <top style="thin">
        <color indexed="39"/>
      </top>
      <bottom/>
      <diagonal/>
    </border>
    <border>
      <left style="hair">
        <color indexed="64"/>
      </left>
      <right style="medium">
        <color indexed="64"/>
      </right>
      <top style="thin">
        <color indexed="39"/>
      </top>
      <bottom/>
      <diagonal/>
    </border>
    <border>
      <left style="thin">
        <color indexed="64"/>
      </left>
      <right style="hair">
        <color indexed="64"/>
      </right>
      <top/>
      <bottom style="thin">
        <color indexed="64"/>
      </bottom>
      <diagonal/>
    </border>
    <border>
      <left style="hair">
        <color indexed="64"/>
      </left>
      <right style="hair">
        <color indexed="64"/>
      </right>
      <top style="thin">
        <color indexed="12"/>
      </top>
      <bottom style="hair">
        <color indexed="64"/>
      </bottom>
      <diagonal/>
    </border>
    <border>
      <left style="hair">
        <color indexed="64"/>
      </left>
      <right style="hair">
        <color indexed="64"/>
      </right>
      <top style="medium">
        <color indexed="12"/>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hair">
        <color indexed="64"/>
      </right>
      <top/>
      <bottom/>
      <diagonal/>
    </border>
    <border>
      <left/>
      <right style="hair">
        <color indexed="64"/>
      </right>
      <top style="hair">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hair">
        <color indexed="64"/>
      </right>
      <top style="hair">
        <color indexed="64"/>
      </top>
      <bottom/>
      <diagonal/>
    </border>
    <border>
      <left style="medium">
        <color indexed="64"/>
      </left>
      <right style="thin">
        <color indexed="64"/>
      </right>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hair">
        <color indexed="64"/>
      </bottom>
      <diagonal/>
    </border>
    <border>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hair">
        <color indexed="64"/>
      </left>
      <right/>
      <top style="hair">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bottom style="hair">
        <color indexed="64"/>
      </bottom>
      <diagonal/>
    </border>
    <border>
      <left style="medium">
        <color indexed="64"/>
      </left>
      <right style="medium">
        <color indexed="64"/>
      </right>
      <top style="thin">
        <color indexed="64"/>
      </top>
      <bottom/>
      <diagonal/>
    </border>
    <border>
      <left style="hair">
        <color indexed="64"/>
      </left>
      <right style="medium">
        <color indexed="64"/>
      </right>
      <top style="thin">
        <color indexed="64"/>
      </top>
      <bottom/>
      <diagonal/>
    </border>
    <border>
      <left style="hair">
        <color indexed="64"/>
      </left>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diagonal/>
    </border>
    <border>
      <left style="hair">
        <color indexed="64"/>
      </left>
      <right style="thin">
        <color indexed="64"/>
      </right>
      <top/>
      <bottom style="thin">
        <color indexed="64"/>
      </bottom>
      <diagonal/>
    </border>
    <border>
      <left style="medium">
        <color indexed="64"/>
      </left>
      <right/>
      <top style="medium">
        <color indexed="64"/>
      </top>
      <bottom style="hair">
        <color indexed="64"/>
      </bottom>
      <diagonal/>
    </border>
    <border>
      <left style="hair">
        <color indexed="64"/>
      </left>
      <right/>
      <top style="thin">
        <color indexed="64"/>
      </top>
      <bottom/>
      <diagonal/>
    </border>
    <border>
      <left style="medium">
        <color indexed="64"/>
      </left>
      <right/>
      <top style="thin">
        <color indexed="64"/>
      </top>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top style="medium">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bottom style="medium">
        <color indexed="64"/>
      </bottom>
      <diagonal/>
    </border>
    <border>
      <left style="hair">
        <color indexed="64"/>
      </left>
      <right/>
      <top style="thin">
        <color indexed="64"/>
      </top>
      <bottom style="thin">
        <color indexed="64"/>
      </bottom>
      <diagonal/>
    </border>
    <border>
      <left style="thin">
        <color indexed="64"/>
      </left>
      <right style="medium">
        <color indexed="64"/>
      </right>
      <top style="hair">
        <color indexed="64"/>
      </top>
      <bottom/>
      <diagonal/>
    </border>
    <border>
      <left style="hair">
        <color indexed="64"/>
      </left>
      <right style="hair">
        <color indexed="64"/>
      </right>
      <top style="hair">
        <color indexed="64"/>
      </top>
      <bottom style="thick">
        <color indexed="64"/>
      </bottom>
      <diagonal/>
    </border>
    <border>
      <left style="medium">
        <color indexed="64"/>
      </left>
      <right style="medium">
        <color indexed="64"/>
      </right>
      <top style="hair">
        <color indexed="64"/>
      </top>
      <bottom style="thick">
        <color indexed="64"/>
      </bottom>
      <diagonal/>
    </border>
    <border>
      <left/>
      <right/>
      <top/>
      <bottom style="thick">
        <color indexed="64"/>
      </bottom>
      <diagonal/>
    </border>
    <border>
      <left/>
      <right style="medium">
        <color indexed="64"/>
      </right>
      <top/>
      <bottom style="thick">
        <color indexed="64"/>
      </bottom>
      <diagonal/>
    </border>
    <border>
      <left style="thin">
        <color indexed="64"/>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auto="1"/>
      </top>
      <bottom/>
      <diagonal/>
    </border>
    <border>
      <left/>
      <right/>
      <top/>
      <bottom style="thin">
        <color auto="1"/>
      </bottom>
      <diagonal/>
    </border>
    <border>
      <left/>
      <right style="medium">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style="hair">
        <color indexed="64"/>
      </bottom>
      <diagonal/>
    </border>
    <border>
      <left style="hair">
        <color indexed="64"/>
      </left>
      <right/>
      <top/>
      <bottom style="thick">
        <color indexed="64"/>
      </bottom>
      <diagonal/>
    </border>
  </borders>
  <cellStyleXfs count="16">
    <xf numFmtId="0" fontId="0" fillId="0" borderId="0"/>
    <xf numFmtId="0" fontId="119" fillId="17" borderId="229" applyNumberFormat="0" applyFont="0" applyAlignment="0" applyProtection="0"/>
    <xf numFmtId="0" fontId="119" fillId="17" borderId="229" applyNumberFormat="0" applyFont="0" applyAlignment="0" applyProtection="0"/>
    <xf numFmtId="0" fontId="120" fillId="18" borderId="0" applyNumberFormat="0" applyBorder="0" applyAlignment="0" applyProtection="0"/>
    <xf numFmtId="0" fontId="60"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22" fillId="0" borderId="0"/>
    <xf numFmtId="0" fontId="22" fillId="0" borderId="0"/>
    <xf numFmtId="0" fontId="119" fillId="0" borderId="0"/>
    <xf numFmtId="0" fontId="119" fillId="0" borderId="0"/>
    <xf numFmtId="0" fontId="17" fillId="0" borderId="0"/>
    <xf numFmtId="0" fontId="1" fillId="0" borderId="0"/>
    <xf numFmtId="9" fontId="32" fillId="0" borderId="0" applyFont="0" applyFill="0" applyBorder="0" applyAlignment="0" applyProtection="0"/>
    <xf numFmtId="9" fontId="22" fillId="0" borderId="0" applyFont="0" applyFill="0" applyBorder="0" applyAlignment="0" applyProtection="0"/>
    <xf numFmtId="38" fontId="21" fillId="0" borderId="0" applyFont="0" applyFill="0" applyBorder="0" applyAlignment="0" applyProtection="0"/>
    <xf numFmtId="164" fontId="21" fillId="0" borderId="0" applyFont="0" applyFill="0" applyBorder="0" applyAlignment="0" applyProtection="0"/>
  </cellStyleXfs>
  <cellXfs count="2691">
    <xf numFmtId="0" fontId="0" fillId="0" borderId="0" xfId="0"/>
    <xf numFmtId="0" fontId="1" fillId="0" borderId="0" xfId="0" applyFont="1" applyProtection="1"/>
    <xf numFmtId="0" fontId="18" fillId="2" borderId="0" xfId="0" applyFont="1" applyFill="1" applyBorder="1" applyAlignment="1" applyProtection="1">
      <alignment horizontal="left"/>
    </xf>
    <xf numFmtId="0" fontId="5" fillId="2" borderId="0" xfId="0" applyFont="1" applyFill="1" applyBorder="1" applyAlignment="1" applyProtection="1">
      <alignment horizontal="right"/>
    </xf>
    <xf numFmtId="0" fontId="0" fillId="2" borderId="0" xfId="0" applyFill="1" applyProtection="1"/>
    <xf numFmtId="0" fontId="1" fillId="2" borderId="0" xfId="0" applyFont="1" applyFill="1" applyProtection="1"/>
    <xf numFmtId="49" fontId="3" fillId="2" borderId="0" xfId="0" applyNumberFormat="1" applyFont="1" applyFill="1" applyBorder="1" applyAlignment="1" applyProtection="1">
      <alignment horizontal="left"/>
    </xf>
    <xf numFmtId="1" fontId="3" fillId="2" borderId="0" xfId="0" applyNumberFormat="1" applyFont="1" applyFill="1" applyBorder="1" applyAlignment="1" applyProtection="1">
      <alignment horizontal="left"/>
    </xf>
    <xf numFmtId="0" fontId="3" fillId="2" borderId="0" xfId="0" applyFont="1" applyFill="1" applyBorder="1" applyProtection="1"/>
    <xf numFmtId="3" fontId="1" fillId="2" borderId="0" xfId="0" applyNumberFormat="1" applyFont="1" applyFill="1" applyBorder="1" applyProtection="1"/>
    <xf numFmtId="0" fontId="7" fillId="2" borderId="0" xfId="0" applyFont="1" applyFill="1" applyBorder="1" applyProtection="1"/>
    <xf numFmtId="0" fontId="8" fillId="2" borderId="0" xfId="0" applyFont="1" applyFill="1" applyBorder="1" applyProtection="1"/>
    <xf numFmtId="0" fontId="1" fillId="2" borderId="0" xfId="0" applyFont="1" applyFill="1" applyBorder="1" applyProtection="1"/>
    <xf numFmtId="0" fontId="8" fillId="2" borderId="0" xfId="0" applyFont="1" applyFill="1" applyProtection="1"/>
    <xf numFmtId="3" fontId="4" fillId="2" borderId="0" xfId="0" applyNumberFormat="1" applyFont="1" applyFill="1" applyBorder="1" applyProtection="1"/>
    <xf numFmtId="165" fontId="11" fillId="0"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left"/>
    </xf>
    <xf numFmtId="1" fontId="14" fillId="0" borderId="0" xfId="0" applyNumberFormat="1" applyFont="1" applyFill="1" applyBorder="1" applyAlignment="1" applyProtection="1">
      <alignment horizontal="center"/>
    </xf>
    <xf numFmtId="0" fontId="14" fillId="0" borderId="0" xfId="0" applyFont="1" applyFill="1" applyBorder="1" applyProtection="1"/>
    <xf numFmtId="3" fontId="13" fillId="0" borderId="0" xfId="0" applyNumberFormat="1" applyFont="1" applyFill="1" applyBorder="1" applyProtection="1"/>
    <xf numFmtId="3" fontId="13" fillId="2" borderId="2" xfId="0" applyNumberFormat="1" applyFont="1" applyFill="1" applyBorder="1" applyAlignment="1" applyProtection="1">
      <alignment horizontal="right"/>
      <protection locked="0"/>
    </xf>
    <xf numFmtId="3" fontId="13" fillId="2" borderId="3" xfId="0" applyNumberFormat="1" applyFont="1" applyFill="1" applyBorder="1" applyAlignment="1" applyProtection="1">
      <alignment horizontal="right"/>
      <protection locked="0"/>
    </xf>
    <xf numFmtId="3" fontId="13" fillId="2" borderId="4" xfId="0" applyNumberFormat="1" applyFont="1" applyFill="1" applyBorder="1" applyAlignment="1" applyProtection="1">
      <alignment horizontal="right"/>
      <protection locked="0"/>
    </xf>
    <xf numFmtId="3" fontId="13" fillId="2" borderId="5" xfId="0" applyNumberFormat="1" applyFont="1" applyFill="1" applyBorder="1" applyAlignment="1" applyProtection="1">
      <alignment horizontal="right"/>
      <protection locked="0"/>
    </xf>
    <xf numFmtId="3" fontId="13" fillId="2" borderId="6" xfId="0" applyNumberFormat="1" applyFont="1" applyFill="1" applyBorder="1" applyAlignment="1" applyProtection="1">
      <alignment horizontal="right"/>
      <protection locked="0"/>
    </xf>
    <xf numFmtId="3" fontId="13" fillId="2" borderId="7" xfId="0" applyNumberFormat="1" applyFont="1" applyFill="1" applyBorder="1" applyAlignment="1" applyProtection="1">
      <alignment horizontal="right"/>
      <protection locked="0"/>
    </xf>
    <xf numFmtId="3" fontId="13" fillId="3" borderId="6" xfId="0" applyNumberFormat="1" applyFont="1" applyFill="1" applyBorder="1" applyAlignment="1" applyProtection="1">
      <alignment horizontal="right"/>
    </xf>
    <xf numFmtId="3" fontId="13" fillId="2" borderId="8" xfId="0" applyNumberFormat="1" applyFont="1" applyFill="1" applyBorder="1" applyAlignment="1" applyProtection="1">
      <alignment horizontal="right"/>
      <protection locked="0"/>
    </xf>
    <xf numFmtId="3" fontId="13" fillId="2" borderId="9" xfId="0" applyNumberFormat="1" applyFont="1" applyFill="1" applyBorder="1" applyAlignment="1" applyProtection="1">
      <alignment horizontal="right"/>
      <protection locked="0"/>
    </xf>
    <xf numFmtId="3" fontId="13" fillId="2" borderId="10" xfId="0" applyNumberFormat="1" applyFont="1" applyFill="1" applyBorder="1" applyAlignment="1" applyProtection="1">
      <alignment horizontal="right"/>
      <protection locked="0"/>
    </xf>
    <xf numFmtId="3" fontId="13" fillId="2" borderId="0" xfId="0" applyNumberFormat="1" applyFont="1" applyFill="1" applyBorder="1" applyProtection="1"/>
    <xf numFmtId="3" fontId="13" fillId="2" borderId="0" xfId="0" applyNumberFormat="1" applyFont="1" applyFill="1" applyBorder="1" applyAlignment="1" applyProtection="1">
      <alignment horizontal="right"/>
    </xf>
    <xf numFmtId="0" fontId="23" fillId="2" borderId="0" xfId="0" applyFont="1" applyFill="1" applyBorder="1" applyProtection="1"/>
    <xf numFmtId="3" fontId="8" fillId="2" borderId="0" xfId="0" applyNumberFormat="1" applyFont="1" applyFill="1" applyBorder="1" applyProtection="1"/>
    <xf numFmtId="3" fontId="8" fillId="2" borderId="0" xfId="0" applyNumberFormat="1" applyFont="1" applyFill="1" applyBorder="1" applyAlignment="1" applyProtection="1"/>
    <xf numFmtId="0" fontId="23" fillId="2" borderId="0" xfId="0" applyFont="1" applyFill="1" applyProtection="1"/>
    <xf numFmtId="0" fontId="58" fillId="2" borderId="0" xfId="0" applyFont="1" applyFill="1" applyBorder="1" applyAlignment="1" applyProtection="1">
      <alignment vertical="top"/>
    </xf>
    <xf numFmtId="167" fontId="8" fillId="2" borderId="0" xfId="0" applyNumberFormat="1" applyFont="1" applyFill="1" applyBorder="1" applyProtection="1"/>
    <xf numFmtId="3" fontId="13" fillId="2" borderId="0" xfId="0" applyNumberFormat="1" applyFont="1" applyFill="1" applyBorder="1" applyAlignment="1" applyProtection="1">
      <alignment horizontal="left"/>
    </xf>
    <xf numFmtId="3" fontId="5" fillId="2" borderId="0" xfId="0" applyNumberFormat="1" applyFont="1" applyFill="1" applyBorder="1" applyProtection="1"/>
    <xf numFmtId="0" fontId="13" fillId="2" borderId="0" xfId="0" applyFont="1" applyFill="1" applyBorder="1" applyProtection="1"/>
    <xf numFmtId="1" fontId="38" fillId="2" borderId="0" xfId="0" applyNumberFormat="1" applyFont="1" applyFill="1" applyBorder="1" applyAlignment="1" applyProtection="1">
      <alignment horizontal="left"/>
    </xf>
    <xf numFmtId="166" fontId="47" fillId="2" borderId="0" xfId="0" applyNumberFormat="1" applyFont="1" applyFill="1" applyBorder="1" applyProtection="1"/>
    <xf numFmtId="3" fontId="35" fillId="2" borderId="0" xfId="0" applyNumberFormat="1" applyFont="1" applyFill="1" applyProtection="1"/>
    <xf numFmtId="0" fontId="7" fillId="2" borderId="0" xfId="0" applyFont="1" applyFill="1" applyProtection="1"/>
    <xf numFmtId="0" fontId="50" fillId="2" borderId="0" xfId="0" applyNumberFormat="1" applyFont="1" applyFill="1" applyProtection="1"/>
    <xf numFmtId="0" fontId="56" fillId="2" borderId="0" xfId="0" applyNumberFormat="1" applyFont="1" applyFill="1" applyProtection="1"/>
    <xf numFmtId="0" fontId="3" fillId="2" borderId="0" xfId="0" applyFont="1" applyFill="1" applyProtection="1"/>
    <xf numFmtId="3" fontId="51" fillId="2" borderId="0" xfId="0" applyNumberFormat="1" applyFont="1" applyFill="1" applyBorder="1" applyAlignment="1" applyProtection="1">
      <alignment horizontal="left"/>
    </xf>
    <xf numFmtId="3" fontId="8" fillId="4" borderId="0" xfId="0" applyNumberFormat="1" applyFont="1" applyFill="1" applyBorder="1" applyProtection="1"/>
    <xf numFmtId="3" fontId="13" fillId="5" borderId="0" xfId="0" applyNumberFormat="1" applyFont="1" applyFill="1" applyBorder="1" applyAlignment="1" applyProtection="1">
      <alignment horizontal="right"/>
    </xf>
    <xf numFmtId="3" fontId="13" fillId="4" borderId="0" xfId="0" applyNumberFormat="1" applyFont="1" applyFill="1" applyBorder="1" applyAlignment="1" applyProtection="1">
      <alignment horizontal="right"/>
    </xf>
    <xf numFmtId="3" fontId="13" fillId="4" borderId="0" xfId="0" applyNumberFormat="1" applyFont="1" applyFill="1" applyBorder="1" applyAlignment="1" applyProtection="1">
      <alignment horizontal="left"/>
    </xf>
    <xf numFmtId="3" fontId="13" fillId="5" borderId="0" xfId="0" applyNumberFormat="1" applyFont="1" applyFill="1" applyBorder="1" applyAlignment="1" applyProtection="1"/>
    <xf numFmtId="3" fontId="13" fillId="5" borderId="0" xfId="0" applyNumberFormat="1" applyFont="1" applyFill="1" applyBorder="1" applyProtection="1"/>
    <xf numFmtId="3" fontId="2" fillId="2" borderId="5" xfId="0" applyNumberFormat="1" applyFont="1" applyFill="1" applyBorder="1" applyAlignment="1" applyProtection="1">
      <alignment horizontal="right"/>
      <protection locked="0"/>
    </xf>
    <xf numFmtId="3" fontId="2" fillId="2" borderId="12" xfId="0" applyNumberFormat="1" applyFont="1" applyFill="1" applyBorder="1" applyAlignment="1" applyProtection="1">
      <alignment horizontal="right"/>
      <protection locked="0"/>
    </xf>
    <xf numFmtId="3" fontId="53" fillId="2" borderId="0" xfId="0" applyNumberFormat="1" applyFont="1" applyFill="1" applyBorder="1" applyProtection="1"/>
    <xf numFmtId="3" fontId="13" fillId="6" borderId="0" xfId="0" applyNumberFormat="1" applyFont="1" applyFill="1" applyBorder="1" applyAlignment="1" applyProtection="1">
      <alignment horizontal="right"/>
    </xf>
    <xf numFmtId="3" fontId="13" fillId="6" borderId="0" xfId="0" applyNumberFormat="1" applyFont="1" applyFill="1" applyBorder="1" applyAlignment="1" applyProtection="1"/>
    <xf numFmtId="0" fontId="64" fillId="2" borderId="0" xfId="0" applyFont="1" applyFill="1" applyProtection="1"/>
    <xf numFmtId="0" fontId="66" fillId="2" borderId="0" xfId="0" applyFont="1" applyFill="1" applyBorder="1" applyAlignment="1" applyProtection="1"/>
    <xf numFmtId="0" fontId="68" fillId="2" borderId="0" xfId="0" quotePrefix="1" applyFont="1" applyFill="1" applyBorder="1" applyAlignment="1" applyProtection="1"/>
    <xf numFmtId="0" fontId="69" fillId="2" borderId="0" xfId="0" applyNumberFormat="1" applyFont="1" applyFill="1" applyProtection="1">
      <protection hidden="1"/>
    </xf>
    <xf numFmtId="0" fontId="69" fillId="2" borderId="0" xfId="0" applyNumberFormat="1" applyFont="1" applyFill="1" applyProtection="1"/>
    <xf numFmtId="0" fontId="70" fillId="2" borderId="0" xfId="0" applyNumberFormat="1" applyFont="1" applyFill="1" applyProtection="1"/>
    <xf numFmtId="0" fontId="70" fillId="2" borderId="0" xfId="0" applyFont="1" applyFill="1" applyProtection="1"/>
    <xf numFmtId="3" fontId="3" fillId="2" borderId="0" xfId="0" applyNumberFormat="1" applyFont="1" applyFill="1" applyBorder="1" applyProtection="1"/>
    <xf numFmtId="3" fontId="2" fillId="2" borderId="2" xfId="0" applyNumberFormat="1" applyFont="1" applyFill="1" applyBorder="1" applyAlignment="1" applyProtection="1">
      <alignment horizontal="right"/>
      <protection locked="0"/>
    </xf>
    <xf numFmtId="3" fontId="16" fillId="2" borderId="0" xfId="0" applyNumberFormat="1" applyFont="1" applyFill="1" applyBorder="1" applyProtection="1"/>
    <xf numFmtId="3" fontId="36" fillId="2" borderId="0" xfId="0" applyNumberFormat="1" applyFont="1" applyFill="1" applyBorder="1" applyAlignment="1" applyProtection="1">
      <alignment horizontal="left"/>
    </xf>
    <xf numFmtId="0" fontId="9" fillId="2" borderId="0" xfId="0" applyFont="1" applyFill="1" applyProtection="1"/>
    <xf numFmtId="167" fontId="9" fillId="2" borderId="0" xfId="0" applyNumberFormat="1" applyFont="1" applyFill="1" applyProtection="1"/>
    <xf numFmtId="0" fontId="36" fillId="2" borderId="0" xfId="0" applyFont="1" applyFill="1" applyProtection="1"/>
    <xf numFmtId="0" fontId="71" fillId="2" borderId="0" xfId="0" applyFont="1" applyFill="1" applyProtection="1"/>
    <xf numFmtId="0" fontId="35" fillId="2" borderId="0" xfId="0" applyFont="1" applyFill="1" applyBorder="1" applyAlignment="1" applyProtection="1">
      <alignment horizontal="left" vertical="top"/>
    </xf>
    <xf numFmtId="1" fontId="3" fillId="2" borderId="1" xfId="0" applyNumberFormat="1" applyFont="1" applyFill="1" applyBorder="1" applyAlignment="1" applyProtection="1">
      <alignment horizontal="left"/>
    </xf>
    <xf numFmtId="0" fontId="31" fillId="0" borderId="0" xfId="0" applyFont="1" applyFill="1" applyBorder="1" applyAlignment="1" applyProtection="1">
      <alignment horizontal="left"/>
    </xf>
    <xf numFmtId="0" fontId="28" fillId="0" borderId="0" xfId="0" applyFont="1" applyFill="1" applyBorder="1" applyAlignment="1" applyProtection="1">
      <alignment horizontal="left"/>
    </xf>
    <xf numFmtId="3" fontId="2" fillId="0" borderId="0" xfId="0" applyNumberFormat="1" applyFont="1" applyFill="1" applyBorder="1" applyAlignment="1" applyProtection="1">
      <alignment horizontal="right"/>
    </xf>
    <xf numFmtId="3" fontId="5" fillId="4" borderId="0" xfId="0" applyNumberFormat="1" applyFont="1" applyFill="1" applyBorder="1" applyProtection="1"/>
    <xf numFmtId="0" fontId="58" fillId="2" borderId="0" xfId="0" applyFont="1" applyFill="1" applyAlignment="1" applyProtection="1">
      <alignment vertical="top"/>
    </xf>
    <xf numFmtId="0" fontId="52" fillId="2" borderId="0" xfId="0" applyFont="1" applyFill="1" applyAlignment="1" applyProtection="1"/>
    <xf numFmtId="0" fontId="52" fillId="2" borderId="0" xfId="0" applyFont="1" applyFill="1" applyAlignment="1" applyProtection="1">
      <alignment vertical="top"/>
    </xf>
    <xf numFmtId="0" fontId="31" fillId="7" borderId="0" xfId="0" applyFont="1" applyFill="1" applyBorder="1" applyAlignment="1" applyProtection="1">
      <alignment horizontal="left"/>
    </xf>
    <xf numFmtId="0" fontId="28" fillId="7" borderId="0" xfId="0" applyFont="1" applyFill="1" applyBorder="1" applyAlignment="1" applyProtection="1">
      <alignment horizontal="left"/>
    </xf>
    <xf numFmtId="0" fontId="3" fillId="0" borderId="0" xfId="0" applyFont="1" applyFill="1" applyProtection="1"/>
    <xf numFmtId="3" fontId="2" fillId="8" borderId="13" xfId="0" applyNumberFormat="1" applyFont="1" applyFill="1" applyBorder="1" applyAlignment="1" applyProtection="1">
      <alignment horizontal="right"/>
    </xf>
    <xf numFmtId="3" fontId="2" fillId="9" borderId="14" xfId="0" applyNumberFormat="1" applyFont="1" applyFill="1" applyBorder="1" applyAlignment="1" applyProtection="1">
      <alignment horizontal="right"/>
    </xf>
    <xf numFmtId="3" fontId="2" fillId="9" borderId="9" xfId="0" applyNumberFormat="1" applyFont="1" applyFill="1" applyBorder="1" applyAlignment="1" applyProtection="1">
      <alignment horizontal="right"/>
    </xf>
    <xf numFmtId="3" fontId="2" fillId="9" borderId="7" xfId="0" applyNumberFormat="1" applyFont="1" applyFill="1" applyBorder="1" applyAlignment="1" applyProtection="1">
      <alignment horizontal="right"/>
    </xf>
    <xf numFmtId="3" fontId="2" fillId="9" borderId="15" xfId="0" applyNumberFormat="1" applyFont="1" applyFill="1" applyBorder="1" applyAlignment="1" applyProtection="1">
      <alignment horizontal="right"/>
    </xf>
    <xf numFmtId="3" fontId="2" fillId="9" borderId="16" xfId="0" applyNumberFormat="1" applyFont="1" applyFill="1" applyBorder="1" applyAlignment="1" applyProtection="1">
      <alignment horizontal="right"/>
    </xf>
    <xf numFmtId="3" fontId="2" fillId="9" borderId="17" xfId="0" applyNumberFormat="1" applyFont="1" applyFill="1" applyBorder="1" applyAlignment="1" applyProtection="1">
      <alignment horizontal="right"/>
    </xf>
    <xf numFmtId="3" fontId="2" fillId="9" borderId="5" xfId="0" applyNumberFormat="1" applyFont="1" applyFill="1" applyBorder="1" applyAlignment="1" applyProtection="1">
      <alignment horizontal="right"/>
    </xf>
    <xf numFmtId="0" fontId="5" fillId="0" borderId="0" xfId="0" applyFont="1" applyFill="1" applyBorder="1" applyAlignment="1" applyProtection="1">
      <alignment horizontal="left"/>
    </xf>
    <xf numFmtId="0" fontId="5" fillId="0" borderId="0" xfId="0" applyFont="1" applyFill="1" applyBorder="1" applyProtection="1"/>
    <xf numFmtId="0" fontId="3" fillId="0" borderId="0" xfId="0" applyFont="1" applyFill="1" applyBorder="1" applyAlignment="1" applyProtection="1">
      <alignment horizontal="left"/>
    </xf>
    <xf numFmtId="0" fontId="31" fillId="7" borderId="0" xfId="0" applyFont="1" applyFill="1" applyAlignment="1" applyProtection="1">
      <alignment vertical="top"/>
    </xf>
    <xf numFmtId="0" fontId="29" fillId="7" borderId="0" xfId="0" applyFont="1" applyFill="1" applyProtection="1"/>
    <xf numFmtId="0" fontId="30" fillId="7" borderId="0" xfId="0" applyFont="1" applyFill="1" applyProtection="1"/>
    <xf numFmtId="0" fontId="31" fillId="7" borderId="0" xfId="0" quotePrefix="1" applyFont="1" applyFill="1" applyBorder="1" applyAlignment="1" applyProtection="1">
      <alignment horizontal="left"/>
    </xf>
    <xf numFmtId="0" fontId="63" fillId="7" borderId="0" xfId="0" applyFont="1" applyFill="1" applyProtection="1"/>
    <xf numFmtId="0" fontId="64" fillId="7" borderId="0" xfId="0" applyFont="1" applyFill="1" applyProtection="1"/>
    <xf numFmtId="167" fontId="64" fillId="7" borderId="0" xfId="0" applyNumberFormat="1" applyFont="1" applyFill="1" applyProtection="1"/>
    <xf numFmtId="3" fontId="2" fillId="9" borderId="9" xfId="0" applyNumberFormat="1" applyFont="1" applyFill="1" applyBorder="1" applyProtection="1"/>
    <xf numFmtId="3" fontId="2" fillId="9" borderId="5" xfId="0" applyNumberFormat="1" applyFont="1" applyFill="1" applyBorder="1" applyProtection="1"/>
    <xf numFmtId="3" fontId="2" fillId="2" borderId="18" xfId="0" applyNumberFormat="1" applyFont="1" applyFill="1" applyBorder="1" applyAlignment="1" applyProtection="1">
      <alignment horizontal="right"/>
      <protection locked="0"/>
    </xf>
    <xf numFmtId="3" fontId="13" fillId="2" borderId="18" xfId="0" applyNumberFormat="1" applyFont="1" applyFill="1" applyBorder="1" applyAlignment="1" applyProtection="1">
      <alignment horizontal="right"/>
      <protection locked="0"/>
    </xf>
    <xf numFmtId="3" fontId="13" fillId="2" borderId="19" xfId="0" applyNumberFormat="1" applyFont="1" applyFill="1" applyBorder="1" applyAlignment="1" applyProtection="1">
      <alignment horizontal="right"/>
      <protection locked="0"/>
    </xf>
    <xf numFmtId="3" fontId="13" fillId="2" borderId="20" xfId="0" applyNumberFormat="1" applyFont="1" applyFill="1" applyBorder="1" applyAlignment="1" applyProtection="1">
      <alignment horizontal="right"/>
      <protection locked="0"/>
    </xf>
    <xf numFmtId="3" fontId="13" fillId="2" borderId="21" xfId="0" applyNumberFormat="1" applyFont="1" applyFill="1" applyBorder="1" applyAlignment="1" applyProtection="1">
      <alignment horizontal="right"/>
      <protection locked="0"/>
    </xf>
    <xf numFmtId="3" fontId="13" fillId="2" borderId="22" xfId="0" applyNumberFormat="1" applyFont="1" applyFill="1" applyBorder="1" applyAlignment="1" applyProtection="1">
      <alignment horizontal="right"/>
      <protection locked="0"/>
    </xf>
    <xf numFmtId="3" fontId="13" fillId="3" borderId="19" xfId="0" applyNumberFormat="1" applyFont="1" applyFill="1" applyBorder="1" applyAlignment="1" applyProtection="1">
      <alignment horizontal="right"/>
    </xf>
    <xf numFmtId="3" fontId="13" fillId="2" borderId="23" xfId="0" applyNumberFormat="1" applyFont="1" applyFill="1" applyBorder="1" applyAlignment="1" applyProtection="1">
      <alignment horizontal="right"/>
      <protection locked="0"/>
    </xf>
    <xf numFmtId="3" fontId="13" fillId="2" borderId="24" xfId="0" applyNumberFormat="1" applyFont="1" applyFill="1" applyBorder="1" applyAlignment="1" applyProtection="1">
      <alignment horizontal="right"/>
      <protection locked="0"/>
    </xf>
    <xf numFmtId="3" fontId="13" fillId="2" borderId="25" xfId="0" applyNumberFormat="1" applyFont="1" applyFill="1" applyBorder="1" applyAlignment="1" applyProtection="1">
      <alignment horizontal="right"/>
      <protection locked="0"/>
    </xf>
    <xf numFmtId="3" fontId="13" fillId="2" borderId="26" xfId="0" applyNumberFormat="1" applyFont="1" applyFill="1" applyBorder="1" applyAlignment="1" applyProtection="1">
      <alignment horizontal="right"/>
      <protection locked="0"/>
    </xf>
    <xf numFmtId="0" fontId="5" fillId="2" borderId="0" xfId="0" applyFont="1" applyFill="1" applyBorder="1" applyProtection="1"/>
    <xf numFmtId="0" fontId="8" fillId="4" borderId="0" xfId="0" applyFont="1" applyFill="1" applyBorder="1" applyProtection="1"/>
    <xf numFmtId="3" fontId="13" fillId="5" borderId="27" xfId="0" applyNumberFormat="1" applyFont="1" applyFill="1" applyBorder="1" applyAlignment="1" applyProtection="1">
      <alignment horizontal="right"/>
    </xf>
    <xf numFmtId="3" fontId="13" fillId="2" borderId="28" xfId="0" applyNumberFormat="1" applyFont="1" applyFill="1" applyBorder="1" applyAlignment="1" applyProtection="1">
      <alignment horizontal="right"/>
      <protection locked="0"/>
    </xf>
    <xf numFmtId="3" fontId="13" fillId="2" borderId="29" xfId="0" applyNumberFormat="1" applyFont="1" applyFill="1" applyBorder="1" applyAlignment="1" applyProtection="1">
      <alignment horizontal="right"/>
      <protection locked="0"/>
    </xf>
    <xf numFmtId="3" fontId="13" fillId="2" borderId="30" xfId="0" applyNumberFormat="1" applyFont="1" applyFill="1" applyBorder="1" applyAlignment="1" applyProtection="1">
      <alignment horizontal="right"/>
      <protection locked="0"/>
    </xf>
    <xf numFmtId="3" fontId="13" fillId="3" borderId="31" xfId="0" applyNumberFormat="1" applyFont="1" applyFill="1" applyBorder="1" applyAlignment="1" applyProtection="1">
      <alignment horizontal="right"/>
    </xf>
    <xf numFmtId="3" fontId="13" fillId="3" borderId="29" xfId="0" applyNumberFormat="1" applyFont="1" applyFill="1" applyBorder="1" applyAlignment="1" applyProtection="1">
      <alignment horizontal="right"/>
    </xf>
    <xf numFmtId="3" fontId="13" fillId="3" borderId="32" xfId="0" applyNumberFormat="1" applyFont="1" applyFill="1" applyBorder="1" applyAlignment="1" applyProtection="1">
      <alignment horizontal="right"/>
    </xf>
    <xf numFmtId="3" fontId="13" fillId="2" borderId="32" xfId="0" applyNumberFormat="1" applyFont="1" applyFill="1" applyBorder="1" applyAlignment="1" applyProtection="1">
      <alignment horizontal="right"/>
      <protection locked="0"/>
    </xf>
    <xf numFmtId="3" fontId="2" fillId="9" borderId="33" xfId="0" applyNumberFormat="1" applyFont="1" applyFill="1" applyBorder="1" applyProtection="1"/>
    <xf numFmtId="3" fontId="2" fillId="9" borderId="34" xfId="0" applyNumberFormat="1" applyFont="1" applyFill="1" applyBorder="1" applyAlignment="1" applyProtection="1">
      <alignment horizontal="right"/>
    </xf>
    <xf numFmtId="3" fontId="2" fillId="9" borderId="35" xfId="0" applyNumberFormat="1" applyFont="1" applyFill="1" applyBorder="1" applyAlignment="1" applyProtection="1">
      <alignment horizontal="right"/>
    </xf>
    <xf numFmtId="0" fontId="3" fillId="10" borderId="36" xfId="0" applyFont="1" applyFill="1" applyBorder="1" applyAlignment="1" applyProtection="1">
      <alignment horizontal="center"/>
    </xf>
    <xf numFmtId="0" fontId="3" fillId="10" borderId="37" xfId="0" applyFont="1" applyFill="1" applyBorder="1" applyAlignment="1" applyProtection="1">
      <alignment horizontal="center"/>
    </xf>
    <xf numFmtId="0" fontId="3" fillId="10" borderId="38" xfId="0" applyFont="1" applyFill="1" applyBorder="1" applyAlignment="1" applyProtection="1">
      <alignment horizontal="center"/>
    </xf>
    <xf numFmtId="0" fontId="35" fillId="2" borderId="0" xfId="0" applyFont="1" applyFill="1" applyBorder="1" applyProtection="1"/>
    <xf numFmtId="0" fontId="50" fillId="2" borderId="0" xfId="0" applyNumberFormat="1" applyFont="1" applyFill="1" applyBorder="1" applyProtection="1"/>
    <xf numFmtId="165" fontId="9" fillId="2" borderId="1" xfId="0" applyNumberFormat="1" applyFont="1" applyFill="1" applyBorder="1" applyAlignment="1" applyProtection="1">
      <alignment horizontal="center" vertical="center"/>
    </xf>
    <xf numFmtId="3" fontId="2" fillId="9" borderId="40" xfId="0" applyNumberFormat="1" applyFont="1" applyFill="1" applyBorder="1" applyAlignment="1" applyProtection="1">
      <alignment horizontal="right"/>
    </xf>
    <xf numFmtId="3" fontId="2" fillId="9" borderId="20" xfId="0" applyNumberFormat="1" applyFont="1" applyFill="1" applyBorder="1" applyAlignment="1" applyProtection="1">
      <alignment horizontal="right"/>
    </xf>
    <xf numFmtId="3" fontId="2" fillId="9" borderId="41" xfId="0" applyNumberFormat="1" applyFont="1" applyFill="1" applyBorder="1" applyAlignment="1" applyProtection="1">
      <alignment horizontal="right"/>
    </xf>
    <xf numFmtId="0" fontId="31" fillId="7" borderId="0" xfId="6" applyFont="1" applyFill="1" applyBorder="1" applyAlignment="1" applyProtection="1">
      <alignment horizontal="left"/>
    </xf>
    <xf numFmtId="0" fontId="28" fillId="7" borderId="0" xfId="6" applyFont="1" applyFill="1" applyBorder="1" applyAlignment="1" applyProtection="1">
      <alignment horizontal="left"/>
    </xf>
    <xf numFmtId="0" fontId="3" fillId="0" borderId="0" xfId="6" applyFont="1" applyFill="1" applyProtection="1"/>
    <xf numFmtId="3" fontId="2" fillId="2" borderId="5" xfId="6" applyNumberFormat="1" applyFont="1" applyFill="1" applyBorder="1" applyAlignment="1" applyProtection="1">
      <alignment horizontal="right"/>
      <protection locked="0"/>
    </xf>
    <xf numFmtId="3" fontId="2" fillId="8" borderId="2" xfId="6" applyNumberFormat="1" applyFont="1" applyFill="1" applyBorder="1" applyAlignment="1" applyProtection="1">
      <alignment horizontal="right"/>
    </xf>
    <xf numFmtId="3" fontId="2" fillId="9" borderId="5" xfId="6" applyNumberFormat="1" applyFont="1" applyFill="1" applyBorder="1" applyAlignment="1" applyProtection="1">
      <alignment horizontal="right"/>
    </xf>
    <xf numFmtId="0" fontId="78" fillId="10" borderId="0" xfId="0" applyFont="1" applyFill="1" applyBorder="1" applyAlignment="1">
      <alignment wrapText="1"/>
    </xf>
    <xf numFmtId="0" fontId="75" fillId="10" borderId="0" xfId="0" applyFont="1" applyFill="1" applyBorder="1" applyAlignment="1">
      <alignment horizontal="center" wrapText="1"/>
    </xf>
    <xf numFmtId="3" fontId="61" fillId="2" borderId="0" xfId="0" applyNumberFormat="1" applyFont="1" applyFill="1" applyBorder="1" applyAlignment="1" applyProtection="1"/>
    <xf numFmtId="3" fontId="35" fillId="0" borderId="0" xfId="0" applyNumberFormat="1" applyFont="1" applyFill="1" applyBorder="1" applyProtection="1"/>
    <xf numFmtId="49" fontId="5" fillId="0" borderId="0" xfId="0" applyNumberFormat="1" applyFont="1" applyFill="1" applyBorder="1" applyAlignment="1" applyProtection="1">
      <alignment horizontal="left"/>
    </xf>
    <xf numFmtId="0" fontId="1" fillId="0" borderId="0" xfId="0" applyFont="1" applyFill="1" applyBorder="1" applyProtection="1"/>
    <xf numFmtId="0" fontId="7" fillId="0" borderId="0" xfId="0" applyFont="1" applyFill="1" applyBorder="1" applyProtection="1"/>
    <xf numFmtId="3" fontId="3" fillId="0" borderId="0" xfId="0" applyNumberFormat="1" applyFont="1" applyFill="1" applyBorder="1" applyProtection="1"/>
    <xf numFmtId="0" fontId="3" fillId="0" borderId="0" xfId="0" applyFont="1" applyFill="1" applyBorder="1" applyProtection="1"/>
    <xf numFmtId="3" fontId="13" fillId="0" borderId="0" xfId="0" applyNumberFormat="1" applyFont="1" applyFill="1" applyBorder="1" applyAlignment="1" applyProtection="1">
      <alignment horizontal="right"/>
    </xf>
    <xf numFmtId="3" fontId="13" fillId="0" borderId="0" xfId="0" applyNumberFormat="1" applyFont="1" applyFill="1" applyBorder="1" applyAlignment="1" applyProtection="1"/>
    <xf numFmtId="49" fontId="2" fillId="10" borderId="44" xfId="0" applyNumberFormat="1" applyFont="1" applyFill="1" applyBorder="1" applyAlignment="1" applyProtection="1"/>
    <xf numFmtId="49" fontId="2" fillId="10" borderId="28" xfId="0" applyNumberFormat="1" applyFont="1" applyFill="1" applyBorder="1" applyAlignment="1" applyProtection="1"/>
    <xf numFmtId="49" fontId="2" fillId="10" borderId="29" xfId="0" applyNumberFormat="1" applyFont="1" applyFill="1" applyBorder="1" applyAlignment="1" applyProtection="1"/>
    <xf numFmtId="49" fontId="2" fillId="10" borderId="45" xfId="0" applyNumberFormat="1" applyFont="1" applyFill="1" applyBorder="1" applyAlignment="1" applyProtection="1"/>
    <xf numFmtId="49" fontId="2" fillId="10" borderId="46" xfId="0" applyNumberFormat="1" applyFont="1" applyFill="1" applyBorder="1" applyAlignment="1" applyProtection="1"/>
    <xf numFmtId="49" fontId="2" fillId="10" borderId="47" xfId="0" applyNumberFormat="1" applyFont="1" applyFill="1" applyBorder="1" applyAlignment="1" applyProtection="1"/>
    <xf numFmtId="49" fontId="2" fillId="10" borderId="30" xfId="0" applyNumberFormat="1" applyFont="1" applyFill="1" applyBorder="1" applyAlignment="1" applyProtection="1"/>
    <xf numFmtId="3" fontId="86" fillId="0" borderId="0" xfId="0" applyNumberFormat="1" applyFont="1" applyFill="1" applyBorder="1" applyProtection="1"/>
    <xf numFmtId="0" fontId="65" fillId="2" borderId="0" xfId="0" applyFont="1" applyFill="1" applyProtection="1"/>
    <xf numFmtId="0" fontId="88" fillId="7" borderId="0" xfId="0" applyFont="1" applyFill="1" applyProtection="1"/>
    <xf numFmtId="0" fontId="88" fillId="2" borderId="0" xfId="0" applyFont="1" applyFill="1" applyProtection="1"/>
    <xf numFmtId="0" fontId="65" fillId="2" borderId="0" xfId="0" applyNumberFormat="1" applyFont="1" applyFill="1" applyBorder="1" applyProtection="1"/>
    <xf numFmtId="170" fontId="86" fillId="2" borderId="0" xfId="0" applyNumberFormat="1" applyFont="1" applyFill="1" applyBorder="1" applyAlignment="1" applyProtection="1">
      <alignment horizontal="left"/>
    </xf>
    <xf numFmtId="3" fontId="86" fillId="2" borderId="0" xfId="0" applyNumberFormat="1" applyFont="1" applyFill="1" applyBorder="1" applyProtection="1"/>
    <xf numFmtId="0" fontId="86" fillId="2" borderId="0" xfId="0" applyFont="1" applyFill="1" applyProtection="1"/>
    <xf numFmtId="3" fontId="2" fillId="9" borderId="48" xfId="0" applyNumberFormat="1" applyFont="1" applyFill="1" applyBorder="1" applyAlignment="1" applyProtection="1">
      <alignment horizontal="right"/>
    </xf>
    <xf numFmtId="3" fontId="2" fillId="9" borderId="49" xfId="0" applyNumberFormat="1" applyFont="1" applyFill="1" applyBorder="1" applyAlignment="1" applyProtection="1">
      <alignment horizontal="right"/>
    </xf>
    <xf numFmtId="49" fontId="2" fillId="10" borderId="0" xfId="0" applyNumberFormat="1" applyFont="1" applyFill="1" applyBorder="1" applyAlignment="1" applyProtection="1"/>
    <xf numFmtId="49" fontId="2" fillId="10" borderId="50" xfId="0" applyNumberFormat="1" applyFont="1" applyFill="1" applyBorder="1" applyAlignment="1" applyProtection="1"/>
    <xf numFmtId="49" fontId="2" fillId="10" borderId="51" xfId="0" applyNumberFormat="1" applyFont="1" applyFill="1" applyBorder="1" applyAlignment="1" applyProtection="1"/>
    <xf numFmtId="0" fontId="0" fillId="7" borderId="0" xfId="0" applyFill="1" applyProtection="1"/>
    <xf numFmtId="0" fontId="0" fillId="0" borderId="0" xfId="0" applyFill="1" applyBorder="1" applyProtection="1"/>
    <xf numFmtId="0" fontId="0" fillId="0" borderId="0" xfId="0" applyProtection="1"/>
    <xf numFmtId="0" fontId="0" fillId="2" borderId="0" xfId="0" applyFill="1" applyBorder="1" applyProtection="1"/>
    <xf numFmtId="0" fontId="2" fillId="2" borderId="0" xfId="0" applyFont="1" applyFill="1" applyBorder="1" applyProtection="1"/>
    <xf numFmtId="0" fontId="0" fillId="0" borderId="0" xfId="0" applyBorder="1" applyAlignment="1" applyProtection="1"/>
    <xf numFmtId="3" fontId="2" fillId="0" borderId="5" xfId="0" applyNumberFormat="1" applyFont="1" applyFill="1" applyBorder="1" applyAlignment="1" applyProtection="1">
      <alignment horizontal="right"/>
      <protection locked="0"/>
    </xf>
    <xf numFmtId="3" fontId="2" fillId="0" borderId="52" xfId="0" applyNumberFormat="1" applyFont="1" applyFill="1" applyBorder="1" applyAlignment="1" applyProtection="1">
      <alignment horizontal="right"/>
      <protection locked="0"/>
    </xf>
    <xf numFmtId="3" fontId="2" fillId="2" borderId="53" xfId="0" applyNumberFormat="1" applyFont="1" applyFill="1" applyBorder="1" applyAlignment="1" applyProtection="1">
      <alignment horizontal="right"/>
      <protection locked="0"/>
    </xf>
    <xf numFmtId="3" fontId="2" fillId="2" borderId="19" xfId="0" applyNumberFormat="1" applyFont="1" applyFill="1" applyBorder="1" applyAlignment="1" applyProtection="1">
      <alignment horizontal="right"/>
      <protection locked="0"/>
    </xf>
    <xf numFmtId="166" fontId="35" fillId="0" borderId="0" xfId="0" applyNumberFormat="1" applyFont="1" applyFill="1" applyBorder="1" applyProtection="1"/>
    <xf numFmtId="0" fontId="35" fillId="2" borderId="0" xfId="0" applyFont="1" applyFill="1" applyProtection="1"/>
    <xf numFmtId="0" fontId="35" fillId="2" borderId="0" xfId="0" applyFont="1" applyFill="1" applyBorder="1" applyAlignment="1" applyProtection="1">
      <alignment horizontal="left"/>
    </xf>
    <xf numFmtId="0" fontId="52" fillId="2" borderId="0" xfId="0" applyFont="1" applyFill="1" applyProtection="1"/>
    <xf numFmtId="0" fontId="52" fillId="0" borderId="0" xfId="0" applyFont="1" applyFill="1" applyBorder="1" applyProtection="1"/>
    <xf numFmtId="49" fontId="0" fillId="2" borderId="0" xfId="0" applyNumberFormat="1" applyFill="1" applyProtection="1"/>
    <xf numFmtId="0" fontId="87" fillId="2" borderId="0" xfId="0" applyFont="1" applyFill="1" applyProtection="1"/>
    <xf numFmtId="0" fontId="22" fillId="2" borderId="0" xfId="0" applyFont="1" applyFill="1" applyProtection="1"/>
    <xf numFmtId="3" fontId="2" fillId="2" borderId="54" xfId="0" applyNumberFormat="1" applyFont="1" applyFill="1" applyBorder="1" applyAlignment="1" applyProtection="1">
      <alignment horizontal="right"/>
      <protection locked="0"/>
    </xf>
    <xf numFmtId="3" fontId="2" fillId="6" borderId="18" xfId="0" applyNumberFormat="1" applyFont="1" applyFill="1" applyBorder="1" applyAlignment="1" applyProtection="1">
      <alignment horizontal="right"/>
      <protection locked="0"/>
    </xf>
    <xf numFmtId="3" fontId="2" fillId="2" borderId="55" xfId="0" applyNumberFormat="1" applyFont="1" applyFill="1" applyBorder="1" applyAlignment="1" applyProtection="1">
      <alignment horizontal="right"/>
      <protection locked="0"/>
    </xf>
    <xf numFmtId="3" fontId="2" fillId="6" borderId="19" xfId="0" applyNumberFormat="1" applyFont="1" applyFill="1" applyBorder="1" applyAlignment="1" applyProtection="1">
      <alignment horizontal="right"/>
      <protection locked="0"/>
    </xf>
    <xf numFmtId="3" fontId="2" fillId="11" borderId="18" xfId="0" applyNumberFormat="1" applyFont="1" applyFill="1" applyBorder="1" applyAlignment="1" applyProtection="1">
      <alignment horizontal="right"/>
      <protection locked="0"/>
    </xf>
    <xf numFmtId="3" fontId="2" fillId="2" borderId="26" xfId="0" applyNumberFormat="1" applyFont="1" applyFill="1" applyBorder="1" applyAlignment="1" applyProtection="1">
      <alignment horizontal="right"/>
      <protection locked="0"/>
    </xf>
    <xf numFmtId="3" fontId="2" fillId="6" borderId="54" xfId="0" applyNumberFormat="1" applyFont="1" applyFill="1" applyBorder="1" applyAlignment="1" applyProtection="1">
      <alignment horizontal="right"/>
      <protection locked="0"/>
    </xf>
    <xf numFmtId="3" fontId="2" fillId="6" borderId="12" xfId="0" applyNumberFormat="1" applyFont="1" applyFill="1" applyBorder="1" applyAlignment="1" applyProtection="1">
      <alignment horizontal="right"/>
      <protection locked="0"/>
    </xf>
    <xf numFmtId="3" fontId="2" fillId="6" borderId="56" xfId="0" applyNumberFormat="1" applyFont="1" applyFill="1" applyBorder="1" applyAlignment="1" applyProtection="1">
      <alignment horizontal="right"/>
      <protection locked="0"/>
    </xf>
    <xf numFmtId="3" fontId="2" fillId="2" borderId="20" xfId="0" applyNumberFormat="1" applyFont="1" applyFill="1" applyBorder="1" applyAlignment="1" applyProtection="1">
      <alignment horizontal="right"/>
      <protection locked="0"/>
    </xf>
    <xf numFmtId="3" fontId="2" fillId="2" borderId="57" xfId="0" applyNumberFormat="1" applyFont="1" applyFill="1" applyBorder="1" applyAlignment="1" applyProtection="1">
      <alignment horizontal="right"/>
      <protection locked="0"/>
    </xf>
    <xf numFmtId="0" fontId="0" fillId="7" borderId="0" xfId="0" applyFill="1" applyBorder="1" applyProtection="1"/>
    <xf numFmtId="0" fontId="0" fillId="4" borderId="0" xfId="0" applyFill="1" applyProtection="1"/>
    <xf numFmtId="0" fontId="22" fillId="2" borderId="0" xfId="0" applyFont="1" applyFill="1" applyBorder="1" applyProtection="1"/>
    <xf numFmtId="0" fontId="57" fillId="2" borderId="0" xfId="0" quotePrefix="1" applyFont="1" applyFill="1" applyAlignment="1" applyProtection="1">
      <alignment horizontal="left"/>
    </xf>
    <xf numFmtId="0" fontId="40" fillId="2" borderId="0" xfId="0" applyFont="1" applyFill="1" applyAlignment="1" applyProtection="1">
      <alignment horizontal="center"/>
    </xf>
    <xf numFmtId="0" fontId="40" fillId="4" borderId="0" xfId="0" applyFont="1" applyFill="1" applyBorder="1" applyAlignment="1" applyProtection="1">
      <alignment horizontal="center"/>
    </xf>
    <xf numFmtId="0" fontId="40" fillId="2" borderId="0" xfId="0" applyFont="1" applyFill="1" applyBorder="1" applyAlignment="1" applyProtection="1">
      <alignment horizontal="center"/>
    </xf>
    <xf numFmtId="0" fontId="41" fillId="2" borderId="0" xfId="0" applyFont="1" applyFill="1" applyBorder="1" applyAlignment="1" applyProtection="1">
      <alignment horizontal="center"/>
    </xf>
    <xf numFmtId="0" fontId="39" fillId="0" borderId="0" xfId="0" applyFont="1" applyFill="1" applyBorder="1" applyProtection="1"/>
    <xf numFmtId="0" fontId="52" fillId="0" borderId="0" xfId="0" applyFont="1" applyFill="1" applyProtection="1"/>
    <xf numFmtId="0" fontId="0" fillId="0" borderId="0" xfId="0" applyFill="1" applyProtection="1"/>
    <xf numFmtId="0" fontId="11" fillId="4" borderId="0" xfId="0" applyFont="1" applyFill="1" applyBorder="1" applyProtection="1"/>
    <xf numFmtId="49" fontId="11" fillId="0" borderId="58" xfId="0" applyNumberFormat="1" applyFont="1" applyFill="1" applyBorder="1" applyProtection="1"/>
    <xf numFmtId="0" fontId="22" fillId="0" borderId="0" xfId="0" applyFont="1" applyFill="1" applyBorder="1" applyProtection="1"/>
    <xf numFmtId="0" fontId="23" fillId="4" borderId="0" xfId="0" applyFont="1" applyFill="1" applyBorder="1" applyProtection="1"/>
    <xf numFmtId="3" fontId="13" fillId="4" borderId="0" xfId="0" applyNumberFormat="1" applyFont="1" applyFill="1" applyBorder="1" applyProtection="1"/>
    <xf numFmtId="0" fontId="52" fillId="2" borderId="0" xfId="0" applyFont="1" applyFill="1" applyBorder="1" applyProtection="1"/>
    <xf numFmtId="0" fontId="19" fillId="2" borderId="0" xfId="0" applyFont="1" applyFill="1" applyBorder="1" applyProtection="1"/>
    <xf numFmtId="0" fontId="11" fillId="2" borderId="0" xfId="0" applyFont="1" applyFill="1" applyBorder="1" applyProtection="1"/>
    <xf numFmtId="49" fontId="11" fillId="2" borderId="0" xfId="0" applyNumberFormat="1" applyFont="1" applyFill="1" applyBorder="1" applyAlignment="1" applyProtection="1">
      <alignment horizontal="center"/>
    </xf>
    <xf numFmtId="0" fontId="0" fillId="2" borderId="0" xfId="0" applyFill="1" applyBorder="1" applyAlignment="1" applyProtection="1"/>
    <xf numFmtId="3" fontId="16" fillId="0" borderId="0" xfId="0" applyNumberFormat="1" applyFont="1" applyFill="1" applyBorder="1" applyProtection="1"/>
    <xf numFmtId="0" fontId="22" fillId="0" borderId="0" xfId="0" applyFont="1" applyProtection="1"/>
    <xf numFmtId="0" fontId="22" fillId="0" borderId="0" xfId="0" applyFont="1" applyBorder="1" applyProtection="1"/>
    <xf numFmtId="0" fontId="85" fillId="0" borderId="0" xfId="0" applyFont="1" applyFill="1" applyBorder="1" applyProtection="1"/>
    <xf numFmtId="3" fontId="2" fillId="0" borderId="32" xfId="0" applyNumberFormat="1" applyFont="1" applyFill="1" applyBorder="1" applyAlignment="1" applyProtection="1">
      <alignment horizontal="right"/>
      <protection locked="0"/>
    </xf>
    <xf numFmtId="0" fontId="9" fillId="2" borderId="0" xfId="0" applyFont="1" applyFill="1" applyBorder="1" applyProtection="1"/>
    <xf numFmtId="0" fontId="9" fillId="2" borderId="1" xfId="0" applyFont="1" applyFill="1" applyBorder="1" applyProtection="1"/>
    <xf numFmtId="0" fontId="19" fillId="2" borderId="0" xfId="0" applyFont="1" applyFill="1" applyProtection="1"/>
    <xf numFmtId="0" fontId="11" fillId="2" borderId="1" xfId="0" applyFont="1" applyFill="1" applyBorder="1" applyProtection="1"/>
    <xf numFmtId="0" fontId="9" fillId="0" borderId="0" xfId="0" applyFont="1" applyFill="1" applyBorder="1" applyProtection="1"/>
    <xf numFmtId="3" fontId="2" fillId="2" borderId="59" xfId="0" applyNumberFormat="1" applyFont="1" applyFill="1" applyBorder="1" applyAlignment="1" applyProtection="1">
      <alignment horizontal="right"/>
      <protection locked="0"/>
    </xf>
    <xf numFmtId="3" fontId="13" fillId="2" borderId="53" xfId="0" applyNumberFormat="1" applyFont="1" applyFill="1" applyBorder="1" applyAlignment="1" applyProtection="1">
      <alignment horizontal="right"/>
      <protection locked="0"/>
    </xf>
    <xf numFmtId="3" fontId="13" fillId="0" borderId="20" xfId="0" applyNumberFormat="1" applyFont="1" applyFill="1" applyBorder="1" applyAlignment="1" applyProtection="1">
      <alignment horizontal="right"/>
      <protection locked="0"/>
    </xf>
    <xf numFmtId="3" fontId="13" fillId="0" borderId="19" xfId="0" applyNumberFormat="1" applyFont="1" applyFill="1" applyBorder="1" applyAlignment="1" applyProtection="1">
      <alignment horizontal="right"/>
      <protection locked="0"/>
    </xf>
    <xf numFmtId="3" fontId="2" fillId="2" borderId="60" xfId="0" applyNumberFormat="1" applyFont="1" applyFill="1" applyBorder="1" applyAlignment="1" applyProtection="1">
      <alignment horizontal="right"/>
      <protection locked="0"/>
    </xf>
    <xf numFmtId="3" fontId="10" fillId="2" borderId="18" xfId="0" applyNumberFormat="1" applyFont="1" applyFill="1" applyBorder="1" applyAlignment="1" applyProtection="1">
      <alignment horizontal="right"/>
      <protection locked="0"/>
    </xf>
    <xf numFmtId="3" fontId="13" fillId="0" borderId="18" xfId="0" applyNumberFormat="1" applyFont="1" applyFill="1" applyBorder="1" applyAlignment="1" applyProtection="1">
      <alignment horizontal="right"/>
      <protection locked="0"/>
    </xf>
    <xf numFmtId="3" fontId="13" fillId="0" borderId="26" xfId="0" applyNumberFormat="1" applyFont="1" applyFill="1" applyBorder="1" applyAlignment="1" applyProtection="1">
      <alignment horizontal="right"/>
      <protection locked="0"/>
    </xf>
    <xf numFmtId="3" fontId="13" fillId="2" borderId="61" xfId="0" applyNumberFormat="1" applyFont="1" applyFill="1" applyBorder="1" applyAlignment="1" applyProtection="1">
      <alignment horizontal="right"/>
      <protection locked="0"/>
    </xf>
    <xf numFmtId="3" fontId="13" fillId="0" borderId="62" xfId="0" applyNumberFormat="1" applyFont="1" applyFill="1" applyBorder="1" applyAlignment="1" applyProtection="1">
      <alignment horizontal="right"/>
      <protection locked="0"/>
    </xf>
    <xf numFmtId="0" fontId="8" fillId="2" borderId="0" xfId="0" applyFont="1" applyFill="1" applyAlignment="1" applyProtection="1"/>
    <xf numFmtId="0" fontId="35" fillId="0" borderId="0" xfId="0" applyFont="1" applyProtection="1"/>
    <xf numFmtId="0" fontId="35" fillId="0" borderId="0" xfId="0" applyFont="1" applyFill="1" applyProtection="1"/>
    <xf numFmtId="0" fontId="11" fillId="0" borderId="0" xfId="0" applyFont="1" applyFill="1" applyBorder="1" applyAlignment="1" applyProtection="1">
      <alignment horizontal="center"/>
    </xf>
    <xf numFmtId="3" fontId="13" fillId="0" borderId="63" xfId="0" applyNumberFormat="1" applyFont="1" applyFill="1" applyBorder="1" applyAlignment="1" applyProtection="1">
      <alignment horizontal="right"/>
      <protection locked="0"/>
    </xf>
    <xf numFmtId="0" fontId="62" fillId="0" borderId="0" xfId="0" applyFont="1" applyFill="1" applyBorder="1" applyProtection="1"/>
    <xf numFmtId="0" fontId="62" fillId="0" borderId="0" xfId="0" applyFont="1" applyFill="1" applyProtection="1"/>
    <xf numFmtId="0" fontId="62" fillId="2" borderId="0" xfId="0" applyFont="1" applyFill="1" applyProtection="1"/>
    <xf numFmtId="0" fontId="67" fillId="2" borderId="0" xfId="0" applyFont="1" applyFill="1" applyAlignment="1" applyProtection="1"/>
    <xf numFmtId="0" fontId="67" fillId="0" borderId="0" xfId="0" applyFont="1" applyFill="1" applyBorder="1" applyAlignment="1" applyProtection="1"/>
    <xf numFmtId="0" fontId="0" fillId="2" borderId="0" xfId="0" applyFont="1" applyFill="1" applyProtection="1"/>
    <xf numFmtId="0" fontId="0" fillId="0" borderId="0" xfId="0" applyFont="1" applyFill="1" applyBorder="1" applyProtection="1"/>
    <xf numFmtId="0" fontId="0" fillId="2" borderId="0" xfId="0" applyFill="1" applyBorder="1" applyAlignment="1" applyProtection="1">
      <alignment horizontal="left"/>
    </xf>
    <xf numFmtId="49" fontId="3" fillId="0" borderId="0" xfId="0" applyNumberFormat="1" applyFont="1" applyFill="1" applyBorder="1" applyProtection="1"/>
    <xf numFmtId="3" fontId="10" fillId="2" borderId="8" xfId="0" applyNumberFormat="1" applyFont="1" applyFill="1" applyBorder="1" applyAlignment="1" applyProtection="1">
      <alignment horizontal="right"/>
      <protection locked="0"/>
    </xf>
    <xf numFmtId="3" fontId="10" fillId="2" borderId="5" xfId="0" applyNumberFormat="1" applyFont="1" applyFill="1" applyBorder="1" applyAlignment="1" applyProtection="1">
      <alignment horizontal="right"/>
      <protection locked="0"/>
    </xf>
    <xf numFmtId="3" fontId="10" fillId="2" borderId="5" xfId="0" quotePrefix="1" applyNumberFormat="1" applyFont="1" applyFill="1" applyBorder="1" applyAlignment="1" applyProtection="1">
      <alignment horizontal="right"/>
      <protection locked="0"/>
    </xf>
    <xf numFmtId="3" fontId="10" fillId="0" borderId="8" xfId="0" applyNumberFormat="1" applyFont="1" applyFill="1" applyBorder="1" applyAlignment="1" applyProtection="1">
      <alignment horizontal="right"/>
      <protection locked="0"/>
    </xf>
    <xf numFmtId="3" fontId="10" fillId="0" borderId="5" xfId="0" applyNumberFormat="1" applyFont="1" applyFill="1" applyBorder="1" applyAlignment="1" applyProtection="1">
      <alignment horizontal="right"/>
      <protection locked="0"/>
    </xf>
    <xf numFmtId="3" fontId="13" fillId="2" borderId="42" xfId="0" applyNumberFormat="1" applyFont="1" applyFill="1" applyBorder="1" applyAlignment="1" applyProtection="1">
      <alignment horizontal="right"/>
      <protection locked="0"/>
    </xf>
    <xf numFmtId="3" fontId="13" fillId="6" borderId="42" xfId="0" applyNumberFormat="1" applyFont="1" applyFill="1" applyBorder="1" applyAlignment="1" applyProtection="1">
      <alignment horizontal="right"/>
      <protection locked="0"/>
    </xf>
    <xf numFmtId="3" fontId="13" fillId="2" borderId="13" xfId="0" applyNumberFormat="1" applyFont="1" applyFill="1" applyBorder="1" applyAlignment="1" applyProtection="1">
      <alignment horizontal="right"/>
      <protection locked="0"/>
    </xf>
    <xf numFmtId="49" fontId="7" fillId="2" borderId="0" xfId="0" applyNumberFormat="1" applyFont="1" applyFill="1" applyBorder="1" applyAlignment="1" applyProtection="1">
      <alignment vertical="top" wrapText="1"/>
    </xf>
    <xf numFmtId="49" fontId="22" fillId="7" borderId="0" xfId="0" applyNumberFormat="1" applyFont="1" applyFill="1" applyProtection="1"/>
    <xf numFmtId="49" fontId="22" fillId="2" borderId="0" xfId="0" applyNumberFormat="1" applyFont="1" applyFill="1" applyAlignment="1" applyProtection="1">
      <alignment horizontal="left"/>
    </xf>
    <xf numFmtId="0" fontId="34" fillId="2" borderId="0" xfId="0" applyNumberFormat="1" applyFont="1" applyFill="1" applyAlignment="1" applyProtection="1">
      <alignment horizontal="center"/>
    </xf>
    <xf numFmtId="49" fontId="22" fillId="2" borderId="0" xfId="0" applyNumberFormat="1" applyFont="1" applyFill="1" applyAlignment="1" applyProtection="1">
      <alignment horizontal="center"/>
    </xf>
    <xf numFmtId="0" fontId="34" fillId="2" borderId="39" xfId="0" applyNumberFormat="1" applyFont="1" applyFill="1" applyBorder="1" applyAlignment="1" applyProtection="1">
      <alignment horizontal="center"/>
    </xf>
    <xf numFmtId="49" fontId="3" fillId="10" borderId="47" xfId="0" applyNumberFormat="1" applyFont="1" applyFill="1" applyBorder="1" applyAlignment="1" applyProtection="1">
      <alignment vertical="top" wrapText="1"/>
    </xf>
    <xf numFmtId="0" fontId="42" fillId="0" borderId="0" xfId="0" applyFont="1" applyFill="1" applyBorder="1" applyAlignment="1" applyProtection="1">
      <alignment horizontal="left"/>
    </xf>
    <xf numFmtId="0" fontId="2" fillId="0" borderId="0" xfId="0" applyFont="1" applyFill="1" applyBorder="1" applyProtection="1"/>
    <xf numFmtId="0" fontId="5" fillId="0" borderId="0" xfId="0" applyFont="1" applyFill="1" applyBorder="1" applyAlignment="1" applyProtection="1">
      <alignment vertical="top"/>
    </xf>
    <xf numFmtId="49" fontId="5" fillId="0" borderId="0" xfId="0" applyNumberFormat="1" applyFont="1" applyFill="1" applyBorder="1" applyAlignment="1" applyProtection="1">
      <alignment vertical="top"/>
    </xf>
    <xf numFmtId="0" fontId="3" fillId="0" borderId="0" xfId="0" applyFont="1" applyFill="1" applyBorder="1" applyAlignment="1" applyProtection="1">
      <alignment vertical="top"/>
    </xf>
    <xf numFmtId="0" fontId="61" fillId="0" borderId="0" xfId="0" applyFont="1" applyFill="1" applyBorder="1" applyAlignment="1" applyProtection="1">
      <alignment vertical="top"/>
    </xf>
    <xf numFmtId="169" fontId="3" fillId="0" borderId="0" xfId="11" applyNumberFormat="1" applyFont="1" applyFill="1" applyBorder="1" applyAlignment="1" applyProtection="1">
      <alignment horizontal="left"/>
    </xf>
    <xf numFmtId="49" fontId="22" fillId="0" borderId="0" xfId="0" applyNumberFormat="1" applyFont="1" applyAlignment="1" applyProtection="1">
      <alignment horizontal="left"/>
    </xf>
    <xf numFmtId="49" fontId="22" fillId="0" borderId="0" xfId="0" applyNumberFormat="1" applyFont="1" applyProtection="1"/>
    <xf numFmtId="3" fontId="10" fillId="0" borderId="19" xfId="0" applyNumberFormat="1" applyFont="1" applyFill="1" applyBorder="1" applyAlignment="1" applyProtection="1">
      <alignment horizontal="right"/>
      <protection locked="0"/>
    </xf>
    <xf numFmtId="3" fontId="10" fillId="0" borderId="4" xfId="0" applyNumberFormat="1" applyFont="1" applyFill="1" applyBorder="1" applyAlignment="1" applyProtection="1">
      <alignment horizontal="right"/>
      <protection locked="0"/>
    </xf>
    <xf numFmtId="0" fontId="22" fillId="7" borderId="0" xfId="6" applyFill="1" applyProtection="1"/>
    <xf numFmtId="1" fontId="22" fillId="7" borderId="0" xfId="6" applyNumberFormat="1" applyFill="1" applyProtection="1"/>
    <xf numFmtId="0" fontId="22" fillId="0" borderId="0" xfId="6" applyFill="1" applyBorder="1" applyProtection="1"/>
    <xf numFmtId="0" fontId="22" fillId="0" borderId="0" xfId="6" applyFill="1" applyProtection="1"/>
    <xf numFmtId="0" fontId="22" fillId="2" borderId="0" xfId="6" applyFill="1" applyProtection="1"/>
    <xf numFmtId="0" fontId="41" fillId="2" borderId="0" xfId="6" applyFont="1" applyFill="1" applyBorder="1" applyAlignment="1" applyProtection="1">
      <alignment horizontal="center"/>
    </xf>
    <xf numFmtId="0" fontId="22" fillId="0" borderId="0" xfId="6" applyProtection="1"/>
    <xf numFmtId="0" fontId="22" fillId="0" borderId="0" xfId="6" applyBorder="1" applyProtection="1"/>
    <xf numFmtId="1" fontId="54" fillId="2" borderId="0" xfId="11" applyNumberFormat="1" applyFont="1" applyFill="1" applyBorder="1" applyAlignment="1" applyProtection="1">
      <alignment horizontal="left"/>
    </xf>
    <xf numFmtId="0" fontId="22" fillId="2" borderId="0" xfId="6" applyFont="1" applyFill="1" applyProtection="1"/>
    <xf numFmtId="0" fontId="52" fillId="2" borderId="0" xfId="6" applyFont="1" applyFill="1" applyProtection="1"/>
    <xf numFmtId="1" fontId="22" fillId="0" borderId="0" xfId="6" applyNumberFormat="1" applyProtection="1"/>
    <xf numFmtId="0" fontId="22" fillId="0" borderId="0" xfId="6" applyFont="1" applyProtection="1"/>
    <xf numFmtId="3" fontId="2" fillId="2" borderId="2" xfId="6" applyNumberFormat="1" applyFont="1" applyFill="1" applyBorder="1" applyAlignment="1" applyProtection="1">
      <alignment horizontal="right"/>
      <protection locked="0"/>
    </xf>
    <xf numFmtId="3" fontId="2" fillId="2" borderId="15" xfId="6" applyNumberFormat="1" applyFont="1" applyFill="1" applyBorder="1" applyAlignment="1" applyProtection="1">
      <alignment horizontal="right"/>
      <protection locked="0"/>
    </xf>
    <xf numFmtId="0" fontId="3" fillId="0" borderId="0" xfId="6" applyFont="1" applyBorder="1" applyProtection="1"/>
    <xf numFmtId="0" fontId="22" fillId="0" borderId="0" xfId="0" applyFont="1" applyFill="1" applyProtection="1"/>
    <xf numFmtId="49" fontId="22" fillId="0" borderId="0" xfId="0" applyNumberFormat="1" applyFont="1" applyFill="1" applyBorder="1" applyAlignment="1" applyProtection="1">
      <alignment horizontal="left"/>
    </xf>
    <xf numFmtId="0" fontId="0" fillId="7" borderId="0" xfId="0" applyFill="1" applyAlignment="1" applyProtection="1"/>
    <xf numFmtId="0" fontId="0" fillId="0" borderId="0" xfId="0" applyFill="1" applyAlignment="1" applyProtection="1"/>
    <xf numFmtId="0" fontId="0" fillId="0" borderId="0" xfId="0" applyFill="1" applyBorder="1" applyAlignment="1" applyProtection="1"/>
    <xf numFmtId="0" fontId="0" fillId="0" borderId="0" xfId="0" applyAlignment="1" applyProtection="1"/>
    <xf numFmtId="3" fontId="2" fillId="2" borderId="61" xfId="0" applyNumberFormat="1" applyFont="1" applyFill="1" applyBorder="1" applyAlignment="1" applyProtection="1">
      <alignment horizontal="right"/>
      <protection locked="0"/>
    </xf>
    <xf numFmtId="3" fontId="2" fillId="2" borderId="62" xfId="0" applyNumberFormat="1" applyFont="1" applyFill="1" applyBorder="1" applyAlignment="1" applyProtection="1">
      <alignment horizontal="right"/>
      <protection locked="0"/>
    </xf>
    <xf numFmtId="3" fontId="2" fillId="2" borderId="64" xfId="0" applyNumberFormat="1" applyFont="1" applyFill="1" applyBorder="1" applyAlignment="1" applyProtection="1">
      <alignment horizontal="right"/>
      <protection locked="0"/>
    </xf>
    <xf numFmtId="3" fontId="2" fillId="2" borderId="65" xfId="0" applyNumberFormat="1" applyFont="1" applyFill="1" applyBorder="1" applyAlignment="1" applyProtection="1">
      <alignment horizontal="right"/>
      <protection locked="0"/>
    </xf>
    <xf numFmtId="3" fontId="13" fillId="2" borderId="62" xfId="0" applyNumberFormat="1" applyFont="1" applyFill="1" applyBorder="1" applyAlignment="1" applyProtection="1">
      <alignment horizontal="right"/>
      <protection locked="0"/>
    </xf>
    <xf numFmtId="3" fontId="2" fillId="6" borderId="63" xfId="0" applyNumberFormat="1" applyFont="1" applyFill="1" applyBorder="1" applyAlignment="1" applyProtection="1">
      <alignment horizontal="right"/>
      <protection locked="0"/>
    </xf>
    <xf numFmtId="171" fontId="35" fillId="0" borderId="0" xfId="6" applyNumberFormat="1" applyFont="1" applyFill="1" applyBorder="1" applyAlignment="1" applyProtection="1">
      <alignment vertical="top" wrapText="1"/>
    </xf>
    <xf numFmtId="3" fontId="2" fillId="9" borderId="66" xfId="0" applyNumberFormat="1" applyFont="1" applyFill="1" applyBorder="1" applyAlignment="1" applyProtection="1"/>
    <xf numFmtId="3" fontId="2" fillId="9" borderId="13" xfId="0" applyNumberFormat="1" applyFont="1" applyFill="1" applyBorder="1" applyAlignment="1" applyProtection="1"/>
    <xf numFmtId="165" fontId="9"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center"/>
    </xf>
    <xf numFmtId="3" fontId="13" fillId="0" borderId="69" xfId="0" applyNumberFormat="1" applyFont="1" applyFill="1" applyBorder="1" applyAlignment="1" applyProtection="1">
      <alignment horizontal="right"/>
      <protection locked="0"/>
    </xf>
    <xf numFmtId="3" fontId="13" fillId="9" borderId="26" xfId="0" applyNumberFormat="1" applyFont="1" applyFill="1" applyBorder="1" applyProtection="1"/>
    <xf numFmtId="0" fontId="10" fillId="0" borderId="0" xfId="6" applyFont="1" applyFill="1" applyBorder="1" applyProtection="1"/>
    <xf numFmtId="3" fontId="36" fillId="0" borderId="0" xfId="6" applyNumberFormat="1" applyFont="1" applyFill="1" applyBorder="1" applyProtection="1"/>
    <xf numFmtId="0" fontId="22" fillId="0" borderId="0" xfId="6" applyFont="1" applyFill="1" applyProtection="1"/>
    <xf numFmtId="0" fontId="35" fillId="0" borderId="0" xfId="0" applyFont="1" applyFill="1" applyBorder="1" applyProtection="1"/>
    <xf numFmtId="0" fontId="0" fillId="0" borderId="1" xfId="0" applyBorder="1"/>
    <xf numFmtId="3" fontId="13" fillId="2" borderId="19" xfId="0" applyNumberFormat="1" applyFont="1" applyFill="1" applyBorder="1" applyAlignment="1" applyProtection="1">
      <protection locked="0"/>
    </xf>
    <xf numFmtId="171" fontId="35" fillId="0" borderId="0" xfId="0" applyNumberFormat="1" applyFont="1" applyFill="1" applyProtection="1"/>
    <xf numFmtId="171" fontId="35" fillId="2" borderId="0" xfId="0" applyNumberFormat="1" applyFont="1" applyFill="1" applyProtection="1"/>
    <xf numFmtId="0" fontId="35" fillId="2" borderId="0" xfId="0" applyFont="1" applyFill="1" applyBorder="1" applyAlignment="1" applyProtection="1">
      <alignment horizontal="left" vertical="top" wrapText="1"/>
    </xf>
    <xf numFmtId="3" fontId="2" fillId="2" borderId="8" xfId="0" applyNumberFormat="1" applyFont="1" applyFill="1" applyBorder="1" applyAlignment="1" applyProtection="1">
      <alignment horizontal="right"/>
      <protection locked="0"/>
    </xf>
    <xf numFmtId="3" fontId="2" fillId="2" borderId="70" xfId="6" applyNumberFormat="1" applyFont="1" applyFill="1" applyBorder="1" applyAlignment="1" applyProtection="1">
      <alignment horizontal="right"/>
      <protection locked="0"/>
    </xf>
    <xf numFmtId="3" fontId="2" fillId="2" borderId="6" xfId="6" applyNumberFormat="1" applyFont="1" applyFill="1" applyBorder="1" applyAlignment="1" applyProtection="1">
      <alignment horizontal="right"/>
      <protection locked="0"/>
    </xf>
    <xf numFmtId="3" fontId="2" fillId="2" borderId="71" xfId="6" applyNumberFormat="1" applyFont="1" applyFill="1" applyBorder="1" applyAlignment="1" applyProtection="1">
      <alignment horizontal="right"/>
      <protection locked="0"/>
    </xf>
    <xf numFmtId="3" fontId="2" fillId="2" borderId="25" xfId="6" applyNumberFormat="1" applyFont="1" applyFill="1" applyBorder="1" applyAlignment="1" applyProtection="1">
      <alignment horizontal="right"/>
      <protection locked="0"/>
    </xf>
    <xf numFmtId="3" fontId="2" fillId="2" borderId="72" xfId="6" applyNumberFormat="1" applyFont="1" applyFill="1" applyBorder="1" applyAlignment="1" applyProtection="1">
      <alignment horizontal="right"/>
      <protection locked="0"/>
    </xf>
    <xf numFmtId="0" fontId="37" fillId="0" borderId="0" xfId="6" applyFont="1" applyProtection="1"/>
    <xf numFmtId="0" fontId="51" fillId="2" borderId="0" xfId="6" applyFont="1" applyFill="1" applyProtection="1"/>
    <xf numFmtId="0" fontId="35" fillId="0" borderId="0" xfId="6" quotePrefix="1" applyNumberFormat="1" applyFont="1" applyProtection="1"/>
    <xf numFmtId="3" fontId="0" fillId="0" borderId="0" xfId="0" applyNumberFormat="1"/>
    <xf numFmtId="3" fontId="2" fillId="8" borderId="5" xfId="6" applyNumberFormat="1" applyFont="1" applyFill="1" applyBorder="1" applyAlignment="1" applyProtection="1"/>
    <xf numFmtId="3" fontId="2" fillId="8" borderId="12" xfId="6" applyNumberFormat="1" applyFont="1" applyFill="1" applyBorder="1" applyAlignment="1" applyProtection="1"/>
    <xf numFmtId="3" fontId="2" fillId="8" borderId="5" xfId="0" applyNumberFormat="1" applyFont="1" applyFill="1" applyBorder="1" applyAlignment="1" applyProtection="1">
      <alignment horizontal="right"/>
    </xf>
    <xf numFmtId="0" fontId="36" fillId="2" borderId="0" xfId="0" applyFont="1" applyFill="1" applyAlignment="1" applyProtection="1">
      <alignment horizontal="right"/>
    </xf>
    <xf numFmtId="3" fontId="2" fillId="2" borderId="3" xfId="6" applyNumberFormat="1" applyFont="1" applyFill="1" applyBorder="1" applyAlignment="1" applyProtection="1">
      <alignment horizontal="right"/>
      <protection locked="0"/>
    </xf>
    <xf numFmtId="3" fontId="35" fillId="0" borderId="74" xfId="6" quotePrefix="1" applyNumberFormat="1" applyFont="1" applyFill="1" applyBorder="1" applyAlignment="1" applyProtection="1">
      <alignment horizontal="left"/>
    </xf>
    <xf numFmtId="0" fontId="37" fillId="0" borderId="76" xfId="6" applyFont="1" applyBorder="1" applyProtection="1"/>
    <xf numFmtId="0" fontId="94" fillId="0" borderId="76" xfId="6" applyFont="1" applyBorder="1" applyProtection="1"/>
    <xf numFmtId="3" fontId="35" fillId="0" borderId="78" xfId="6" quotePrefix="1" applyNumberFormat="1" applyFont="1" applyFill="1" applyBorder="1" applyAlignment="1" applyProtection="1">
      <alignment horizontal="left"/>
    </xf>
    <xf numFmtId="0" fontId="22" fillId="0" borderId="79" xfId="6" applyBorder="1" applyProtection="1"/>
    <xf numFmtId="0" fontId="22" fillId="0" borderId="52" xfId="6" applyBorder="1" applyProtection="1"/>
    <xf numFmtId="0" fontId="22" fillId="0" borderId="80" xfId="6" applyBorder="1" applyProtection="1"/>
    <xf numFmtId="0" fontId="35" fillId="0" borderId="0" xfId="6" applyFont="1" applyProtection="1"/>
    <xf numFmtId="3" fontId="35" fillId="0" borderId="0" xfId="0" applyNumberFormat="1" applyFont="1" applyFill="1" applyBorder="1" applyAlignment="1" applyProtection="1">
      <alignment horizontal="left"/>
    </xf>
    <xf numFmtId="3" fontId="2" fillId="9" borderId="81" xfId="6" applyNumberFormat="1" applyFont="1" applyFill="1" applyBorder="1" applyProtection="1"/>
    <xf numFmtId="3" fontId="2" fillId="9" borderId="82" xfId="6" applyNumberFormat="1" applyFont="1" applyFill="1" applyBorder="1" applyProtection="1"/>
    <xf numFmtId="3" fontId="2" fillId="12" borderId="5" xfId="0" applyNumberFormat="1" applyFont="1" applyFill="1" applyBorder="1" applyProtection="1"/>
    <xf numFmtId="3" fontId="2" fillId="3" borderId="13" xfId="0" applyNumberFormat="1" applyFont="1" applyFill="1" applyBorder="1" applyProtection="1"/>
    <xf numFmtId="3" fontId="2" fillId="3" borderId="26" xfId="0" applyNumberFormat="1" applyFont="1" applyFill="1" applyBorder="1" applyProtection="1"/>
    <xf numFmtId="3" fontId="2" fillId="3" borderId="59" xfId="0" applyNumberFormat="1" applyFont="1" applyFill="1" applyBorder="1" applyProtection="1"/>
    <xf numFmtId="3" fontId="2" fillId="3" borderId="20" xfId="0" applyNumberFormat="1" applyFont="1" applyFill="1" applyBorder="1" applyProtection="1"/>
    <xf numFmtId="3" fontId="2" fillId="3" borderId="83" xfId="0" applyNumberFormat="1" applyFont="1" applyFill="1" applyBorder="1" applyProtection="1"/>
    <xf numFmtId="3" fontId="2" fillId="3" borderId="54" xfId="0" applyNumberFormat="1" applyFont="1" applyFill="1" applyBorder="1" applyProtection="1"/>
    <xf numFmtId="3" fontId="2" fillId="3" borderId="56" xfId="0" applyNumberFormat="1" applyFont="1" applyFill="1" applyBorder="1" applyProtection="1"/>
    <xf numFmtId="3" fontId="2" fillId="3" borderId="69" xfId="0" applyNumberFormat="1" applyFont="1" applyFill="1" applyBorder="1" applyProtection="1"/>
    <xf numFmtId="3" fontId="2" fillId="3" borderId="25" xfId="0" applyNumberFormat="1" applyFont="1" applyFill="1" applyBorder="1" applyProtection="1"/>
    <xf numFmtId="3" fontId="2" fillId="3" borderId="19" xfId="0" applyNumberFormat="1" applyFont="1" applyFill="1" applyBorder="1" applyProtection="1"/>
    <xf numFmtId="3" fontId="2" fillId="3" borderId="63" xfId="0" applyNumberFormat="1" applyFont="1" applyFill="1" applyBorder="1" applyProtection="1"/>
    <xf numFmtId="3" fontId="2" fillId="3" borderId="84" xfId="0" applyNumberFormat="1" applyFont="1" applyFill="1" applyBorder="1" applyProtection="1"/>
    <xf numFmtId="3" fontId="2" fillId="3" borderId="5" xfId="0" applyNumberFormat="1" applyFont="1" applyFill="1" applyBorder="1" applyProtection="1"/>
    <xf numFmtId="3" fontId="2" fillId="3" borderId="85" xfId="0" applyNumberFormat="1" applyFont="1" applyFill="1" applyBorder="1" applyProtection="1"/>
    <xf numFmtId="3" fontId="2" fillId="3" borderId="86" xfId="0" applyNumberFormat="1" applyFont="1" applyFill="1" applyBorder="1" applyProtection="1"/>
    <xf numFmtId="3" fontId="2" fillId="3" borderId="80" xfId="0" applyNumberFormat="1" applyFont="1" applyFill="1" applyBorder="1" applyProtection="1"/>
    <xf numFmtId="3" fontId="13" fillId="3" borderId="59" xfId="0" applyNumberFormat="1" applyFont="1" applyFill="1" applyBorder="1" applyProtection="1"/>
    <xf numFmtId="3" fontId="13" fillId="3" borderId="87" xfId="0" applyNumberFormat="1" applyFont="1" applyFill="1" applyBorder="1" applyProtection="1"/>
    <xf numFmtId="3" fontId="13" fillId="3" borderId="88" xfId="0" applyNumberFormat="1" applyFont="1" applyFill="1" applyBorder="1" applyProtection="1"/>
    <xf numFmtId="3" fontId="13" fillId="3" borderId="85" xfId="0" applyNumberFormat="1" applyFont="1" applyFill="1" applyBorder="1" applyProtection="1"/>
    <xf numFmtId="3" fontId="13" fillId="3" borderId="26" xfId="0" applyNumberFormat="1" applyFont="1" applyFill="1" applyBorder="1" applyProtection="1"/>
    <xf numFmtId="3" fontId="13" fillId="3" borderId="20" xfId="0" applyNumberFormat="1" applyFont="1" applyFill="1" applyBorder="1" applyProtection="1"/>
    <xf numFmtId="3" fontId="13" fillId="3" borderId="18" xfId="0" applyNumberFormat="1" applyFont="1" applyFill="1" applyBorder="1" applyProtection="1"/>
    <xf numFmtId="3" fontId="13" fillId="3" borderId="19" xfId="0" applyNumberFormat="1" applyFont="1" applyFill="1" applyBorder="1" applyProtection="1"/>
    <xf numFmtId="3" fontId="13" fillId="3" borderId="5" xfId="0" applyNumberFormat="1" applyFont="1" applyFill="1" applyBorder="1" applyAlignment="1" applyProtection="1">
      <alignment horizontal="right"/>
    </xf>
    <xf numFmtId="3" fontId="2" fillId="13" borderId="7" xfId="0" applyNumberFormat="1" applyFont="1" applyFill="1" applyBorder="1" applyAlignment="1" applyProtection="1">
      <alignment horizontal="right"/>
    </xf>
    <xf numFmtId="3" fontId="2" fillId="3" borderId="42" xfId="0" applyNumberFormat="1" applyFont="1" applyFill="1" applyBorder="1" applyAlignment="1" applyProtection="1">
      <alignment horizontal="right"/>
    </xf>
    <xf numFmtId="3" fontId="2" fillId="3" borderId="89" xfId="0" applyNumberFormat="1" applyFont="1" applyFill="1" applyBorder="1" applyAlignment="1" applyProtection="1">
      <alignment horizontal="right"/>
    </xf>
    <xf numFmtId="3" fontId="2" fillId="3" borderId="83" xfId="0" applyNumberFormat="1" applyFont="1" applyFill="1" applyBorder="1" applyAlignment="1" applyProtection="1">
      <alignment horizontal="right"/>
    </xf>
    <xf numFmtId="3" fontId="2" fillId="3" borderId="90" xfId="0" applyNumberFormat="1" applyFont="1" applyFill="1" applyBorder="1" applyAlignment="1" applyProtection="1">
      <alignment horizontal="right"/>
    </xf>
    <xf numFmtId="3" fontId="2" fillId="3" borderId="13" xfId="0" applyNumberFormat="1" applyFont="1" applyFill="1" applyBorder="1" applyAlignment="1" applyProtection="1">
      <alignment horizontal="right"/>
    </xf>
    <xf numFmtId="3" fontId="13" fillId="3" borderId="18" xfId="0" applyNumberFormat="1" applyFont="1" applyFill="1" applyBorder="1" applyAlignment="1" applyProtection="1">
      <alignment horizontal="right"/>
    </xf>
    <xf numFmtId="3" fontId="13" fillId="3" borderId="3" xfId="0" applyNumberFormat="1" applyFont="1" applyFill="1" applyBorder="1" applyAlignment="1" applyProtection="1">
      <alignment horizontal="right"/>
    </xf>
    <xf numFmtId="3" fontId="13" fillId="3" borderId="22" xfId="0" applyNumberFormat="1" applyFont="1" applyFill="1" applyBorder="1" applyAlignment="1" applyProtection="1">
      <alignment horizontal="right"/>
    </xf>
    <xf numFmtId="3" fontId="13" fillId="3" borderId="7" xfId="0" applyNumberFormat="1" applyFont="1" applyFill="1" applyBorder="1" applyAlignment="1" applyProtection="1">
      <alignment horizontal="right"/>
    </xf>
    <xf numFmtId="3" fontId="13" fillId="3" borderId="91" xfId="0" applyNumberFormat="1" applyFont="1" applyFill="1" applyBorder="1" applyAlignment="1" applyProtection="1">
      <alignment horizontal="right"/>
    </xf>
    <xf numFmtId="3" fontId="13" fillId="3" borderId="92" xfId="0" applyNumberFormat="1" applyFont="1" applyFill="1" applyBorder="1" applyAlignment="1" applyProtection="1">
      <alignment horizontal="right"/>
    </xf>
    <xf numFmtId="3" fontId="13" fillId="3" borderId="93" xfId="0" applyNumberFormat="1" applyFont="1" applyFill="1" applyBorder="1" applyAlignment="1" applyProtection="1">
      <alignment horizontal="right"/>
    </xf>
    <xf numFmtId="3" fontId="13" fillId="3" borderId="25" xfId="0" applyNumberFormat="1" applyFont="1" applyFill="1" applyBorder="1" applyAlignment="1" applyProtection="1">
      <alignment horizontal="right"/>
    </xf>
    <xf numFmtId="3" fontId="13" fillId="3" borderId="72" xfId="0" applyNumberFormat="1" applyFont="1" applyFill="1" applyBorder="1" applyAlignment="1" applyProtection="1">
      <alignment horizontal="right"/>
    </xf>
    <xf numFmtId="3" fontId="13" fillId="3" borderId="26" xfId="0" applyNumberFormat="1" applyFont="1" applyFill="1" applyBorder="1" applyAlignment="1" applyProtection="1">
      <alignment horizontal="right"/>
    </xf>
    <xf numFmtId="3" fontId="13" fillId="3" borderId="24" xfId="0" applyNumberFormat="1" applyFont="1" applyFill="1" applyBorder="1" applyAlignment="1" applyProtection="1">
      <alignment horizontal="right"/>
    </xf>
    <xf numFmtId="3" fontId="13" fillId="3" borderId="65" xfId="0" applyNumberFormat="1" applyFont="1" applyFill="1" applyBorder="1" applyAlignment="1" applyProtection="1">
      <alignment horizontal="right"/>
    </xf>
    <xf numFmtId="3" fontId="13" fillId="3" borderId="24" xfId="0" applyNumberFormat="1" applyFont="1" applyFill="1" applyBorder="1" applyAlignment="1" applyProtection="1"/>
    <xf numFmtId="3" fontId="13" fillId="3" borderId="25" xfId="0" applyNumberFormat="1" applyFont="1" applyFill="1" applyBorder="1" applyAlignment="1" applyProtection="1"/>
    <xf numFmtId="3" fontId="13" fillId="3" borderId="72" xfId="0" applyNumberFormat="1" applyFont="1" applyFill="1" applyBorder="1" applyAlignment="1" applyProtection="1"/>
    <xf numFmtId="3" fontId="13" fillId="3" borderId="26" xfId="0" applyNumberFormat="1" applyFont="1" applyFill="1" applyBorder="1" applyAlignment="1" applyProtection="1"/>
    <xf numFmtId="3" fontId="13" fillId="3" borderId="94" xfId="0" applyNumberFormat="1" applyFont="1" applyFill="1" applyBorder="1" applyAlignment="1" applyProtection="1">
      <alignment horizontal="right"/>
    </xf>
    <xf numFmtId="3" fontId="13" fillId="10" borderId="95" xfId="0" applyNumberFormat="1" applyFont="1" applyFill="1" applyBorder="1" applyAlignment="1" applyProtection="1">
      <alignment horizontal="right"/>
    </xf>
    <xf numFmtId="3" fontId="13" fillId="10" borderId="96" xfId="0" applyNumberFormat="1" applyFont="1" applyFill="1" applyBorder="1" applyAlignment="1" applyProtection="1">
      <alignment horizontal="right"/>
    </xf>
    <xf numFmtId="3" fontId="13" fillId="10" borderId="86" xfId="0" applyNumberFormat="1" applyFont="1" applyFill="1" applyBorder="1" applyAlignment="1" applyProtection="1">
      <alignment horizontal="right"/>
    </xf>
    <xf numFmtId="3" fontId="13" fillId="10" borderId="97" xfId="0" applyNumberFormat="1" applyFont="1" applyFill="1" applyBorder="1" applyAlignment="1" applyProtection="1">
      <alignment horizontal="right"/>
    </xf>
    <xf numFmtId="3" fontId="13" fillId="3" borderId="53" xfId="0" applyNumberFormat="1" applyFont="1" applyFill="1" applyBorder="1" applyAlignment="1" applyProtection="1">
      <alignment horizontal="right"/>
    </xf>
    <xf numFmtId="3" fontId="13" fillId="3" borderId="98" xfId="0" applyNumberFormat="1" applyFont="1" applyFill="1" applyBorder="1" applyAlignment="1" applyProtection="1">
      <alignment horizontal="right"/>
    </xf>
    <xf numFmtId="3" fontId="13" fillId="3" borderId="84" xfId="0" applyNumberFormat="1" applyFont="1" applyFill="1" applyBorder="1" applyAlignment="1" applyProtection="1">
      <alignment horizontal="right"/>
    </xf>
    <xf numFmtId="3" fontId="13" fillId="3" borderId="99" xfId="0" applyNumberFormat="1" applyFont="1" applyFill="1" applyBorder="1" applyAlignment="1" applyProtection="1">
      <alignment horizontal="right"/>
    </xf>
    <xf numFmtId="3" fontId="13" fillId="3" borderId="100" xfId="0" applyNumberFormat="1" applyFont="1" applyFill="1" applyBorder="1" applyAlignment="1" applyProtection="1">
      <alignment horizontal="right"/>
    </xf>
    <xf numFmtId="3" fontId="13" fillId="3" borderId="101" xfId="0" applyNumberFormat="1" applyFont="1" applyFill="1" applyBorder="1" applyAlignment="1" applyProtection="1">
      <alignment horizontal="right"/>
    </xf>
    <xf numFmtId="3" fontId="13" fillId="3" borderId="88" xfId="0" applyNumberFormat="1" applyFont="1" applyFill="1" applyBorder="1" applyAlignment="1" applyProtection="1">
      <alignment horizontal="right"/>
    </xf>
    <xf numFmtId="3" fontId="2" fillId="3" borderId="102" xfId="0" applyNumberFormat="1" applyFont="1" applyFill="1" applyBorder="1" applyProtection="1"/>
    <xf numFmtId="3" fontId="2" fillId="3" borderId="31" xfId="0" applyNumberFormat="1" applyFont="1" applyFill="1" applyBorder="1" applyProtection="1"/>
    <xf numFmtId="3" fontId="2" fillId="3" borderId="103" xfId="0" applyNumberFormat="1" applyFont="1" applyFill="1" applyBorder="1" applyProtection="1"/>
    <xf numFmtId="3" fontId="13" fillId="3" borderId="31" xfId="0" applyNumberFormat="1" applyFont="1" applyFill="1" applyBorder="1" applyProtection="1"/>
    <xf numFmtId="3" fontId="13" fillId="3" borderId="32" xfId="0" applyNumberFormat="1" applyFont="1" applyFill="1" applyBorder="1" applyProtection="1"/>
    <xf numFmtId="3" fontId="13" fillId="3" borderId="80" xfId="0" applyNumberFormat="1" applyFont="1" applyFill="1" applyBorder="1" applyProtection="1"/>
    <xf numFmtId="3" fontId="2" fillId="3" borderId="104" xfId="0" applyNumberFormat="1" applyFont="1" applyFill="1" applyBorder="1" applyProtection="1"/>
    <xf numFmtId="3" fontId="13" fillId="3" borderId="103" xfId="0" applyNumberFormat="1" applyFont="1" applyFill="1" applyBorder="1" applyAlignment="1" applyProtection="1">
      <alignment horizontal="right"/>
    </xf>
    <xf numFmtId="3" fontId="13" fillId="3" borderId="33" xfId="0" applyNumberFormat="1" applyFont="1" applyFill="1" applyBorder="1" applyAlignment="1" applyProtection="1">
      <alignment horizontal="right"/>
    </xf>
    <xf numFmtId="3" fontId="13" fillId="3" borderId="45" xfId="0" applyNumberFormat="1" applyFont="1" applyFill="1" applyBorder="1" applyAlignment="1" applyProtection="1">
      <alignment horizontal="right"/>
    </xf>
    <xf numFmtId="3" fontId="13" fillId="3" borderId="33" xfId="0" applyNumberFormat="1" applyFont="1" applyFill="1" applyBorder="1" applyAlignment="1" applyProtection="1"/>
    <xf numFmtId="3" fontId="13" fillId="3" borderId="45" xfId="0" applyNumberFormat="1" applyFont="1" applyFill="1" applyBorder="1" applyAlignment="1" applyProtection="1"/>
    <xf numFmtId="3" fontId="13" fillId="3" borderId="105" xfId="0" applyNumberFormat="1" applyFont="1" applyFill="1" applyBorder="1" applyAlignment="1" applyProtection="1">
      <alignment horizontal="right"/>
    </xf>
    <xf numFmtId="3" fontId="2" fillId="3" borderId="106" xfId="0" applyNumberFormat="1" applyFont="1" applyFill="1" applyBorder="1" applyAlignment="1" applyProtection="1">
      <alignment horizontal="right"/>
    </xf>
    <xf numFmtId="0" fontId="1" fillId="7" borderId="0" xfId="0" applyFont="1" applyFill="1" applyProtection="1"/>
    <xf numFmtId="3" fontId="1" fillId="2" borderId="0" xfId="0" applyNumberFormat="1" applyFont="1" applyFill="1" applyProtection="1"/>
    <xf numFmtId="3" fontId="1" fillId="0" borderId="0" xfId="0" applyNumberFormat="1" applyFont="1" applyProtection="1"/>
    <xf numFmtId="3" fontId="1" fillId="0" borderId="0" xfId="0" applyNumberFormat="1" applyFont="1" applyFill="1" applyBorder="1" applyProtection="1"/>
    <xf numFmtId="49" fontId="80" fillId="10" borderId="0" xfId="0" applyNumberFormat="1" applyFont="1" applyFill="1" applyBorder="1" applyAlignment="1">
      <alignment horizontal="right" wrapText="1"/>
    </xf>
    <xf numFmtId="0" fontId="0" fillId="10" borderId="67" xfId="0" applyFill="1" applyBorder="1"/>
    <xf numFmtId="0" fontId="0" fillId="10" borderId="0" xfId="0" applyFill="1" applyBorder="1"/>
    <xf numFmtId="3" fontId="15" fillId="10" borderId="0" xfId="0" applyNumberFormat="1" applyFont="1" applyFill="1" applyBorder="1" applyAlignment="1" applyProtection="1">
      <alignment horizontal="right"/>
    </xf>
    <xf numFmtId="49" fontId="40" fillId="10" borderId="0" xfId="0" applyNumberFormat="1" applyFont="1" applyFill="1" applyBorder="1" applyAlignment="1" applyProtection="1">
      <alignment horizontal="right"/>
    </xf>
    <xf numFmtId="0" fontId="0" fillId="10" borderId="27" xfId="0" applyFill="1" applyBorder="1"/>
    <xf numFmtId="0" fontId="0" fillId="10" borderId="1" xfId="0" applyFill="1" applyBorder="1"/>
    <xf numFmtId="0" fontId="0" fillId="0" borderId="0" xfId="0" applyBorder="1"/>
    <xf numFmtId="0" fontId="0" fillId="0" borderId="67" xfId="0" applyBorder="1"/>
    <xf numFmtId="49" fontId="2" fillId="10" borderId="11" xfId="0" applyNumberFormat="1" applyFont="1" applyFill="1" applyBorder="1" applyAlignment="1" applyProtection="1"/>
    <xf numFmtId="49" fontId="2" fillId="10" borderId="76" xfId="0" applyNumberFormat="1" applyFont="1" applyFill="1" applyBorder="1" applyAlignment="1" applyProtection="1"/>
    <xf numFmtId="49" fontId="2" fillId="10" borderId="39" xfId="0" applyNumberFormat="1" applyFont="1" applyFill="1" applyBorder="1" applyAlignment="1" applyProtection="1"/>
    <xf numFmtId="49" fontId="2" fillId="10" borderId="78" xfId="0" applyNumberFormat="1" applyFont="1" applyFill="1" applyBorder="1" applyAlignment="1" applyProtection="1"/>
    <xf numFmtId="49" fontId="2" fillId="10" borderId="36" xfId="0" applyNumberFormat="1" applyFont="1" applyFill="1" applyBorder="1" applyAlignment="1" applyProtection="1"/>
    <xf numFmtId="0" fontId="15" fillId="0" borderId="0" xfId="0" applyFont="1" applyFill="1" applyBorder="1" applyAlignment="1" applyProtection="1">
      <alignment horizontal="center"/>
    </xf>
    <xf numFmtId="0" fontId="97" fillId="0" borderId="0" xfId="6" applyFont="1" applyProtection="1"/>
    <xf numFmtId="3" fontId="2" fillId="9" borderId="113" xfId="6" applyNumberFormat="1" applyFont="1" applyFill="1" applyBorder="1" applyProtection="1"/>
    <xf numFmtId="3" fontId="2" fillId="9" borderId="7" xfId="6" applyNumberFormat="1" applyFont="1" applyFill="1" applyBorder="1" applyProtection="1"/>
    <xf numFmtId="3" fontId="2" fillId="9" borderId="106" xfId="6" applyNumberFormat="1" applyFont="1" applyFill="1" applyBorder="1" applyProtection="1"/>
    <xf numFmtId="3" fontId="2" fillId="9" borderId="91" xfId="6" applyNumberFormat="1" applyFont="1" applyFill="1" applyBorder="1" applyProtection="1"/>
    <xf numFmtId="3" fontId="2" fillId="9" borderId="114" xfId="6" applyNumberFormat="1" applyFont="1" applyFill="1" applyBorder="1" applyProtection="1"/>
    <xf numFmtId="0" fontId="22" fillId="0" borderId="0" xfId="0" applyFont="1"/>
    <xf numFmtId="0" fontId="98" fillId="0" borderId="0" xfId="6" applyFont="1" applyProtection="1"/>
    <xf numFmtId="3" fontId="2" fillId="3" borderId="18" xfId="0" applyNumberFormat="1" applyFont="1" applyFill="1" applyBorder="1" applyAlignment="1" applyProtection="1">
      <alignment horizontal="right"/>
    </xf>
    <xf numFmtId="3" fontId="2" fillId="9" borderId="22" xfId="0" applyNumberFormat="1" applyFont="1" applyFill="1" applyBorder="1" applyAlignment="1" applyProtection="1">
      <alignment horizontal="right"/>
    </xf>
    <xf numFmtId="3" fontId="2" fillId="3" borderId="115" xfId="0" applyNumberFormat="1" applyFont="1" applyFill="1" applyBorder="1" applyAlignment="1" applyProtection="1">
      <alignment horizontal="right"/>
    </xf>
    <xf numFmtId="3" fontId="2" fillId="2" borderId="21" xfId="0" applyNumberFormat="1" applyFont="1" applyFill="1" applyBorder="1" applyAlignment="1" applyProtection="1">
      <alignment horizontal="right"/>
      <protection locked="0"/>
    </xf>
    <xf numFmtId="3" fontId="2" fillId="2" borderId="22" xfId="0" applyNumberFormat="1" applyFont="1" applyFill="1" applyBorder="1" applyAlignment="1" applyProtection="1">
      <alignment horizontal="right"/>
      <protection locked="0"/>
    </xf>
    <xf numFmtId="3" fontId="2" fillId="3" borderId="116" xfId="0" applyNumberFormat="1" applyFont="1" applyFill="1" applyBorder="1" applyAlignment="1" applyProtection="1">
      <alignment horizontal="right"/>
    </xf>
    <xf numFmtId="3" fontId="2" fillId="14" borderId="18" xfId="0" applyNumberFormat="1" applyFont="1" applyFill="1" applyBorder="1" applyAlignment="1" applyProtection="1">
      <alignment horizontal="right"/>
      <protection locked="0"/>
    </xf>
    <xf numFmtId="3" fontId="13" fillId="3" borderId="108" xfId="0" applyNumberFormat="1" applyFont="1" applyFill="1" applyBorder="1" applyAlignment="1" applyProtection="1">
      <alignment horizontal="right"/>
    </xf>
    <xf numFmtId="3" fontId="13" fillId="10" borderId="30" xfId="0" applyNumberFormat="1" applyFont="1" applyFill="1" applyBorder="1" applyAlignment="1" applyProtection="1">
      <alignment horizontal="right"/>
    </xf>
    <xf numFmtId="3" fontId="13" fillId="10" borderId="31" xfId="0" applyNumberFormat="1" applyFont="1" applyFill="1" applyBorder="1" applyAlignment="1" applyProtection="1">
      <alignment horizontal="right"/>
    </xf>
    <xf numFmtId="3" fontId="13" fillId="10" borderId="23" xfId="0" applyNumberFormat="1" applyFont="1" applyFill="1" applyBorder="1" applyAlignment="1" applyProtection="1">
      <alignment horizontal="right"/>
    </xf>
    <xf numFmtId="3" fontId="13" fillId="10" borderId="9" xfId="0" applyNumberFormat="1" applyFont="1" applyFill="1" applyBorder="1" applyAlignment="1" applyProtection="1">
      <alignment horizontal="right"/>
    </xf>
    <xf numFmtId="3" fontId="13" fillId="10" borderId="20" xfId="0" applyNumberFormat="1" applyFont="1" applyFill="1" applyBorder="1" applyAlignment="1" applyProtection="1">
      <alignment horizontal="right"/>
    </xf>
    <xf numFmtId="3" fontId="13" fillId="10" borderId="10" xfId="0" applyNumberFormat="1" applyFont="1" applyFill="1" applyBorder="1" applyAlignment="1" applyProtection="1">
      <alignment horizontal="right"/>
    </xf>
    <xf numFmtId="3" fontId="13" fillId="10" borderId="14" xfId="0" applyNumberFormat="1" applyFont="1" applyFill="1" applyBorder="1" applyAlignment="1" applyProtection="1">
      <alignment horizontal="right"/>
    </xf>
    <xf numFmtId="3" fontId="13" fillId="2" borderId="55" xfId="0" applyNumberFormat="1" applyFont="1" applyFill="1" applyBorder="1" applyAlignment="1" applyProtection="1">
      <alignment horizontal="right"/>
      <protection locked="0"/>
    </xf>
    <xf numFmtId="3" fontId="13" fillId="2" borderId="54" xfId="0" applyNumberFormat="1" applyFont="1" applyFill="1" applyBorder="1" applyAlignment="1" applyProtection="1">
      <alignment horizontal="right"/>
      <protection locked="0"/>
    </xf>
    <xf numFmtId="3" fontId="13" fillId="2" borderId="65" xfId="0" applyNumberFormat="1" applyFont="1" applyFill="1" applyBorder="1" applyAlignment="1" applyProtection="1">
      <alignment horizontal="right"/>
      <protection locked="0"/>
    </xf>
    <xf numFmtId="3" fontId="13" fillId="10" borderId="101" xfId="0" applyNumberFormat="1" applyFont="1" applyFill="1" applyBorder="1" applyAlignment="1" applyProtection="1">
      <alignment horizontal="right"/>
    </xf>
    <xf numFmtId="3" fontId="13" fillId="10" borderId="117" xfId="0" applyNumberFormat="1" applyFont="1" applyFill="1" applyBorder="1" applyAlignment="1" applyProtection="1">
      <alignment horizontal="right"/>
    </xf>
    <xf numFmtId="3" fontId="13" fillId="10" borderId="118" xfId="0" applyNumberFormat="1" applyFont="1" applyFill="1" applyBorder="1" applyAlignment="1" applyProtection="1">
      <alignment horizontal="right"/>
    </xf>
    <xf numFmtId="3" fontId="13" fillId="10" borderId="88" xfId="0" applyNumberFormat="1" applyFont="1" applyFill="1" applyBorder="1" applyAlignment="1" applyProtection="1">
      <alignment horizontal="right"/>
    </xf>
    <xf numFmtId="3" fontId="13" fillId="10" borderId="4" xfId="0" applyNumberFormat="1" applyFont="1" applyFill="1" applyBorder="1" applyAlignment="1" applyProtection="1">
      <alignment horizontal="right"/>
    </xf>
    <xf numFmtId="3" fontId="13" fillId="10" borderId="3" xfId="0" applyNumberFormat="1" applyFont="1" applyFill="1" applyBorder="1" applyAlignment="1" applyProtection="1">
      <alignment horizontal="right"/>
    </xf>
    <xf numFmtId="3" fontId="13" fillId="10" borderId="2" xfId="0" applyNumberFormat="1" applyFont="1" applyFill="1" applyBorder="1" applyAlignment="1" applyProtection="1">
      <alignment horizontal="right"/>
    </xf>
    <xf numFmtId="3" fontId="13" fillId="10" borderId="18" xfId="0" applyNumberFormat="1" applyFont="1" applyFill="1" applyBorder="1" applyAlignment="1" applyProtection="1">
      <alignment horizontal="right"/>
    </xf>
    <xf numFmtId="3" fontId="13" fillId="10" borderId="98" xfId="0" applyNumberFormat="1" applyFont="1" applyFill="1" applyBorder="1" applyAlignment="1" applyProtection="1">
      <alignment horizontal="right"/>
    </xf>
    <xf numFmtId="3" fontId="13" fillId="10" borderId="21" xfId="0" applyNumberFormat="1" applyFont="1" applyFill="1" applyBorder="1" applyAlignment="1" applyProtection="1">
      <alignment horizontal="right"/>
    </xf>
    <xf numFmtId="3" fontId="13" fillId="10" borderId="47" xfId="0" applyNumberFormat="1" applyFont="1" applyFill="1" applyBorder="1" applyAlignment="1" applyProtection="1">
      <alignment horizontal="right"/>
    </xf>
    <xf numFmtId="3" fontId="13" fillId="10" borderId="119" xfId="0" applyNumberFormat="1" applyFont="1" applyFill="1" applyBorder="1" applyAlignment="1" applyProtection="1">
      <alignment horizontal="right"/>
    </xf>
    <xf numFmtId="3" fontId="13" fillId="10" borderId="28" xfId="0" applyNumberFormat="1" applyFont="1" applyFill="1" applyBorder="1" applyAlignment="1" applyProtection="1">
      <alignment horizontal="right"/>
    </xf>
    <xf numFmtId="3" fontId="13" fillId="10" borderId="103" xfId="0" applyNumberFormat="1" applyFont="1" applyFill="1" applyBorder="1" applyAlignment="1" applyProtection="1">
      <alignment horizontal="right"/>
    </xf>
    <xf numFmtId="3" fontId="13" fillId="10" borderId="29" xfId="0" applyNumberFormat="1" applyFont="1" applyFill="1" applyBorder="1" applyAlignment="1" applyProtection="1">
      <alignment horizontal="right"/>
    </xf>
    <xf numFmtId="3" fontId="13" fillId="10" borderId="32" xfId="0" applyNumberFormat="1" applyFont="1" applyFill="1" applyBorder="1" applyAlignment="1" applyProtection="1">
      <alignment horizontal="right"/>
    </xf>
    <xf numFmtId="3" fontId="13" fillId="10" borderId="22" xfId="0" applyNumberFormat="1" applyFont="1" applyFill="1" applyBorder="1" applyAlignment="1" applyProtection="1">
      <alignment horizontal="right"/>
    </xf>
    <xf numFmtId="3" fontId="13" fillId="10" borderId="5" xfId="0" applyNumberFormat="1" applyFont="1" applyFill="1" applyBorder="1" applyAlignment="1" applyProtection="1">
      <alignment horizontal="right"/>
    </xf>
    <xf numFmtId="3" fontId="13" fillId="10" borderId="19" xfId="0" applyNumberFormat="1" applyFont="1" applyFill="1" applyBorder="1" applyAlignment="1" applyProtection="1">
      <alignment horizontal="right"/>
    </xf>
    <xf numFmtId="3" fontId="13" fillId="10" borderId="6" xfId="0" applyNumberFormat="1" applyFont="1" applyFill="1" applyBorder="1" applyAlignment="1" applyProtection="1">
      <alignment horizontal="right"/>
    </xf>
    <xf numFmtId="3" fontId="13" fillId="10" borderId="7" xfId="0" applyNumberFormat="1" applyFont="1" applyFill="1" applyBorder="1" applyAlignment="1" applyProtection="1">
      <alignment horizontal="right"/>
    </xf>
    <xf numFmtId="0" fontId="23" fillId="10" borderId="96" xfId="0" applyFont="1" applyFill="1" applyBorder="1" applyProtection="1"/>
    <xf numFmtId="0" fontId="23" fillId="10" borderId="120" xfId="0" applyFont="1" applyFill="1" applyBorder="1" applyProtection="1"/>
    <xf numFmtId="0" fontId="23" fillId="10" borderId="121" xfId="0" applyFont="1" applyFill="1" applyBorder="1" applyProtection="1"/>
    <xf numFmtId="0" fontId="23" fillId="10" borderId="65" xfId="0" applyFont="1" applyFill="1" applyBorder="1" applyProtection="1"/>
    <xf numFmtId="0" fontId="23" fillId="10" borderId="82" xfId="0" applyFont="1" applyFill="1" applyBorder="1" applyProtection="1"/>
    <xf numFmtId="0" fontId="23" fillId="10" borderId="53" xfId="0" applyFont="1" applyFill="1" applyBorder="1" applyProtection="1"/>
    <xf numFmtId="0" fontId="23" fillId="10" borderId="98" xfId="0" applyFont="1" applyFill="1" applyBorder="1" applyProtection="1"/>
    <xf numFmtId="0" fontId="23" fillId="10" borderId="118" xfId="0" applyFont="1" applyFill="1" applyBorder="1" applyProtection="1"/>
    <xf numFmtId="0" fontId="23" fillId="10" borderId="21" xfId="0" applyFont="1" applyFill="1" applyBorder="1" applyProtection="1"/>
    <xf numFmtId="0" fontId="23" fillId="10" borderId="2" xfId="0" applyFont="1" applyFill="1" applyBorder="1" applyProtection="1"/>
    <xf numFmtId="0" fontId="23" fillId="10" borderId="47" xfId="0" applyFont="1" applyFill="1" applyBorder="1" applyProtection="1"/>
    <xf numFmtId="0" fontId="23" fillId="10" borderId="119" xfId="0" applyFont="1" applyFill="1" applyBorder="1" applyProtection="1"/>
    <xf numFmtId="0" fontId="23" fillId="10" borderId="28" xfId="0" applyFont="1" applyFill="1" applyBorder="1" applyProtection="1"/>
    <xf numFmtId="0" fontId="23" fillId="10" borderId="103" xfId="0" applyFont="1" applyFill="1" applyBorder="1" applyProtection="1"/>
    <xf numFmtId="3" fontId="13" fillId="10" borderId="109" xfId="0" applyNumberFormat="1" applyFont="1" applyFill="1" applyBorder="1" applyAlignment="1" applyProtection="1">
      <alignment horizontal="right"/>
    </xf>
    <xf numFmtId="3" fontId="13" fillId="2" borderId="82" xfId="0" applyNumberFormat="1" applyFont="1" applyFill="1" applyBorder="1" applyAlignment="1" applyProtection="1">
      <alignment horizontal="right"/>
      <protection locked="0"/>
    </xf>
    <xf numFmtId="0" fontId="23" fillId="10" borderId="7" xfId="0" applyFont="1" applyFill="1" applyBorder="1" applyProtection="1"/>
    <xf numFmtId="0" fontId="23" fillId="10" borderId="6" xfId="0" applyFont="1" applyFill="1" applyBorder="1" applyProtection="1"/>
    <xf numFmtId="0" fontId="23" fillId="10" borderId="5" xfId="0" applyFont="1" applyFill="1" applyBorder="1" applyProtection="1"/>
    <xf numFmtId="3" fontId="13" fillId="15" borderId="5" xfId="0" applyNumberFormat="1" applyFont="1" applyFill="1" applyBorder="1" applyAlignment="1" applyProtection="1">
      <alignment horizontal="right"/>
    </xf>
    <xf numFmtId="3" fontId="13" fillId="15" borderId="6" xfId="0" applyNumberFormat="1" applyFont="1" applyFill="1" applyBorder="1" applyAlignment="1" applyProtection="1">
      <alignment horizontal="right"/>
    </xf>
    <xf numFmtId="0" fontId="23" fillId="10" borderId="19" xfId="0" applyFont="1" applyFill="1" applyBorder="1" applyProtection="1"/>
    <xf numFmtId="0" fontId="23" fillId="10" borderId="22" xfId="0" applyFont="1" applyFill="1" applyBorder="1" applyProtection="1"/>
    <xf numFmtId="0" fontId="23" fillId="10" borderId="29" xfId="0" applyFont="1" applyFill="1" applyBorder="1" applyProtection="1"/>
    <xf numFmtId="0" fontId="23" fillId="10" borderId="32" xfId="0" applyFont="1" applyFill="1" applyBorder="1" applyProtection="1"/>
    <xf numFmtId="3" fontId="13" fillId="2" borderId="122" xfId="0" applyNumberFormat="1" applyFont="1" applyFill="1" applyBorder="1" applyAlignment="1" applyProtection="1">
      <alignment horizontal="right"/>
    </xf>
    <xf numFmtId="3" fontId="13" fillId="10" borderId="14" xfId="0" applyNumberFormat="1" applyFont="1" applyFill="1" applyBorder="1" applyAlignment="1" applyProtection="1">
      <alignment horizontal="left"/>
    </xf>
    <xf numFmtId="3" fontId="13" fillId="10" borderId="10" xfId="0" applyNumberFormat="1" applyFont="1" applyFill="1" applyBorder="1" applyAlignment="1" applyProtection="1">
      <alignment horizontal="left"/>
    </xf>
    <xf numFmtId="3" fontId="13" fillId="10" borderId="9" xfId="0" applyNumberFormat="1" applyFont="1" applyFill="1" applyBorder="1" applyAlignment="1" applyProtection="1">
      <alignment horizontal="left"/>
    </xf>
    <xf numFmtId="3" fontId="13" fillId="10" borderId="20" xfId="0" applyNumberFormat="1" applyFont="1" applyFill="1" applyBorder="1" applyAlignment="1" applyProtection="1">
      <alignment horizontal="left"/>
    </xf>
    <xf numFmtId="3" fontId="13" fillId="10" borderId="23" xfId="0" applyNumberFormat="1" applyFont="1" applyFill="1" applyBorder="1" applyAlignment="1" applyProtection="1">
      <alignment horizontal="left"/>
    </xf>
    <xf numFmtId="3" fontId="13" fillId="16" borderId="20" xfId="0" applyNumberFormat="1" applyFont="1" applyFill="1" applyBorder="1" applyAlignment="1" applyProtection="1">
      <alignment horizontal="left"/>
    </xf>
    <xf numFmtId="3" fontId="13" fillId="10" borderId="30" xfId="0" applyNumberFormat="1" applyFont="1" applyFill="1" applyBorder="1" applyAlignment="1" applyProtection="1">
      <alignment horizontal="left"/>
    </xf>
    <xf numFmtId="3" fontId="13" fillId="10" borderId="31" xfId="0" applyNumberFormat="1" applyFont="1" applyFill="1" applyBorder="1" applyAlignment="1" applyProtection="1">
      <alignment horizontal="left"/>
    </xf>
    <xf numFmtId="0" fontId="94" fillId="0" borderId="11" xfId="6" applyFont="1" applyBorder="1" applyProtection="1"/>
    <xf numFmtId="0" fontId="22" fillId="0" borderId="87" xfId="6" applyBorder="1" applyProtection="1"/>
    <xf numFmtId="0" fontId="94" fillId="0" borderId="74" xfId="6" applyFont="1" applyBorder="1" applyProtection="1"/>
    <xf numFmtId="49" fontId="99" fillId="7" borderId="0" xfId="0" applyNumberFormat="1" applyFont="1" applyFill="1" applyProtection="1"/>
    <xf numFmtId="0" fontId="99" fillId="7" borderId="0" xfId="0" applyFont="1" applyFill="1" applyProtection="1"/>
    <xf numFmtId="49" fontId="101" fillId="7" borderId="0" xfId="0" applyNumberFormat="1" applyFont="1" applyFill="1" applyProtection="1"/>
    <xf numFmtId="0" fontId="101" fillId="7" borderId="0" xfId="0" applyFont="1" applyFill="1" applyProtection="1"/>
    <xf numFmtId="0" fontId="0" fillId="7" borderId="0" xfId="0" applyFill="1" applyAlignment="1" applyProtection="1">
      <alignment horizontal="right"/>
    </xf>
    <xf numFmtId="0" fontId="102" fillId="7" borderId="0" xfId="0" applyFont="1" applyFill="1" applyProtection="1"/>
    <xf numFmtId="49" fontId="101" fillId="7" borderId="0" xfId="0" applyNumberFormat="1" applyFont="1" applyFill="1" applyAlignment="1" applyProtection="1">
      <alignment horizontal="right"/>
    </xf>
    <xf numFmtId="49" fontId="100" fillId="7" borderId="0" xfId="0" applyNumberFormat="1" applyFont="1" applyFill="1" applyAlignment="1" applyProtection="1">
      <alignment horizontal="right"/>
    </xf>
    <xf numFmtId="0" fontId="100" fillId="7" borderId="0" xfId="0" applyFont="1" applyFill="1" applyAlignment="1" applyProtection="1">
      <alignment horizontal="left"/>
    </xf>
    <xf numFmtId="49" fontId="101" fillId="7" borderId="0" xfId="6" applyNumberFormat="1" applyFont="1" applyFill="1" applyBorder="1" applyAlignment="1" applyProtection="1">
      <alignment horizontal="left"/>
    </xf>
    <xf numFmtId="0" fontId="101" fillId="7" borderId="0" xfId="6" applyFont="1" applyFill="1" applyProtection="1"/>
    <xf numFmtId="49" fontId="101" fillId="7" borderId="0" xfId="0" applyNumberFormat="1" applyFont="1" applyFill="1" applyAlignment="1" applyProtection="1"/>
    <xf numFmtId="0" fontId="101" fillId="7" borderId="0" xfId="0" applyFont="1" applyFill="1" applyAlignment="1" applyProtection="1"/>
    <xf numFmtId="3" fontId="2" fillId="0" borderId="18" xfId="0" applyNumberFormat="1" applyFont="1" applyFill="1" applyBorder="1" applyAlignment="1" applyProtection="1">
      <alignment horizontal="right"/>
      <protection locked="0"/>
    </xf>
    <xf numFmtId="0" fontId="104" fillId="0" borderId="125" xfId="0" applyFont="1" applyFill="1" applyBorder="1" applyProtection="1"/>
    <xf numFmtId="0" fontId="104" fillId="0" borderId="50" xfId="0" applyFont="1" applyFill="1" applyBorder="1" applyProtection="1"/>
    <xf numFmtId="0" fontId="104" fillId="0" borderId="37" xfId="0" applyFont="1" applyFill="1" applyBorder="1" applyProtection="1"/>
    <xf numFmtId="0" fontId="104" fillId="0" borderId="0" xfId="0" applyFont="1" applyFill="1" applyBorder="1" applyProtection="1"/>
    <xf numFmtId="3" fontId="13" fillId="3" borderId="8" xfId="0" applyNumberFormat="1" applyFont="1" applyFill="1" applyBorder="1" applyAlignment="1" applyProtection="1">
      <alignment horizontal="right"/>
    </xf>
    <xf numFmtId="3" fontId="110" fillId="2" borderId="0" xfId="0" applyNumberFormat="1" applyFont="1" applyFill="1" applyBorder="1" applyAlignment="1" applyProtection="1">
      <alignment horizontal="right"/>
    </xf>
    <xf numFmtId="3" fontId="110" fillId="5" borderId="0" xfId="0" applyNumberFormat="1" applyFont="1" applyFill="1" applyBorder="1" applyAlignment="1" applyProtection="1">
      <alignment horizontal="right"/>
    </xf>
    <xf numFmtId="3" fontId="110" fillId="4" borderId="0" xfId="0" applyNumberFormat="1" applyFont="1" applyFill="1" applyBorder="1" applyAlignment="1" applyProtection="1">
      <alignment horizontal="right"/>
    </xf>
    <xf numFmtId="3" fontId="110" fillId="6" borderId="0" xfId="0" applyNumberFormat="1" applyFont="1" applyFill="1" applyBorder="1" applyAlignment="1" applyProtection="1">
      <alignment horizontal="right"/>
    </xf>
    <xf numFmtId="0" fontId="111" fillId="0" borderId="0" xfId="0" applyFont="1" applyFill="1" applyBorder="1" applyProtection="1"/>
    <xf numFmtId="49" fontId="3" fillId="19" borderId="127" xfId="0" applyNumberFormat="1" applyFont="1" applyFill="1" applyBorder="1" applyAlignment="1" applyProtection="1">
      <alignment horizontal="center"/>
    </xf>
    <xf numFmtId="49" fontId="3" fillId="19" borderId="13" xfId="0" applyNumberFormat="1" applyFont="1" applyFill="1" applyBorder="1" applyAlignment="1" applyProtection="1">
      <alignment horizontal="center"/>
    </xf>
    <xf numFmtId="0" fontId="5" fillId="19" borderId="13" xfId="0" applyFont="1" applyFill="1" applyBorder="1" applyProtection="1"/>
    <xf numFmtId="49" fontId="3" fillId="19" borderId="1" xfId="0" applyNumberFormat="1" applyFont="1" applyFill="1" applyBorder="1" applyAlignment="1" applyProtection="1">
      <alignment horizontal="left"/>
    </xf>
    <xf numFmtId="49" fontId="3" fillId="19" borderId="5" xfId="0" applyNumberFormat="1" applyFont="1" applyFill="1" applyBorder="1" applyAlignment="1" applyProtection="1">
      <alignment horizontal="center" wrapText="1"/>
    </xf>
    <xf numFmtId="49" fontId="3" fillId="19" borderId="84" xfId="0" applyNumberFormat="1" applyFont="1" applyFill="1" applyBorder="1" applyAlignment="1" applyProtection="1">
      <alignment horizontal="center" wrapText="1"/>
    </xf>
    <xf numFmtId="0" fontId="8" fillId="19" borderId="9" xfId="0" applyFont="1" applyFill="1" applyBorder="1" applyAlignment="1" applyProtection="1">
      <alignment horizontal="center" wrapText="1"/>
    </xf>
    <xf numFmtId="49" fontId="3" fillId="19" borderId="2" xfId="0" applyNumberFormat="1" applyFont="1" applyFill="1" applyBorder="1" applyAlignment="1" applyProtection="1">
      <alignment horizontal="center" wrapText="1"/>
    </xf>
    <xf numFmtId="0" fontId="3" fillId="19" borderId="9" xfId="0" applyFont="1" applyFill="1" applyBorder="1" applyAlignment="1" applyProtection="1">
      <alignment horizontal="center" wrapText="1"/>
    </xf>
    <xf numFmtId="0" fontId="8" fillId="19" borderId="5" xfId="0" applyFont="1" applyFill="1" applyBorder="1" applyAlignment="1" applyProtection="1">
      <alignment horizontal="center"/>
    </xf>
    <xf numFmtId="0" fontId="3" fillId="19" borderId="68" xfId="0" applyFont="1" applyFill="1" applyBorder="1" applyAlignment="1" applyProtection="1">
      <alignment horizontal="center"/>
    </xf>
    <xf numFmtId="3" fontId="3" fillId="19" borderId="128" xfId="0" applyNumberFormat="1" applyFont="1" applyFill="1" applyBorder="1" applyAlignment="1" applyProtection="1"/>
    <xf numFmtId="0" fontId="3" fillId="19" borderId="23" xfId="0" applyFont="1" applyFill="1" applyBorder="1" applyAlignment="1" applyProtection="1">
      <alignment horizontal="center"/>
    </xf>
    <xf numFmtId="0" fontId="3" fillId="19" borderId="9" xfId="0" applyFont="1" applyFill="1" applyBorder="1" applyAlignment="1" applyProtection="1">
      <alignment horizontal="center"/>
    </xf>
    <xf numFmtId="0" fontId="5" fillId="19" borderId="9" xfId="0" applyFont="1" applyFill="1" applyBorder="1" applyAlignment="1" applyProtection="1">
      <alignment horizontal="left"/>
    </xf>
    <xf numFmtId="0" fontId="3" fillId="19" borderId="129" xfId="0" applyFont="1" applyFill="1" applyBorder="1" applyAlignment="1" applyProtection="1">
      <alignment horizontal="center"/>
    </xf>
    <xf numFmtId="0" fontId="8" fillId="19" borderId="13" xfId="0" applyFont="1" applyFill="1" applyBorder="1" applyAlignment="1" applyProtection="1">
      <alignment horizontal="center"/>
    </xf>
    <xf numFmtId="0" fontId="14" fillId="19" borderId="13" xfId="0" applyFont="1" applyFill="1" applyBorder="1" applyAlignment="1" applyProtection="1">
      <alignment horizontal="left"/>
    </xf>
    <xf numFmtId="0" fontId="3" fillId="19" borderId="22" xfId="0" applyFont="1" applyFill="1" applyBorder="1" applyAlignment="1" applyProtection="1">
      <alignment horizontal="center"/>
    </xf>
    <xf numFmtId="0" fontId="3" fillId="19" borderId="8" xfId="0" applyFont="1" applyFill="1" applyBorder="1" applyAlignment="1" applyProtection="1">
      <alignment horizontal="center" wrapText="1"/>
    </xf>
    <xf numFmtId="0" fontId="8" fillId="19" borderId="5" xfId="0" applyFont="1" applyFill="1" applyBorder="1" applyAlignment="1" applyProtection="1">
      <alignment wrapText="1"/>
    </xf>
    <xf numFmtId="0" fontId="3" fillId="19" borderId="21" xfId="0" applyFont="1" applyFill="1" applyBorder="1" applyAlignment="1" applyProtection="1">
      <alignment horizontal="center"/>
    </xf>
    <xf numFmtId="0" fontId="3" fillId="19" borderId="55" xfId="0" applyFont="1" applyFill="1" applyBorder="1" applyAlignment="1" applyProtection="1">
      <alignment horizontal="center"/>
    </xf>
    <xf numFmtId="0" fontId="3" fillId="19" borderId="2" xfId="0" applyFont="1" applyFill="1" applyBorder="1" applyProtection="1"/>
    <xf numFmtId="0" fontId="3" fillId="19" borderId="130" xfId="0" applyFont="1" applyFill="1" applyBorder="1" applyAlignment="1" applyProtection="1">
      <alignment horizontal="center"/>
    </xf>
    <xf numFmtId="1" fontId="3" fillId="19" borderId="15" xfId="0" applyNumberFormat="1" applyFont="1" applyFill="1" applyBorder="1" applyAlignment="1" applyProtection="1">
      <alignment horizontal="center"/>
    </xf>
    <xf numFmtId="0" fontId="3" fillId="19" borderId="15" xfId="0" applyFont="1" applyFill="1" applyBorder="1" applyProtection="1"/>
    <xf numFmtId="1" fontId="3" fillId="19" borderId="5" xfId="0" applyNumberFormat="1" applyFont="1" applyFill="1" applyBorder="1" applyAlignment="1" applyProtection="1">
      <alignment horizontal="center"/>
    </xf>
    <xf numFmtId="0" fontId="3" fillId="19" borderId="5" xfId="0" applyFont="1" applyFill="1" applyBorder="1" applyProtection="1"/>
    <xf numFmtId="0" fontId="3" fillId="19" borderId="50" xfId="0" applyFont="1" applyFill="1" applyBorder="1" applyAlignment="1" applyProtection="1">
      <alignment horizontal="center"/>
    </xf>
    <xf numFmtId="1" fontId="3" fillId="19" borderId="2" xfId="0" applyNumberFormat="1" applyFont="1" applyFill="1" applyBorder="1" applyAlignment="1" applyProtection="1">
      <alignment horizontal="center"/>
    </xf>
    <xf numFmtId="0" fontId="3" fillId="19" borderId="24" xfId="0" applyFont="1" applyFill="1" applyBorder="1" applyAlignment="1" applyProtection="1">
      <alignment horizontal="center"/>
    </xf>
    <xf numFmtId="1" fontId="5" fillId="19" borderId="13" xfId="0" applyNumberFormat="1" applyFont="1" applyFill="1" applyBorder="1" applyAlignment="1" applyProtection="1">
      <alignment horizontal="center"/>
    </xf>
    <xf numFmtId="0" fontId="8" fillId="19" borderId="131" xfId="0" applyFont="1" applyFill="1" applyBorder="1" applyAlignment="1" applyProtection="1">
      <alignment horizontal="center"/>
    </xf>
    <xf numFmtId="1" fontId="8" fillId="19" borderId="2" xfId="0" applyNumberFormat="1" applyFont="1" applyFill="1" applyBorder="1" applyAlignment="1" applyProtection="1">
      <alignment horizontal="center"/>
    </xf>
    <xf numFmtId="0" fontId="8" fillId="19" borderId="2" xfId="0" applyFont="1" applyFill="1" applyBorder="1" applyProtection="1"/>
    <xf numFmtId="1" fontId="14" fillId="19" borderId="13" xfId="0" applyNumberFormat="1" applyFont="1" applyFill="1" applyBorder="1" applyAlignment="1" applyProtection="1">
      <alignment horizontal="center"/>
    </xf>
    <xf numFmtId="0" fontId="14" fillId="19" borderId="13" xfId="0" applyFont="1" applyFill="1" applyBorder="1" applyProtection="1"/>
    <xf numFmtId="0" fontId="3" fillId="19" borderId="51" xfId="0" applyFont="1" applyFill="1" applyBorder="1" applyAlignment="1" applyProtection="1">
      <alignment horizontal="center"/>
    </xf>
    <xf numFmtId="1" fontId="5" fillId="19" borderId="25" xfId="0" applyNumberFormat="1" applyFont="1" applyFill="1" applyBorder="1" applyAlignment="1" applyProtection="1">
      <alignment horizontal="center"/>
    </xf>
    <xf numFmtId="0" fontId="5" fillId="19" borderId="25" xfId="0" applyFont="1" applyFill="1" applyBorder="1" applyProtection="1"/>
    <xf numFmtId="0" fontId="3" fillId="19" borderId="131" xfId="0" applyFont="1" applyFill="1" applyBorder="1" applyAlignment="1" applyProtection="1">
      <alignment horizontal="center"/>
    </xf>
    <xf numFmtId="0" fontId="3" fillId="19" borderId="25" xfId="0" applyFont="1" applyFill="1" applyBorder="1" applyAlignment="1" applyProtection="1">
      <alignment horizontal="center"/>
    </xf>
    <xf numFmtId="0" fontId="3" fillId="19" borderId="25" xfId="0" applyFont="1" applyFill="1" applyBorder="1" applyProtection="1"/>
    <xf numFmtId="0" fontId="5" fillId="19" borderId="2" xfId="0" applyFont="1" applyFill="1" applyBorder="1" applyProtection="1"/>
    <xf numFmtId="49" fontId="3" fillId="19" borderId="129" xfId="0" applyNumberFormat="1" applyFont="1" applyFill="1" applyBorder="1" applyAlignment="1" applyProtection="1">
      <alignment horizontal="center"/>
    </xf>
    <xf numFmtId="0" fontId="3" fillId="19" borderId="106" xfId="0" applyFont="1" applyFill="1" applyBorder="1" applyAlignment="1" applyProtection="1">
      <alignment horizontal="center"/>
    </xf>
    <xf numFmtId="1" fontId="3" fillId="19" borderId="42" xfId="0" applyNumberFormat="1" applyFont="1" applyFill="1" applyBorder="1" applyAlignment="1" applyProtection="1">
      <alignment horizontal="left"/>
    </xf>
    <xf numFmtId="0" fontId="3" fillId="19" borderId="132" xfId="0" applyFont="1" applyFill="1" applyBorder="1" applyAlignment="1" applyProtection="1">
      <alignment horizontal="center"/>
    </xf>
    <xf numFmtId="1" fontId="3" fillId="19" borderId="133" xfId="0" applyNumberFormat="1" applyFont="1" applyFill="1" applyBorder="1" applyAlignment="1" applyProtection="1">
      <alignment horizontal="left"/>
    </xf>
    <xf numFmtId="49" fontId="3" fillId="19" borderId="134" xfId="0" applyNumberFormat="1" applyFont="1" applyFill="1" applyBorder="1" applyAlignment="1" applyProtection="1">
      <alignment horizontal="center"/>
    </xf>
    <xf numFmtId="0" fontId="68" fillId="19" borderId="81" xfId="0" applyFont="1" applyFill="1" applyBorder="1" applyAlignment="1" applyProtection="1">
      <alignment horizontal="center"/>
    </xf>
    <xf numFmtId="49" fontId="3" fillId="19" borderId="21" xfId="0" applyNumberFormat="1" applyFont="1" applyFill="1" applyBorder="1" applyAlignment="1" applyProtection="1">
      <alignment horizontal="center"/>
    </xf>
    <xf numFmtId="49" fontId="16" fillId="19" borderId="8" xfId="0" applyNumberFormat="1" applyFont="1" applyFill="1" applyBorder="1" applyAlignment="1" applyProtection="1">
      <alignment horizontal="left"/>
    </xf>
    <xf numFmtId="49" fontId="3" fillId="19" borderId="22" xfId="0" applyNumberFormat="1" applyFont="1" applyFill="1" applyBorder="1" applyAlignment="1" applyProtection="1">
      <alignment horizontal="center"/>
    </xf>
    <xf numFmtId="49" fontId="3" fillId="19" borderId="130" xfId="0" applyNumberFormat="1" applyFont="1" applyFill="1" applyBorder="1" applyAlignment="1" applyProtection="1">
      <alignment horizontal="center"/>
    </xf>
    <xf numFmtId="49" fontId="3" fillId="19" borderId="24" xfId="0" applyNumberFormat="1" applyFont="1" applyFill="1" applyBorder="1" applyAlignment="1" applyProtection="1">
      <alignment horizontal="center"/>
    </xf>
    <xf numFmtId="49" fontId="68" fillId="19" borderId="66" xfId="0" applyNumberFormat="1" applyFont="1" applyFill="1" applyBorder="1" applyAlignment="1" applyProtection="1">
      <alignment horizontal="center"/>
    </xf>
    <xf numFmtId="49" fontId="8" fillId="19" borderId="135" xfId="0" applyNumberFormat="1" applyFont="1" applyFill="1" applyBorder="1" applyAlignment="1" applyProtection="1">
      <alignment horizontal="center"/>
    </xf>
    <xf numFmtId="0" fontId="14" fillId="19" borderId="136" xfId="0" applyFont="1" applyFill="1" applyBorder="1" applyAlignment="1" applyProtection="1">
      <alignment wrapText="1"/>
    </xf>
    <xf numFmtId="0" fontId="3" fillId="19" borderId="2" xfId="0" applyFont="1" applyFill="1" applyBorder="1" applyAlignment="1" applyProtection="1">
      <alignment wrapText="1"/>
    </xf>
    <xf numFmtId="49" fontId="3" fillId="19" borderId="131" xfId="0" applyNumberFormat="1" applyFont="1" applyFill="1" applyBorder="1" applyAlignment="1" applyProtection="1">
      <alignment horizontal="center"/>
    </xf>
    <xf numFmtId="0" fontId="5" fillId="19" borderId="42" xfId="0" applyFont="1" applyFill="1" applyBorder="1" applyProtection="1"/>
    <xf numFmtId="49" fontId="8" fillId="19" borderId="125" xfId="0" applyNumberFormat="1" applyFont="1" applyFill="1" applyBorder="1" applyAlignment="1" applyProtection="1">
      <alignment horizontal="center"/>
    </xf>
    <xf numFmtId="0" fontId="14" fillId="19" borderId="42" xfId="0" applyFont="1" applyFill="1" applyBorder="1" applyProtection="1"/>
    <xf numFmtId="0" fontId="5" fillId="19" borderId="2" xfId="0" applyFont="1" applyFill="1" applyBorder="1" applyAlignment="1" applyProtection="1">
      <alignment wrapText="1"/>
    </xf>
    <xf numFmtId="49" fontId="8" fillId="19" borderId="22" xfId="0" applyNumberFormat="1" applyFont="1" applyFill="1" applyBorder="1" applyAlignment="1" applyProtection="1">
      <alignment horizontal="center"/>
    </xf>
    <xf numFmtId="0" fontId="3" fillId="19" borderId="5" xfId="0" applyFont="1" applyFill="1" applyBorder="1" applyAlignment="1" applyProtection="1">
      <alignment wrapText="1"/>
    </xf>
    <xf numFmtId="0" fontId="5" fillId="19" borderId="120" xfId="0" applyFont="1" applyFill="1" applyBorder="1" applyAlignment="1" applyProtection="1">
      <alignment horizontal="right"/>
    </xf>
    <xf numFmtId="0" fontId="3" fillId="19" borderId="98" xfId="0" applyFont="1" applyFill="1" applyBorder="1" applyAlignment="1" applyProtection="1">
      <alignment horizontal="left"/>
    </xf>
    <xf numFmtId="0" fontId="5" fillId="19" borderId="118" xfId="0" applyFont="1" applyFill="1" applyBorder="1" applyAlignment="1" applyProtection="1">
      <alignment horizontal="right"/>
    </xf>
    <xf numFmtId="0" fontId="3" fillId="19" borderId="127" xfId="0" applyFont="1" applyFill="1" applyBorder="1" applyAlignment="1" applyProtection="1">
      <alignment horizontal="left"/>
    </xf>
    <xf numFmtId="0" fontId="5" fillId="19" borderId="15" xfId="0" applyFont="1" applyFill="1" applyBorder="1" applyAlignment="1" applyProtection="1">
      <alignment horizontal="right"/>
    </xf>
    <xf numFmtId="0" fontId="5" fillId="19" borderId="2" xfId="0" applyFont="1" applyFill="1" applyBorder="1" applyAlignment="1" applyProtection="1">
      <alignment horizontal="left"/>
    </xf>
    <xf numFmtId="0" fontId="3" fillId="19" borderId="2" xfId="0" applyFont="1" applyFill="1" applyBorder="1" applyAlignment="1" applyProtection="1">
      <alignment horizontal="left"/>
    </xf>
    <xf numFmtId="0" fontId="5" fillId="19" borderId="13" xfId="0" applyFont="1" applyFill="1" applyBorder="1" applyAlignment="1" applyProtection="1">
      <alignment horizontal="left"/>
    </xf>
    <xf numFmtId="49" fontId="3" fillId="19" borderId="23" xfId="0" applyNumberFormat="1" applyFont="1" applyFill="1" applyBorder="1" applyAlignment="1" applyProtection="1">
      <alignment horizontal="center"/>
    </xf>
    <xf numFmtId="0" fontId="3" fillId="19" borderId="9" xfId="0" applyFont="1" applyFill="1" applyBorder="1" applyAlignment="1" applyProtection="1">
      <alignment horizontal="left"/>
    </xf>
    <xf numFmtId="0" fontId="3" fillId="19" borderId="2" xfId="0" applyFont="1" applyFill="1" applyBorder="1" applyAlignment="1" applyProtection="1">
      <alignment horizontal="left" vertical="top" wrapText="1"/>
    </xf>
    <xf numFmtId="0" fontId="3" fillId="19" borderId="5" xfId="0" applyFont="1" applyFill="1" applyBorder="1" applyAlignment="1" applyProtection="1">
      <alignment horizontal="left"/>
    </xf>
    <xf numFmtId="0" fontId="5" fillId="19" borderId="15" xfId="0" applyFont="1" applyFill="1" applyBorder="1" applyAlignment="1" applyProtection="1">
      <alignment horizontal="left"/>
    </xf>
    <xf numFmtId="0" fontId="5" fillId="19" borderId="118" xfId="0" applyFont="1" applyFill="1" applyBorder="1" applyAlignment="1" applyProtection="1">
      <alignment horizontal="left"/>
    </xf>
    <xf numFmtId="0" fontId="5" fillId="19" borderId="121" xfId="0" applyFont="1" applyFill="1" applyBorder="1" applyAlignment="1" applyProtection="1">
      <alignment horizontal="left"/>
    </xf>
    <xf numFmtId="0" fontId="3" fillId="19" borderId="15" xfId="0" applyFont="1" applyFill="1" applyBorder="1" applyAlignment="1" applyProtection="1">
      <alignment horizontal="left"/>
    </xf>
    <xf numFmtId="0" fontId="3" fillId="19" borderId="57" xfId="0" applyFont="1" applyFill="1" applyBorder="1" applyAlignment="1" applyProtection="1">
      <alignment horizontal="left"/>
    </xf>
    <xf numFmtId="0" fontId="5" fillId="19" borderId="57" xfId="0" applyFont="1" applyFill="1" applyBorder="1" applyAlignment="1" applyProtection="1">
      <alignment horizontal="right"/>
    </xf>
    <xf numFmtId="0" fontId="3" fillId="19" borderId="54" xfId="0" applyFont="1" applyFill="1" applyBorder="1" applyAlignment="1" applyProtection="1">
      <alignment horizontal="left"/>
    </xf>
    <xf numFmtId="0" fontId="5" fillId="19" borderId="127" xfId="0" applyFont="1" applyFill="1" applyBorder="1" applyAlignment="1" applyProtection="1">
      <alignment horizontal="left" vertical="top"/>
    </xf>
    <xf numFmtId="0" fontId="5" fillId="19" borderId="57" xfId="0" applyFont="1" applyFill="1" applyBorder="1" applyAlignment="1" applyProtection="1">
      <alignment horizontal="left" vertical="top"/>
    </xf>
    <xf numFmtId="0" fontId="5" fillId="19" borderId="21" xfId="0" applyFont="1" applyFill="1" applyBorder="1" applyAlignment="1" applyProtection="1">
      <alignment horizontal="right"/>
    </xf>
    <xf numFmtId="0" fontId="5" fillId="19" borderId="53" xfId="0" applyFont="1" applyFill="1" applyBorder="1" applyAlignment="1" applyProtection="1">
      <alignment horizontal="right"/>
    </xf>
    <xf numFmtId="3" fontId="46" fillId="20" borderId="22" xfId="0" applyNumberFormat="1" applyFont="1" applyFill="1" applyBorder="1" applyProtection="1"/>
    <xf numFmtId="3" fontId="46" fillId="20" borderId="19" xfId="0" applyNumberFormat="1" applyFont="1" applyFill="1" applyBorder="1" applyProtection="1"/>
    <xf numFmtId="3" fontId="46" fillId="20" borderId="22" xfId="0" applyNumberFormat="1" applyFont="1" applyFill="1" applyBorder="1" applyAlignment="1" applyProtection="1">
      <alignment horizontal="right"/>
    </xf>
    <xf numFmtId="3" fontId="46" fillId="20" borderId="24" xfId="0" applyNumberFormat="1" applyFont="1" applyFill="1" applyBorder="1" applyProtection="1"/>
    <xf numFmtId="3" fontId="46" fillId="20" borderId="23" xfId="0" applyNumberFormat="1" applyFont="1" applyFill="1" applyBorder="1" applyProtection="1"/>
    <xf numFmtId="3" fontId="46" fillId="20" borderId="41" xfId="0" applyNumberFormat="1" applyFont="1" applyFill="1" applyBorder="1" applyProtection="1"/>
    <xf numFmtId="3" fontId="46" fillId="20" borderId="53" xfId="0" applyNumberFormat="1" applyFont="1" applyFill="1" applyBorder="1" applyProtection="1"/>
    <xf numFmtId="3" fontId="46" fillId="20" borderId="52" xfId="0" applyNumberFormat="1" applyFont="1" applyFill="1" applyBorder="1" applyProtection="1"/>
    <xf numFmtId="3" fontId="46" fillId="21" borderId="22" xfId="0" applyNumberFormat="1" applyFont="1" applyFill="1" applyBorder="1" applyProtection="1"/>
    <xf numFmtId="3" fontId="46" fillId="21" borderId="52" xfId="0" applyNumberFormat="1" applyFont="1" applyFill="1" applyBorder="1" applyProtection="1"/>
    <xf numFmtId="3" fontId="46" fillId="20" borderId="80" xfId="0" applyNumberFormat="1" applyFont="1" applyFill="1" applyBorder="1" applyProtection="1"/>
    <xf numFmtId="0" fontId="5" fillId="19" borderId="137" xfId="0" applyFont="1" applyFill="1" applyBorder="1" applyAlignment="1" applyProtection="1">
      <alignment horizontal="center" vertical="center" wrapText="1"/>
    </xf>
    <xf numFmtId="3" fontId="46" fillId="20" borderId="138" xfId="0" applyNumberFormat="1" applyFont="1" applyFill="1" applyBorder="1" applyProtection="1"/>
    <xf numFmtId="3" fontId="46" fillId="21" borderId="139" xfId="0" applyNumberFormat="1" applyFont="1" applyFill="1" applyBorder="1" applyProtection="1"/>
    <xf numFmtId="3" fontId="46" fillId="21" borderId="140" xfId="0" applyNumberFormat="1" applyFont="1" applyFill="1" applyBorder="1" applyProtection="1"/>
    <xf numFmtId="3" fontId="46" fillId="21" borderId="122" xfId="0" applyNumberFormat="1" applyFont="1" applyFill="1" applyBorder="1" applyProtection="1"/>
    <xf numFmtId="3" fontId="46" fillId="20" borderId="141" xfId="0" applyNumberFormat="1" applyFont="1" applyFill="1" applyBorder="1" applyProtection="1"/>
    <xf numFmtId="0" fontId="5" fillId="19" borderId="36" xfId="0" applyFont="1" applyFill="1" applyBorder="1" applyProtection="1"/>
    <xf numFmtId="166" fontId="4" fillId="19" borderId="121" xfId="0" applyNumberFormat="1" applyFont="1" applyFill="1" applyBorder="1" applyProtection="1"/>
    <xf numFmtId="0" fontId="5" fillId="19" borderId="142" xfId="0" applyFont="1" applyFill="1" applyBorder="1" applyProtection="1"/>
    <xf numFmtId="166" fontId="6" fillId="19" borderId="143" xfId="0" applyNumberFormat="1" applyFont="1" applyFill="1" applyBorder="1" applyProtection="1"/>
    <xf numFmtId="0" fontId="5" fillId="19" borderId="21" xfId="0" applyFont="1" applyFill="1" applyBorder="1" applyAlignment="1" applyProtection="1">
      <alignment horizontal="left" vertical="top"/>
    </xf>
    <xf numFmtId="0" fontId="5" fillId="19" borderId="53" xfId="0" applyFont="1" applyFill="1" applyBorder="1" applyAlignment="1" applyProtection="1">
      <alignment horizontal="left" vertical="top"/>
    </xf>
    <xf numFmtId="3" fontId="46" fillId="20" borderId="19" xfId="0" applyNumberFormat="1" applyFont="1" applyFill="1" applyBorder="1" applyAlignment="1" applyProtection="1">
      <alignment horizontal="right"/>
    </xf>
    <xf numFmtId="0" fontId="3" fillId="19" borderId="131" xfId="0" applyFont="1" applyFill="1" applyBorder="1" applyProtection="1"/>
    <xf numFmtId="166" fontId="6" fillId="19" borderId="53" xfId="0" applyNumberFormat="1" applyFont="1" applyFill="1" applyBorder="1" applyProtection="1"/>
    <xf numFmtId="0" fontId="3" fillId="19" borderId="50" xfId="0" applyFont="1" applyFill="1" applyBorder="1" applyProtection="1"/>
    <xf numFmtId="166" fontId="46" fillId="19" borderId="52" xfId="0" applyNumberFormat="1" applyFont="1" applyFill="1" applyBorder="1" applyProtection="1"/>
    <xf numFmtId="166" fontId="6" fillId="19" borderId="52" xfId="0" applyNumberFormat="1" applyFont="1" applyFill="1" applyBorder="1" applyProtection="1"/>
    <xf numFmtId="3" fontId="46" fillId="21" borderId="69" xfId="0" applyNumberFormat="1" applyFont="1" applyFill="1" applyBorder="1" applyProtection="1"/>
    <xf numFmtId="3" fontId="46" fillId="21" borderId="60" xfId="0" applyNumberFormat="1" applyFont="1" applyFill="1" applyBorder="1" applyProtection="1"/>
    <xf numFmtId="0" fontId="3" fillId="19" borderId="144" xfId="0" applyFont="1" applyFill="1" applyBorder="1" applyProtection="1"/>
    <xf numFmtId="166" fontId="46" fillId="19" borderId="59" xfId="0" applyNumberFormat="1" applyFont="1" applyFill="1" applyBorder="1" applyProtection="1"/>
    <xf numFmtId="3" fontId="46" fillId="20" borderId="24" xfId="0" applyNumberFormat="1" applyFont="1" applyFill="1" applyBorder="1" applyAlignment="1" applyProtection="1">
      <alignment horizontal="right"/>
    </xf>
    <xf numFmtId="3" fontId="46" fillId="21" borderId="85" xfId="0" applyNumberFormat="1" applyFont="1" applyFill="1" applyBorder="1" applyProtection="1"/>
    <xf numFmtId="49" fontId="3" fillId="19" borderId="36" xfId="0" applyNumberFormat="1" applyFont="1" applyFill="1" applyBorder="1" applyAlignment="1" applyProtection="1">
      <alignment horizontal="left"/>
    </xf>
    <xf numFmtId="0" fontId="5" fillId="19" borderId="118" xfId="0" applyFont="1" applyFill="1" applyBorder="1" applyAlignment="1" applyProtection="1"/>
    <xf numFmtId="49" fontId="3" fillId="19" borderId="58" xfId="0" applyNumberFormat="1" applyFont="1" applyFill="1" applyBorder="1" applyAlignment="1" applyProtection="1">
      <alignment horizontal="left"/>
    </xf>
    <xf numFmtId="0" fontId="25" fillId="19" borderId="15" xfId="0" applyFont="1" applyFill="1" applyBorder="1" applyProtection="1"/>
    <xf numFmtId="49" fontId="3" fillId="19" borderId="142" xfId="0" applyNumberFormat="1" applyFont="1" applyFill="1" applyBorder="1" applyAlignment="1" applyProtection="1">
      <alignment horizontal="left"/>
    </xf>
    <xf numFmtId="0" fontId="25" fillId="19" borderId="42" xfId="0" applyFont="1" applyFill="1" applyBorder="1" applyProtection="1"/>
    <xf numFmtId="49" fontId="3" fillId="19" borderId="127" xfId="0" applyNumberFormat="1" applyFont="1" applyFill="1" applyBorder="1" applyProtection="1"/>
    <xf numFmtId="165" fontId="3" fillId="19" borderId="15" xfId="0" applyNumberFormat="1" applyFont="1" applyFill="1" applyBorder="1" applyProtection="1"/>
    <xf numFmtId="0" fontId="24" fillId="19" borderId="145" xfId="0" applyFont="1" applyFill="1" applyBorder="1" applyProtection="1"/>
    <xf numFmtId="0" fontId="24" fillId="19" borderId="15" xfId="0" applyFont="1" applyFill="1" applyBorder="1" applyProtection="1"/>
    <xf numFmtId="0" fontId="5" fillId="19" borderId="2" xfId="0" applyNumberFormat="1" applyFont="1" applyFill="1" applyBorder="1" applyAlignment="1" applyProtection="1">
      <alignment horizontal="center"/>
    </xf>
    <xf numFmtId="0" fontId="14" fillId="19" borderId="2" xfId="0" applyFont="1" applyFill="1" applyBorder="1" applyProtection="1"/>
    <xf numFmtId="49" fontId="3" fillId="19" borderId="2" xfId="0" applyNumberFormat="1" applyFont="1" applyFill="1" applyBorder="1" applyAlignment="1" applyProtection="1">
      <alignment horizontal="center"/>
    </xf>
    <xf numFmtId="49" fontId="5" fillId="19" borderId="15" xfId="0" applyNumberFormat="1" applyFont="1" applyFill="1" applyBorder="1" applyAlignment="1" applyProtection="1">
      <alignment horizontal="center"/>
    </xf>
    <xf numFmtId="0" fontId="14" fillId="19" borderId="15" xfId="0" applyFont="1" applyFill="1" applyBorder="1" applyProtection="1"/>
    <xf numFmtId="0" fontId="3" fillId="19" borderId="5" xfId="0" applyFont="1" applyFill="1" applyBorder="1" applyAlignment="1" applyProtection="1">
      <alignment horizontal="center"/>
    </xf>
    <xf numFmtId="49" fontId="8" fillId="19" borderId="2" xfId="0" applyNumberFormat="1" applyFont="1" applyFill="1" applyBorder="1" applyAlignment="1" applyProtection="1">
      <alignment horizontal="center"/>
    </xf>
    <xf numFmtId="49" fontId="14" fillId="19" borderId="2" xfId="0" applyNumberFormat="1" applyFont="1" applyFill="1" applyBorder="1" applyAlignment="1" applyProtection="1">
      <alignment horizontal="center"/>
    </xf>
    <xf numFmtId="49" fontId="14" fillId="19" borderId="13" xfId="0" applyNumberFormat="1" applyFont="1" applyFill="1" applyBorder="1" applyAlignment="1" applyProtection="1">
      <alignment horizontal="center"/>
    </xf>
    <xf numFmtId="49" fontId="8" fillId="19" borderId="98" xfId="0" applyNumberFormat="1" applyFont="1" applyFill="1" applyBorder="1" applyAlignment="1" applyProtection="1">
      <alignment horizontal="center"/>
    </xf>
    <xf numFmtId="49" fontId="8" fillId="19" borderId="118" xfId="0" applyNumberFormat="1" applyFont="1" applyFill="1" applyBorder="1" applyAlignment="1" applyProtection="1">
      <alignment horizontal="center"/>
    </xf>
    <xf numFmtId="0" fontId="24" fillId="19" borderId="118" xfId="0" applyFont="1" applyFill="1" applyBorder="1" applyProtection="1"/>
    <xf numFmtId="49" fontId="5" fillId="19" borderId="2" xfId="0" applyNumberFormat="1" applyFont="1" applyFill="1" applyBorder="1" applyAlignment="1" applyProtection="1">
      <alignment horizontal="center"/>
    </xf>
    <xf numFmtId="49" fontId="5" fillId="19" borderId="13" xfId="0" applyNumberFormat="1" applyFont="1" applyFill="1" applyBorder="1" applyAlignment="1" applyProtection="1">
      <alignment horizontal="center"/>
    </xf>
    <xf numFmtId="49" fontId="3" fillId="19" borderId="146" xfId="0" applyNumberFormat="1" applyFont="1" applyFill="1" applyBorder="1" applyAlignment="1" applyProtection="1">
      <alignment horizontal="center"/>
    </xf>
    <xf numFmtId="49" fontId="5" fillId="19" borderId="84" xfId="0" applyNumberFormat="1" applyFont="1" applyFill="1" applyBorder="1" applyAlignment="1" applyProtection="1">
      <alignment horizontal="center"/>
    </xf>
    <xf numFmtId="0" fontId="14" fillId="19" borderId="84" xfId="0" applyFont="1" applyFill="1" applyBorder="1" applyProtection="1"/>
    <xf numFmtId="3" fontId="5" fillId="19" borderId="95" xfId="0" applyNumberFormat="1" applyFont="1" applyFill="1" applyBorder="1" applyProtection="1"/>
    <xf numFmtId="3" fontId="5" fillId="19" borderId="88" xfId="0" applyNumberFormat="1" applyFont="1" applyFill="1" applyBorder="1" applyProtection="1"/>
    <xf numFmtId="166" fontId="26" fillId="19" borderId="56" xfId="0" applyNumberFormat="1" applyFont="1" applyFill="1" applyBorder="1" applyAlignment="1" applyProtection="1">
      <alignment horizontal="center"/>
    </xf>
    <xf numFmtId="166" fontId="26" fillId="19" borderId="60" xfId="0" applyNumberFormat="1" applyFont="1" applyFill="1" applyBorder="1" applyAlignment="1" applyProtection="1">
      <alignment horizontal="center"/>
    </xf>
    <xf numFmtId="166" fontId="27" fillId="19" borderId="147" xfId="0" applyNumberFormat="1" applyFont="1" applyFill="1" applyBorder="1" applyProtection="1"/>
    <xf numFmtId="166" fontId="27" fillId="19" borderId="90" xfId="0" applyNumberFormat="1" applyFont="1" applyFill="1" applyBorder="1" applyProtection="1"/>
    <xf numFmtId="166" fontId="6" fillId="19" borderId="148" xfId="0" applyNumberFormat="1" applyFont="1" applyFill="1" applyBorder="1" applyProtection="1"/>
    <xf numFmtId="166" fontId="6" fillId="19" borderId="149" xfId="0" applyNumberFormat="1" applyFont="1" applyFill="1" applyBorder="1" applyProtection="1"/>
    <xf numFmtId="166" fontId="6" fillId="19" borderId="54" xfId="0" applyNumberFormat="1" applyFont="1" applyFill="1" applyBorder="1" applyProtection="1"/>
    <xf numFmtId="166" fontId="6" fillId="19" borderId="18" xfId="0" applyNumberFormat="1" applyFont="1" applyFill="1" applyBorder="1" applyProtection="1"/>
    <xf numFmtId="0" fontId="7" fillId="19" borderId="19" xfId="0" applyFont="1" applyFill="1" applyBorder="1" applyProtection="1"/>
    <xf numFmtId="0" fontId="5" fillId="19" borderId="58" xfId="0" applyFont="1" applyFill="1" applyBorder="1" applyAlignment="1" applyProtection="1">
      <alignment horizontal="center"/>
    </xf>
    <xf numFmtId="0" fontId="5" fillId="19" borderId="57" xfId="0" applyFont="1" applyFill="1" applyBorder="1" applyAlignment="1" applyProtection="1"/>
    <xf numFmtId="0" fontId="5" fillId="19" borderId="142" xfId="0" applyFont="1" applyFill="1" applyBorder="1" applyAlignment="1" applyProtection="1">
      <alignment horizontal="right"/>
    </xf>
    <xf numFmtId="0" fontId="5" fillId="19" borderId="143" xfId="0" applyFont="1" applyFill="1" applyBorder="1" applyAlignment="1" applyProtection="1">
      <alignment horizontal="right"/>
    </xf>
    <xf numFmtId="3" fontId="2" fillId="21" borderId="58" xfId="0" applyNumberFormat="1" applyFont="1" applyFill="1" applyBorder="1" applyAlignment="1" applyProtection="1">
      <alignment horizontal="right"/>
    </xf>
    <xf numFmtId="3" fontId="2" fillId="21" borderId="57" xfId="0" applyNumberFormat="1" applyFont="1" applyFill="1" applyBorder="1" applyAlignment="1" applyProtection="1">
      <alignment horizontal="right"/>
    </xf>
    <xf numFmtId="3" fontId="2" fillId="21" borderId="58" xfId="0" applyNumberFormat="1" applyFont="1" applyFill="1" applyBorder="1" applyProtection="1"/>
    <xf numFmtId="3" fontId="2" fillId="21" borderId="57" xfId="0" applyNumberFormat="1" applyFont="1" applyFill="1" applyBorder="1" applyProtection="1"/>
    <xf numFmtId="3" fontId="2" fillId="20" borderId="58" xfId="0" applyNumberFormat="1" applyFont="1" applyFill="1" applyBorder="1" applyProtection="1"/>
    <xf numFmtId="3" fontId="2" fillId="20" borderId="57" xfId="0" applyNumberFormat="1" applyFont="1" applyFill="1" applyBorder="1" applyProtection="1"/>
    <xf numFmtId="3" fontId="46" fillId="21" borderId="58" xfId="0" applyNumberFormat="1" applyFont="1" applyFill="1" applyBorder="1" applyProtection="1"/>
    <xf numFmtId="3" fontId="46" fillId="21" borderId="57" xfId="0" applyNumberFormat="1" applyFont="1" applyFill="1" applyBorder="1" applyProtection="1"/>
    <xf numFmtId="3" fontId="46" fillId="20" borderId="58" xfId="0" applyNumberFormat="1" applyFont="1" applyFill="1" applyBorder="1" applyProtection="1"/>
    <xf numFmtId="3" fontId="46" fillId="20" borderId="57" xfId="0" applyNumberFormat="1" applyFont="1" applyFill="1" applyBorder="1" applyProtection="1"/>
    <xf numFmtId="0" fontId="103" fillId="19" borderId="58" xfId="0" applyFont="1" applyFill="1" applyBorder="1" applyProtection="1"/>
    <xf numFmtId="0" fontId="103" fillId="19" borderId="57" xfId="0" applyFont="1" applyFill="1" applyBorder="1" applyProtection="1"/>
    <xf numFmtId="49" fontId="8" fillId="19" borderId="132" xfId="0" applyNumberFormat="1" applyFont="1" applyFill="1" applyBorder="1" applyAlignment="1" applyProtection="1">
      <alignment horizontal="center"/>
    </xf>
    <xf numFmtId="49" fontId="8" fillId="19" borderId="133" xfId="0" applyNumberFormat="1" applyFont="1" applyFill="1" applyBorder="1" applyAlignment="1" applyProtection="1">
      <alignment horizontal="center"/>
    </xf>
    <xf numFmtId="49" fontId="8" fillId="19" borderId="133" xfId="0" applyNumberFormat="1" applyFont="1" applyFill="1" applyBorder="1" applyAlignment="1" applyProtection="1">
      <alignment horizontal="left"/>
    </xf>
    <xf numFmtId="49" fontId="8" fillId="19" borderId="34" xfId="0" applyNumberFormat="1" applyFont="1" applyFill="1" applyBorder="1" applyAlignment="1" applyProtection="1">
      <alignment horizontal="center"/>
    </xf>
    <xf numFmtId="49" fontId="8" fillId="19" borderId="35" xfId="0" applyNumberFormat="1" applyFont="1" applyFill="1" applyBorder="1" applyAlignment="1" applyProtection="1">
      <alignment horizontal="center"/>
    </xf>
    <xf numFmtId="49" fontId="8" fillId="19" borderId="35" xfId="0" applyNumberFormat="1" applyFont="1" applyFill="1" applyBorder="1" applyAlignment="1" applyProtection="1">
      <alignment horizontal="left"/>
    </xf>
    <xf numFmtId="49" fontId="8" fillId="19" borderId="7" xfId="0" applyNumberFormat="1" applyFont="1" applyFill="1" applyBorder="1" applyAlignment="1" applyProtection="1">
      <alignment horizontal="center"/>
    </xf>
    <xf numFmtId="49" fontId="8" fillId="19" borderId="5" xfId="0" applyNumberFormat="1" applyFont="1" applyFill="1" applyBorder="1" applyAlignment="1" applyProtection="1">
      <alignment horizontal="center"/>
    </xf>
    <xf numFmtId="49" fontId="8" fillId="19" borderId="150" xfId="0" applyNumberFormat="1" applyFont="1" applyFill="1" applyBorder="1" applyAlignment="1" applyProtection="1">
      <alignment horizontal="center"/>
    </xf>
    <xf numFmtId="49" fontId="8" fillId="19" borderId="42" xfId="0" applyNumberFormat="1" applyFont="1" applyFill="1" applyBorder="1" applyAlignment="1" applyProtection="1">
      <alignment horizontal="left"/>
    </xf>
    <xf numFmtId="166" fontId="6" fillId="19" borderId="9" xfId="0" applyNumberFormat="1" applyFont="1" applyFill="1" applyBorder="1" applyProtection="1"/>
    <xf numFmtId="3" fontId="9" fillId="22" borderId="20" xfId="0" applyNumberFormat="1" applyFont="1" applyFill="1" applyBorder="1" applyProtection="1"/>
    <xf numFmtId="0" fontId="5" fillId="19" borderId="124" xfId="0" applyFont="1" applyFill="1" applyBorder="1" applyAlignment="1" applyProtection="1">
      <alignment horizontal="left"/>
    </xf>
    <xf numFmtId="1" fontId="5" fillId="19" borderId="42" xfId="0" applyNumberFormat="1" applyFont="1" applyFill="1" applyBorder="1" applyAlignment="1" applyProtection="1">
      <alignment horizontal="left"/>
    </xf>
    <xf numFmtId="0" fontId="5" fillId="19" borderId="1" xfId="0" applyFont="1" applyFill="1" applyBorder="1" applyProtection="1"/>
    <xf numFmtId="3" fontId="15" fillId="19" borderId="147" xfId="0" applyNumberFormat="1" applyFont="1" applyFill="1" applyBorder="1" applyProtection="1"/>
    <xf numFmtId="3" fontId="15" fillId="19" borderId="90" xfId="0" applyNumberFormat="1" applyFont="1" applyFill="1" applyBorder="1" applyProtection="1"/>
    <xf numFmtId="3" fontId="2" fillId="19" borderId="18" xfId="0" applyNumberFormat="1" applyFont="1" applyFill="1" applyBorder="1" applyProtection="1"/>
    <xf numFmtId="49" fontId="3" fillId="19" borderId="151" xfId="0" applyNumberFormat="1" applyFont="1" applyFill="1" applyBorder="1" applyAlignment="1" applyProtection="1">
      <alignment horizontal="center"/>
    </xf>
    <xf numFmtId="0" fontId="3" fillId="19" borderId="151" xfId="0" applyFont="1" applyFill="1" applyBorder="1" applyProtection="1"/>
    <xf numFmtId="49" fontId="3" fillId="19" borderId="5" xfId="0" applyNumberFormat="1" applyFont="1" applyFill="1" applyBorder="1" applyAlignment="1" applyProtection="1">
      <alignment horizontal="center"/>
    </xf>
    <xf numFmtId="166" fontId="3" fillId="19" borderId="2" xfId="0" applyNumberFormat="1" applyFont="1" applyFill="1" applyBorder="1" applyAlignment="1" applyProtection="1">
      <alignment horizontal="left"/>
    </xf>
    <xf numFmtId="49" fontId="5" fillId="19" borderId="25" xfId="0" applyNumberFormat="1" applyFont="1" applyFill="1" applyBorder="1" applyAlignment="1" applyProtection="1">
      <alignment horizontal="center"/>
    </xf>
    <xf numFmtId="0" fontId="3" fillId="19" borderId="2" xfId="0" applyFont="1" applyFill="1" applyBorder="1" applyAlignment="1" applyProtection="1">
      <alignment horizontal="center"/>
    </xf>
    <xf numFmtId="49" fontId="5" fillId="19" borderId="5" xfId="0" applyNumberFormat="1" applyFont="1" applyFill="1" applyBorder="1" applyAlignment="1" applyProtection="1">
      <alignment horizontal="center"/>
    </xf>
    <xf numFmtId="0" fontId="5" fillId="19" borderId="5" xfId="0" applyFont="1" applyFill="1" applyBorder="1" applyProtection="1"/>
    <xf numFmtId="3" fontId="8" fillId="19" borderId="146" xfId="0" applyNumberFormat="1" applyFont="1" applyFill="1" applyBorder="1" applyAlignment="1" applyProtection="1">
      <alignment horizontal="center"/>
    </xf>
    <xf numFmtId="3" fontId="5" fillId="19" borderId="152" xfId="0" applyNumberFormat="1" applyFont="1" applyFill="1" applyBorder="1" applyAlignment="1" applyProtection="1">
      <alignment horizontal="center"/>
    </xf>
    <xf numFmtId="3" fontId="5" fillId="19" borderId="152" xfId="0" applyNumberFormat="1" applyFont="1" applyFill="1" applyBorder="1" applyProtection="1"/>
    <xf numFmtId="3" fontId="2" fillId="20" borderId="18" xfId="0" applyNumberFormat="1" applyFont="1" applyFill="1" applyBorder="1" applyProtection="1"/>
    <xf numFmtId="3" fontId="2" fillId="20" borderId="60" xfId="0" applyNumberFormat="1" applyFont="1" applyFill="1" applyBorder="1" applyProtection="1"/>
    <xf numFmtId="3" fontId="2" fillId="20" borderId="19" xfId="0" applyNumberFormat="1" applyFont="1" applyFill="1" applyBorder="1" applyProtection="1"/>
    <xf numFmtId="3" fontId="5" fillId="19" borderId="142" xfId="0" applyNumberFormat="1" applyFont="1" applyFill="1" applyBorder="1" applyProtection="1"/>
    <xf numFmtId="3" fontId="5" fillId="19" borderId="143" xfId="0" applyNumberFormat="1" applyFont="1" applyFill="1" applyBorder="1" applyProtection="1"/>
    <xf numFmtId="3" fontId="2" fillId="19" borderId="58" xfId="0" applyNumberFormat="1" applyFont="1" applyFill="1" applyBorder="1" applyProtection="1"/>
    <xf numFmtId="3" fontId="2" fillId="19" borderId="57" xfId="0" applyNumberFormat="1" applyFont="1" applyFill="1" applyBorder="1" applyProtection="1"/>
    <xf numFmtId="3" fontId="46" fillId="20" borderId="50" xfId="0" applyNumberFormat="1" applyFont="1" applyFill="1" applyBorder="1" applyProtection="1"/>
    <xf numFmtId="3" fontId="46" fillId="19" borderId="58" xfId="0" applyNumberFormat="1" applyFont="1" applyFill="1" applyBorder="1" applyProtection="1"/>
    <xf numFmtId="3" fontId="46" fillId="19" borderId="57" xfId="0" applyNumberFormat="1" applyFont="1" applyFill="1" applyBorder="1" applyProtection="1"/>
    <xf numFmtId="3" fontId="46" fillId="19" borderId="60" xfId="0" applyNumberFormat="1" applyFont="1" applyFill="1" applyBorder="1" applyProtection="1"/>
    <xf numFmtId="3" fontId="46" fillId="19" borderId="131" xfId="0" applyNumberFormat="1" applyFont="1" applyFill="1" applyBorder="1" applyProtection="1"/>
    <xf numFmtId="3" fontId="46" fillId="20" borderId="51" xfId="0" applyNumberFormat="1" applyFont="1" applyFill="1" applyBorder="1" applyProtection="1"/>
    <xf numFmtId="3" fontId="46" fillId="20" borderId="26" xfId="0" applyNumberFormat="1" applyFont="1" applyFill="1" applyBorder="1" applyProtection="1"/>
    <xf numFmtId="3" fontId="2" fillId="20" borderId="88" xfId="0" applyNumberFormat="1" applyFont="1" applyFill="1" applyBorder="1" applyProtection="1"/>
    <xf numFmtId="0" fontId="3" fillId="19" borderId="73" xfId="0" applyFont="1" applyFill="1" applyBorder="1" applyProtection="1"/>
    <xf numFmtId="0" fontId="0" fillId="19" borderId="74" xfId="0" applyFill="1" applyBorder="1" applyProtection="1"/>
    <xf numFmtId="0" fontId="0" fillId="19" borderId="64" xfId="0" applyFill="1" applyBorder="1" applyProtection="1"/>
    <xf numFmtId="0" fontId="3" fillId="19" borderId="75" xfId="0" applyFont="1" applyFill="1" applyBorder="1" applyProtection="1"/>
    <xf numFmtId="0" fontId="0" fillId="19" borderId="76" xfId="0" applyFill="1" applyBorder="1" applyProtection="1"/>
    <xf numFmtId="0" fontId="0" fillId="19" borderId="92" xfId="0" applyFill="1" applyBorder="1" applyProtection="1"/>
    <xf numFmtId="0" fontId="3" fillId="19" borderId="75" xfId="0" applyFont="1" applyFill="1" applyBorder="1" applyAlignment="1" applyProtection="1">
      <alignment horizontal="left"/>
    </xf>
    <xf numFmtId="0" fontId="0" fillId="19" borderId="76" xfId="0" applyFill="1" applyBorder="1" applyAlignment="1" applyProtection="1">
      <alignment horizontal="left"/>
    </xf>
    <xf numFmtId="3" fontId="5" fillId="19" borderId="137" xfId="0" applyNumberFormat="1" applyFont="1" applyFill="1" applyBorder="1" applyAlignment="1" applyProtection="1">
      <alignment horizontal="center" vertical="center" wrapText="1"/>
    </xf>
    <xf numFmtId="3" fontId="15" fillId="19" borderId="153" xfId="0" applyNumberFormat="1" applyFont="1" applyFill="1" applyBorder="1" applyAlignment="1" applyProtection="1">
      <alignment horizontal="center" vertical="center" wrapText="1"/>
    </xf>
    <xf numFmtId="3" fontId="5" fillId="19" borderId="153" xfId="0" applyNumberFormat="1" applyFont="1" applyFill="1" applyBorder="1" applyAlignment="1" applyProtection="1">
      <alignment horizontal="center" vertical="center" wrapText="1"/>
    </xf>
    <xf numFmtId="9" fontId="46" fillId="19" borderId="140" xfId="0" applyNumberFormat="1" applyFont="1" applyFill="1" applyBorder="1" applyProtection="1"/>
    <xf numFmtId="3" fontId="46" fillId="20" borderId="140" xfId="0" applyNumberFormat="1" applyFont="1" applyFill="1" applyBorder="1" applyProtection="1"/>
    <xf numFmtId="9" fontId="46" fillId="19" borderId="138" xfId="0" applyNumberFormat="1" applyFont="1" applyFill="1" applyBorder="1" applyProtection="1"/>
    <xf numFmtId="9" fontId="46" fillId="19" borderId="154" xfId="0" applyNumberFormat="1" applyFont="1" applyFill="1" applyBorder="1" applyProtection="1"/>
    <xf numFmtId="49" fontId="3" fillId="19" borderId="98" xfId="0" applyNumberFormat="1" applyFont="1" applyFill="1" applyBorder="1" applyAlignment="1" applyProtection="1">
      <alignment horizontal="left"/>
    </xf>
    <xf numFmtId="49" fontId="3" fillId="19" borderId="124" xfId="0" applyNumberFormat="1" applyFont="1" applyFill="1" applyBorder="1" applyAlignment="1" applyProtection="1">
      <alignment horizontal="left"/>
    </xf>
    <xf numFmtId="0" fontId="14" fillId="19" borderId="124" xfId="0" applyFont="1" applyFill="1" applyBorder="1" applyProtection="1"/>
    <xf numFmtId="49" fontId="3" fillId="19" borderId="116" xfId="0" applyNumberFormat="1" applyFont="1" applyFill="1" applyBorder="1" applyAlignment="1" applyProtection="1">
      <alignment horizontal="left"/>
    </xf>
    <xf numFmtId="49" fontId="3" fillId="19" borderId="35" xfId="0" applyNumberFormat="1" applyFont="1" applyFill="1" applyBorder="1" applyAlignment="1" applyProtection="1">
      <alignment horizontal="left"/>
    </xf>
    <xf numFmtId="0" fontId="8" fillId="19" borderId="35" xfId="0" applyFont="1" applyFill="1" applyBorder="1" applyProtection="1"/>
    <xf numFmtId="3" fontId="2" fillId="19" borderId="35" xfId="0" applyNumberFormat="1" applyFont="1" applyFill="1" applyBorder="1" applyProtection="1"/>
    <xf numFmtId="49" fontId="3" fillId="19" borderId="2" xfId="0" applyNumberFormat="1" applyFont="1" applyFill="1" applyBorder="1" applyAlignment="1" applyProtection="1">
      <alignment horizontal="left"/>
    </xf>
    <xf numFmtId="3" fontId="2" fillId="19" borderId="5" xfId="0" applyNumberFormat="1" applyFont="1" applyFill="1" applyBorder="1" applyProtection="1"/>
    <xf numFmtId="49" fontId="5" fillId="19" borderId="25" xfId="0" applyNumberFormat="1" applyFont="1" applyFill="1" applyBorder="1" applyAlignment="1" applyProtection="1">
      <alignment horizontal="left"/>
    </xf>
    <xf numFmtId="0" fontId="8" fillId="19" borderId="25" xfId="0" applyFont="1" applyFill="1" applyBorder="1" applyProtection="1"/>
    <xf numFmtId="3" fontId="2" fillId="19" borderId="25" xfId="0" applyNumberFormat="1" applyFont="1" applyFill="1" applyBorder="1" applyProtection="1"/>
    <xf numFmtId="49" fontId="3" fillId="19" borderId="95" xfId="0" applyNumberFormat="1" applyFont="1" applyFill="1" applyBorder="1" applyAlignment="1" applyProtection="1">
      <alignment horizontal="left"/>
    </xf>
    <xf numFmtId="49" fontId="3" fillId="19" borderId="120" xfId="0" applyNumberFormat="1" applyFont="1" applyFill="1" applyBorder="1" applyAlignment="1" applyProtection="1">
      <alignment horizontal="left"/>
    </xf>
    <xf numFmtId="0" fontId="3" fillId="19" borderId="15" xfId="0" applyFont="1" applyFill="1" applyBorder="1" applyAlignment="1" applyProtection="1">
      <alignment horizontal="right"/>
    </xf>
    <xf numFmtId="0" fontId="5" fillId="19" borderId="155" xfId="0" applyFont="1" applyFill="1" applyBorder="1" applyAlignment="1" applyProtection="1">
      <alignment horizontal="right"/>
    </xf>
    <xf numFmtId="0" fontId="5" fillId="19" borderId="116" xfId="0" applyFont="1" applyFill="1" applyBorder="1" applyAlignment="1" applyProtection="1">
      <alignment horizontal="left"/>
    </xf>
    <xf numFmtId="0" fontId="5" fillId="19" borderId="89" xfId="0" applyFont="1" applyFill="1" applyBorder="1" applyAlignment="1" applyProtection="1">
      <alignment horizontal="right"/>
    </xf>
    <xf numFmtId="0" fontId="3" fillId="19" borderId="13" xfId="0" applyFont="1" applyFill="1" applyBorder="1" applyAlignment="1" applyProtection="1">
      <alignment horizontal="center"/>
    </xf>
    <xf numFmtId="0" fontId="8" fillId="19" borderId="21" xfId="0" applyFont="1" applyFill="1" applyBorder="1" applyAlignment="1" applyProtection="1">
      <alignment horizontal="center"/>
    </xf>
    <xf numFmtId="0" fontId="8" fillId="19" borderId="9" xfId="0" applyFont="1" applyFill="1" applyBorder="1" applyAlignment="1" applyProtection="1">
      <alignment horizontal="center"/>
    </xf>
    <xf numFmtId="0" fontId="8" fillId="19" borderId="82" xfId="0" applyFont="1" applyFill="1" applyBorder="1" applyAlignment="1" applyProtection="1">
      <alignment horizontal="left"/>
    </xf>
    <xf numFmtId="0" fontId="8" fillId="19" borderId="22" xfId="0" applyFont="1" applyFill="1" applyBorder="1" applyAlignment="1" applyProtection="1">
      <alignment horizontal="center"/>
    </xf>
    <xf numFmtId="0" fontId="8" fillId="19" borderId="24" xfId="0" applyFont="1" applyFill="1" applyBorder="1" applyAlignment="1" applyProtection="1">
      <alignment horizontal="center"/>
    </xf>
    <xf numFmtId="0" fontId="14" fillId="19" borderId="66" xfId="0" applyFont="1" applyFill="1" applyBorder="1" applyAlignment="1" applyProtection="1">
      <alignment horizontal="left"/>
    </xf>
    <xf numFmtId="0" fontId="3" fillId="19" borderId="82" xfId="0" applyFont="1" applyFill="1" applyBorder="1" applyAlignment="1" applyProtection="1">
      <alignment horizontal="left"/>
    </xf>
    <xf numFmtId="0" fontId="5" fillId="19" borderId="156" xfId="0" applyFont="1" applyFill="1" applyBorder="1" applyAlignment="1" applyProtection="1">
      <alignment horizontal="left"/>
    </xf>
    <xf numFmtId="0" fontId="5" fillId="19" borderId="121" xfId="0" applyFont="1" applyFill="1" applyBorder="1" applyAlignment="1" applyProtection="1">
      <alignment horizontal="center"/>
    </xf>
    <xf numFmtId="0" fontId="5" fillId="19" borderId="57" xfId="0" applyFont="1" applyFill="1" applyBorder="1" applyAlignment="1" applyProtection="1">
      <alignment horizontal="center"/>
    </xf>
    <xf numFmtId="0" fontId="5" fillId="19" borderId="118" xfId="0" applyFont="1" applyFill="1" applyBorder="1" applyAlignment="1" applyProtection="1">
      <alignment horizontal="center"/>
    </xf>
    <xf numFmtId="0" fontId="5" fillId="19" borderId="88" xfId="0" applyFont="1" applyFill="1" applyBorder="1" applyAlignment="1" applyProtection="1">
      <alignment horizontal="center"/>
    </xf>
    <xf numFmtId="0" fontId="5" fillId="19" borderId="15" xfId="0" applyFont="1" applyFill="1" applyBorder="1" applyAlignment="1" applyProtection="1">
      <alignment horizontal="center"/>
    </xf>
    <xf numFmtId="0" fontId="5" fillId="19" borderId="60" xfId="0" applyFont="1" applyFill="1" applyBorder="1" applyAlignment="1" applyProtection="1">
      <alignment horizontal="center"/>
    </xf>
    <xf numFmtId="0" fontId="5" fillId="19" borderId="42" xfId="0" applyFont="1" applyFill="1" applyBorder="1" applyAlignment="1" applyProtection="1">
      <alignment horizontal="right"/>
    </xf>
    <xf numFmtId="0" fontId="5" fillId="19" borderId="90" xfId="0" applyFont="1" applyFill="1" applyBorder="1" applyAlignment="1" applyProtection="1">
      <alignment horizontal="center"/>
    </xf>
    <xf numFmtId="0" fontId="3" fillId="19" borderId="2" xfId="0" applyFont="1" applyFill="1" applyBorder="1" applyAlignment="1" applyProtection="1">
      <alignment horizontal="right"/>
    </xf>
    <xf numFmtId="0" fontId="3" fillId="19" borderId="146" xfId="0" applyFont="1" applyFill="1" applyBorder="1" applyAlignment="1" applyProtection="1">
      <alignment horizontal="center"/>
    </xf>
    <xf numFmtId="0" fontId="5" fillId="19" borderId="118" xfId="0" applyFont="1" applyFill="1" applyBorder="1" applyProtection="1"/>
    <xf numFmtId="0" fontId="3" fillId="19" borderId="127" xfId="0" applyFont="1" applyFill="1" applyBorder="1" applyAlignment="1" applyProtection="1">
      <alignment vertical="top"/>
    </xf>
    <xf numFmtId="1" fontId="3" fillId="19" borderId="15" xfId="0" applyNumberFormat="1" applyFont="1" applyFill="1" applyBorder="1" applyAlignment="1" applyProtection="1">
      <alignment horizontal="left"/>
    </xf>
    <xf numFmtId="0" fontId="5" fillId="19" borderId="15" xfId="0" applyFont="1" applyFill="1" applyBorder="1" applyProtection="1"/>
    <xf numFmtId="0" fontId="7" fillId="19" borderId="129" xfId="0" applyFont="1" applyFill="1" applyBorder="1" applyProtection="1"/>
    <xf numFmtId="3" fontId="2" fillId="19" borderId="90" xfId="0" applyNumberFormat="1" applyFont="1" applyFill="1" applyBorder="1" applyProtection="1"/>
    <xf numFmtId="0" fontId="3" fillId="19" borderId="127" xfId="0" applyFont="1" applyFill="1" applyBorder="1" applyAlignment="1" applyProtection="1">
      <alignment horizontal="center"/>
    </xf>
    <xf numFmtId="1" fontId="3" fillId="19" borderId="9" xfId="0" applyNumberFormat="1" applyFont="1" applyFill="1" applyBorder="1" applyAlignment="1" applyProtection="1">
      <alignment horizontal="center"/>
    </xf>
    <xf numFmtId="0" fontId="3" fillId="19" borderId="9" xfId="0" applyFont="1" applyFill="1" applyBorder="1" applyProtection="1"/>
    <xf numFmtId="0" fontId="5" fillId="19" borderId="158" xfId="0" applyFont="1" applyFill="1" applyBorder="1" applyAlignment="1" applyProtection="1">
      <alignment horizontal="center"/>
    </xf>
    <xf numFmtId="0" fontId="5" fillId="19" borderId="119" xfId="0" applyFont="1" applyFill="1" applyBorder="1" applyAlignment="1" applyProtection="1">
      <alignment horizontal="center"/>
    </xf>
    <xf numFmtId="0" fontId="5" fillId="19" borderId="160" xfId="0" applyFont="1" applyFill="1" applyBorder="1" applyAlignment="1" applyProtection="1">
      <alignment horizontal="center"/>
    </xf>
    <xf numFmtId="0" fontId="5" fillId="19" borderId="161" xfId="0" applyFont="1" applyFill="1" applyBorder="1" applyAlignment="1" applyProtection="1">
      <alignment horizontal="center"/>
    </xf>
    <xf numFmtId="0" fontId="5" fillId="19" borderId="159" xfId="0" applyFont="1" applyFill="1" applyBorder="1" applyAlignment="1" applyProtection="1">
      <alignment horizontal="left"/>
    </xf>
    <xf numFmtId="0" fontId="5" fillId="19" borderId="160" xfId="0" applyFont="1" applyFill="1" applyBorder="1" applyAlignment="1" applyProtection="1">
      <alignment horizontal="right"/>
    </xf>
    <xf numFmtId="49" fontId="8" fillId="19" borderId="14" xfId="0" applyNumberFormat="1" applyFont="1" applyFill="1" applyBorder="1" applyAlignment="1" applyProtection="1">
      <alignment horizontal="center"/>
    </xf>
    <xf numFmtId="49" fontId="8" fillId="19" borderId="9" xfId="0" applyNumberFormat="1" applyFont="1" applyFill="1" applyBorder="1" applyAlignment="1" applyProtection="1">
      <alignment horizontal="center"/>
    </xf>
    <xf numFmtId="1" fontId="8" fillId="19" borderId="133" xfId="0" applyNumberFormat="1" applyFont="1" applyFill="1" applyBorder="1" applyAlignment="1" applyProtection="1">
      <alignment horizontal="center"/>
    </xf>
    <xf numFmtId="1" fontId="8" fillId="19" borderId="133" xfId="0" applyNumberFormat="1" applyFont="1" applyFill="1" applyBorder="1" applyAlignment="1" applyProtection="1">
      <alignment horizontal="left"/>
    </xf>
    <xf numFmtId="1" fontId="8" fillId="19" borderId="42" xfId="0" applyNumberFormat="1" applyFont="1" applyFill="1" applyBorder="1" applyAlignment="1" applyProtection="1">
      <alignment horizontal="center"/>
    </xf>
    <xf numFmtId="49" fontId="8" fillId="19" borderId="162" xfId="0" applyNumberFormat="1" applyFont="1" applyFill="1" applyBorder="1" applyAlignment="1" applyProtection="1">
      <alignment horizontal="center"/>
    </xf>
    <xf numFmtId="0" fontId="14" fillId="19" borderId="118" xfId="0" applyFont="1" applyFill="1" applyBorder="1" applyAlignment="1" applyProtection="1">
      <alignment horizontal="left"/>
    </xf>
    <xf numFmtId="0" fontId="14" fillId="19" borderId="15" xfId="0" applyFont="1" applyFill="1" applyBorder="1" applyAlignment="1" applyProtection="1">
      <alignment horizontal="left"/>
    </xf>
    <xf numFmtId="0" fontId="3" fillId="19" borderId="89" xfId="0" applyFont="1" applyFill="1" applyBorder="1" applyAlignment="1" applyProtection="1">
      <alignment horizontal="left"/>
    </xf>
    <xf numFmtId="0" fontId="5" fillId="19" borderId="42" xfId="0" applyFont="1" applyFill="1" applyBorder="1" applyAlignment="1" applyProtection="1">
      <alignment horizontal="left"/>
    </xf>
    <xf numFmtId="1" fontId="8" fillId="19" borderId="5" xfId="0" applyNumberFormat="1" applyFont="1" applyFill="1" applyBorder="1" applyAlignment="1" applyProtection="1">
      <alignment horizontal="center"/>
    </xf>
    <xf numFmtId="0" fontId="8" fillId="19" borderId="5" xfId="0" applyFont="1" applyFill="1" applyBorder="1" applyProtection="1"/>
    <xf numFmtId="166" fontId="14" fillId="19" borderId="60" xfId="0" applyNumberFormat="1" applyFont="1" applyFill="1" applyBorder="1" applyAlignment="1" applyProtection="1">
      <alignment horizontal="left"/>
    </xf>
    <xf numFmtId="166" fontId="20" fillId="19" borderId="90" xfId="0" applyNumberFormat="1" applyFont="1" applyFill="1" applyBorder="1" applyAlignment="1" applyProtection="1">
      <alignment horizontal="left"/>
    </xf>
    <xf numFmtId="0" fontId="14" fillId="19" borderId="116" xfId="0" applyFont="1" applyFill="1" applyBorder="1" applyProtection="1"/>
    <xf numFmtId="0" fontId="14" fillId="19" borderId="90" xfId="0" applyFont="1" applyFill="1" applyBorder="1" applyProtection="1"/>
    <xf numFmtId="166" fontId="4" fillId="19" borderId="60" xfId="0" applyNumberFormat="1" applyFont="1" applyFill="1" applyBorder="1" applyAlignment="1" applyProtection="1">
      <alignment horizontal="left"/>
    </xf>
    <xf numFmtId="166" fontId="20" fillId="19" borderId="90" xfId="0" applyNumberFormat="1" applyFont="1" applyFill="1" applyBorder="1" applyProtection="1"/>
    <xf numFmtId="1" fontId="3" fillId="19" borderId="155" xfId="0" applyNumberFormat="1" applyFont="1" applyFill="1" applyBorder="1" applyAlignment="1" applyProtection="1">
      <alignment horizontal="left"/>
    </xf>
    <xf numFmtId="0" fontId="12" fillId="19" borderId="116" xfId="0" applyFont="1" applyFill="1" applyBorder="1" applyAlignment="1" applyProtection="1">
      <alignment horizontal="left"/>
    </xf>
    <xf numFmtId="0" fontId="5" fillId="19" borderId="1" xfId="0" applyFont="1" applyFill="1" applyBorder="1" applyAlignment="1" applyProtection="1">
      <alignment horizontal="left"/>
    </xf>
    <xf numFmtId="166" fontId="5" fillId="19" borderId="90" xfId="0" applyNumberFormat="1" applyFont="1" applyFill="1" applyBorder="1" applyAlignment="1" applyProtection="1">
      <alignment horizontal="left"/>
    </xf>
    <xf numFmtId="1" fontId="14" fillId="19" borderId="25" xfId="0" applyNumberFormat="1" applyFont="1" applyFill="1" applyBorder="1" applyAlignment="1" applyProtection="1">
      <alignment horizontal="center"/>
    </xf>
    <xf numFmtId="1" fontId="3" fillId="19" borderId="84" xfId="0" applyNumberFormat="1" applyFont="1" applyFill="1" applyBorder="1" applyAlignment="1" applyProtection="1">
      <alignment horizontal="center"/>
    </xf>
    <xf numFmtId="0" fontId="3" fillId="19" borderId="98" xfId="0" applyFont="1" applyFill="1" applyBorder="1" applyAlignment="1" applyProtection="1">
      <alignment horizontal="left" vertical="top" wrapText="1"/>
    </xf>
    <xf numFmtId="0" fontId="63" fillId="19" borderId="120" xfId="0" applyFont="1" applyFill="1" applyBorder="1" applyProtection="1"/>
    <xf numFmtId="0" fontId="4" fillId="19" borderId="89" xfId="0" applyFont="1" applyFill="1" applyBorder="1" applyAlignment="1" applyProtection="1"/>
    <xf numFmtId="0" fontId="93" fillId="19" borderId="89" xfId="0" applyFont="1" applyFill="1" applyBorder="1" applyAlignment="1"/>
    <xf numFmtId="1" fontId="3" fillId="19" borderId="98" xfId="0" applyNumberFormat="1" applyFont="1" applyFill="1" applyBorder="1" applyAlignment="1" applyProtection="1">
      <alignment horizontal="left"/>
    </xf>
    <xf numFmtId="0" fontId="3" fillId="19" borderId="118" xfId="0" applyFont="1" applyFill="1" applyBorder="1" applyAlignment="1" applyProtection="1">
      <alignment horizontal="left"/>
    </xf>
    <xf numFmtId="3" fontId="3" fillId="19" borderId="164" xfId="0" applyNumberFormat="1" applyFont="1" applyFill="1" applyBorder="1" applyAlignment="1" applyProtection="1">
      <alignment horizontal="left"/>
    </xf>
    <xf numFmtId="3" fontId="3" fillId="19" borderId="165" xfId="0" applyNumberFormat="1" applyFont="1" applyFill="1" applyBorder="1" applyProtection="1"/>
    <xf numFmtId="1" fontId="3" fillId="19" borderId="127" xfId="0" applyNumberFormat="1" applyFont="1" applyFill="1" applyBorder="1" applyAlignment="1" applyProtection="1">
      <alignment horizontal="left"/>
    </xf>
    <xf numFmtId="3" fontId="3" fillId="19" borderId="15" xfId="0" applyNumberFormat="1" applyFont="1" applyFill="1" applyBorder="1" applyAlignment="1" applyProtection="1">
      <alignment horizontal="left"/>
    </xf>
    <xf numFmtId="0" fontId="3" fillId="19" borderId="0" xfId="0" applyFont="1" applyFill="1" applyBorder="1" applyProtection="1"/>
    <xf numFmtId="3" fontId="3" fillId="19" borderId="15" xfId="0" applyNumberFormat="1" applyFont="1" applyFill="1" applyBorder="1" applyProtection="1"/>
    <xf numFmtId="0" fontId="7" fillId="19" borderId="116" xfId="0" applyFont="1" applyFill="1" applyBorder="1" applyProtection="1"/>
    <xf numFmtId="0" fontId="3" fillId="19" borderId="1" xfId="0" applyFont="1" applyFill="1" applyBorder="1" applyProtection="1"/>
    <xf numFmtId="0" fontId="3" fillId="19" borderId="42" xfId="0" applyFont="1" applyFill="1" applyBorder="1" applyProtection="1"/>
    <xf numFmtId="49" fontId="3" fillId="19" borderId="135" xfId="0" applyNumberFormat="1" applyFont="1" applyFill="1" applyBorder="1" applyAlignment="1" applyProtection="1">
      <alignment horizontal="left"/>
    </xf>
    <xf numFmtId="0" fontId="3" fillId="19" borderId="136" xfId="0" applyFont="1" applyFill="1" applyBorder="1" applyProtection="1"/>
    <xf numFmtId="170" fontId="3" fillId="19" borderId="35" xfId="0" applyNumberFormat="1" applyFont="1" applyFill="1" applyBorder="1" applyAlignment="1" applyProtection="1">
      <alignment horizontal="left"/>
    </xf>
    <xf numFmtId="49" fontId="8" fillId="19" borderId="134" xfId="0" applyNumberFormat="1" applyFont="1" applyFill="1" applyBorder="1" applyAlignment="1" applyProtection="1">
      <alignment horizontal="center"/>
    </xf>
    <xf numFmtId="49" fontId="3" fillId="19" borderId="125" xfId="0" applyNumberFormat="1" applyFont="1" applyFill="1" applyBorder="1" applyAlignment="1" applyProtection="1">
      <alignment horizontal="center"/>
    </xf>
    <xf numFmtId="3" fontId="2" fillId="19" borderId="35" xfId="0" applyNumberFormat="1" applyFont="1" applyFill="1" applyBorder="1" applyAlignment="1" applyProtection="1">
      <alignment horizontal="right"/>
    </xf>
    <xf numFmtId="0" fontId="5" fillId="19" borderId="70" xfId="0" applyFont="1" applyFill="1" applyBorder="1" applyProtection="1"/>
    <xf numFmtId="0" fontId="8" fillId="19" borderId="2" xfId="0" applyFont="1" applyFill="1" applyBorder="1" applyAlignment="1" applyProtection="1">
      <alignment wrapText="1"/>
    </xf>
    <xf numFmtId="49" fontId="8" fillId="19" borderId="131" xfId="0" applyNumberFormat="1" applyFont="1" applyFill="1" applyBorder="1" applyAlignment="1" applyProtection="1">
      <alignment horizontal="center"/>
    </xf>
    <xf numFmtId="0" fontId="14" fillId="19" borderId="42" xfId="0" applyFont="1" applyFill="1" applyBorder="1" applyAlignment="1" applyProtection="1">
      <alignment horizontal="left"/>
    </xf>
    <xf numFmtId="0" fontId="5" fillId="19" borderId="2" xfId="0" applyFont="1" applyFill="1" applyBorder="1" applyAlignment="1" applyProtection="1">
      <alignment horizontal="left" wrapText="1"/>
    </xf>
    <xf numFmtId="0" fontId="8" fillId="19" borderId="2" xfId="0" applyFont="1" applyFill="1" applyBorder="1" applyAlignment="1" applyProtection="1">
      <alignment horizontal="left"/>
    </xf>
    <xf numFmtId="49" fontId="8" fillId="19" borderId="144" xfId="0" applyNumberFormat="1" applyFont="1" applyFill="1" applyBorder="1" applyAlignment="1" applyProtection="1">
      <alignment horizontal="center"/>
    </xf>
    <xf numFmtId="0" fontId="8" fillId="19" borderId="13" xfId="0" applyFont="1" applyFill="1" applyBorder="1" applyProtection="1"/>
    <xf numFmtId="49" fontId="8" fillId="19" borderId="100" xfId="0" applyNumberFormat="1" applyFont="1" applyFill="1" applyBorder="1" applyAlignment="1" applyProtection="1">
      <alignment horizontal="center"/>
    </xf>
    <xf numFmtId="1" fontId="3" fillId="19" borderId="23" xfId="0" applyNumberFormat="1" applyFont="1" applyFill="1" applyBorder="1" applyAlignment="1" applyProtection="1">
      <alignment horizontal="left" vertical="top" wrapText="1"/>
    </xf>
    <xf numFmtId="0" fontId="3" fillId="19" borderId="166" xfId="0" applyFont="1" applyFill="1" applyBorder="1" applyAlignment="1" applyProtection="1">
      <alignment vertical="top"/>
    </xf>
    <xf numFmtId="0" fontId="8" fillId="19" borderId="167" xfId="0" applyFont="1" applyFill="1" applyBorder="1" applyProtection="1"/>
    <xf numFmtId="0" fontId="11" fillId="19" borderId="127" xfId="0" applyFont="1" applyFill="1" applyBorder="1" applyProtection="1"/>
    <xf numFmtId="0" fontId="8" fillId="19" borderId="44" xfId="0" applyFont="1" applyFill="1" applyBorder="1" applyProtection="1"/>
    <xf numFmtId="0" fontId="0" fillId="19" borderId="127" xfId="0" applyFill="1" applyBorder="1" applyProtection="1"/>
    <xf numFmtId="0" fontId="12" fillId="23" borderId="116" xfId="0" applyFont="1" applyFill="1" applyBorder="1" applyProtection="1"/>
    <xf numFmtId="49" fontId="11" fillId="23" borderId="58" xfId="0" applyNumberFormat="1" applyFont="1" applyFill="1" applyBorder="1" applyProtection="1"/>
    <xf numFmtId="0" fontId="19" fillId="19" borderId="168" xfId="0" applyFont="1" applyFill="1" applyBorder="1" applyProtection="1"/>
    <xf numFmtId="49" fontId="13" fillId="19" borderId="127" xfId="0" applyNumberFormat="1" applyFont="1" applyFill="1" applyBorder="1" applyAlignment="1" applyProtection="1">
      <alignment horizontal="left"/>
    </xf>
    <xf numFmtId="0" fontId="14" fillId="19" borderId="169" xfId="0" applyFont="1" applyFill="1" applyBorder="1" applyAlignment="1" applyProtection="1">
      <alignment wrapText="1"/>
    </xf>
    <xf numFmtId="0" fontId="8" fillId="19" borderId="3" xfId="0" applyFont="1" applyFill="1" applyBorder="1" applyAlignment="1" applyProtection="1"/>
    <xf numFmtId="0" fontId="8" fillId="19" borderId="6" xfId="0" applyFont="1" applyFill="1" applyBorder="1" applyProtection="1"/>
    <xf numFmtId="49" fontId="8" fillId="19" borderId="36" xfId="0" applyNumberFormat="1" applyFont="1" applyFill="1" applyBorder="1" applyAlignment="1" applyProtection="1">
      <alignment horizontal="center"/>
    </xf>
    <xf numFmtId="0" fontId="14" fillId="19" borderId="117" xfId="0" applyFont="1" applyFill="1" applyBorder="1" applyProtection="1"/>
    <xf numFmtId="0" fontId="8" fillId="19" borderId="3" xfId="0" applyFont="1" applyFill="1" applyBorder="1" applyProtection="1"/>
    <xf numFmtId="0" fontId="14" fillId="19" borderId="96" xfId="0" applyFont="1" applyFill="1" applyBorder="1" applyProtection="1"/>
    <xf numFmtId="49" fontId="8" fillId="19" borderId="127" xfId="0" applyNumberFormat="1" applyFont="1" applyFill="1" applyBorder="1" applyAlignment="1" applyProtection="1">
      <alignment horizontal="center"/>
    </xf>
    <xf numFmtId="0" fontId="14" fillId="19" borderId="44" xfId="0" applyFont="1" applyFill="1" applyBorder="1" applyProtection="1"/>
    <xf numFmtId="0" fontId="8" fillId="19" borderId="72" xfId="0" applyFont="1" applyFill="1" applyBorder="1" applyProtection="1"/>
    <xf numFmtId="0" fontId="14" fillId="19" borderId="169" xfId="0" applyFont="1" applyFill="1" applyBorder="1" applyProtection="1"/>
    <xf numFmtId="0" fontId="5" fillId="19" borderId="169" xfId="0" applyFont="1" applyFill="1" applyBorder="1" applyAlignment="1" applyProtection="1">
      <alignment wrapText="1"/>
    </xf>
    <xf numFmtId="49" fontId="8" fillId="19" borderId="37" xfId="0" applyNumberFormat="1" applyFont="1" applyFill="1" applyBorder="1" applyAlignment="1" applyProtection="1">
      <alignment horizontal="center"/>
    </xf>
    <xf numFmtId="0" fontId="3" fillId="19" borderId="6" xfId="0" applyFont="1" applyFill="1" applyBorder="1" applyProtection="1"/>
    <xf numFmtId="49" fontId="11" fillId="19" borderId="58" xfId="0" applyNumberFormat="1" applyFont="1" applyFill="1" applyBorder="1" applyProtection="1"/>
    <xf numFmtId="0" fontId="14" fillId="19" borderId="94" xfId="0" applyFont="1" applyFill="1" applyBorder="1" applyProtection="1"/>
    <xf numFmtId="49" fontId="3" fillId="19" borderId="3" xfId="0" applyNumberFormat="1" applyFont="1" applyFill="1" applyBorder="1" applyAlignment="1" applyProtection="1">
      <alignment horizontal="left"/>
    </xf>
    <xf numFmtId="49" fontId="3" fillId="19" borderId="92" xfId="0" applyNumberFormat="1" applyFont="1" applyFill="1" applyBorder="1" applyAlignment="1" applyProtection="1">
      <alignment horizontal="left"/>
    </xf>
    <xf numFmtId="49" fontId="8" fillId="19" borderId="130" xfId="0" applyNumberFormat="1" applyFont="1" applyFill="1" applyBorder="1" applyAlignment="1" applyProtection="1">
      <alignment horizontal="center"/>
    </xf>
    <xf numFmtId="0" fontId="3" fillId="19" borderId="3" xfId="0" applyFont="1" applyFill="1" applyBorder="1" applyAlignment="1" applyProtection="1">
      <alignment wrapText="1"/>
    </xf>
    <xf numFmtId="0" fontId="14" fillId="19" borderId="94" xfId="0" applyFont="1" applyFill="1" applyBorder="1" applyAlignment="1" applyProtection="1"/>
    <xf numFmtId="0" fontId="3" fillId="19" borderId="3" xfId="0" applyFont="1" applyFill="1" applyBorder="1" applyProtection="1"/>
    <xf numFmtId="49" fontId="112" fillId="19" borderId="21" xfId="0" applyNumberFormat="1" applyFont="1" applyFill="1" applyBorder="1" applyAlignment="1" applyProtection="1">
      <alignment horizontal="center"/>
    </xf>
    <xf numFmtId="0" fontId="112" fillId="19" borderId="3" xfId="0" applyFont="1" applyFill="1" applyBorder="1" applyProtection="1"/>
    <xf numFmtId="0" fontId="8" fillId="19" borderId="10" xfId="0" applyFont="1" applyFill="1" applyBorder="1" applyProtection="1"/>
    <xf numFmtId="0" fontId="8" fillId="19" borderId="99" xfId="0" applyFont="1" applyFill="1" applyBorder="1" applyProtection="1"/>
    <xf numFmtId="3" fontId="3" fillId="19" borderId="128" xfId="0" applyNumberFormat="1" applyFont="1" applyFill="1" applyBorder="1" applyAlignment="1" applyProtection="1">
      <alignment horizontal="left" vertical="top" wrapText="1"/>
    </xf>
    <xf numFmtId="3" fontId="3" fillId="19" borderId="15" xfId="0" applyNumberFormat="1" applyFont="1" applyFill="1" applyBorder="1" applyAlignment="1" applyProtection="1">
      <alignment horizontal="left" vertical="top"/>
    </xf>
    <xf numFmtId="3" fontId="3" fillId="19" borderId="68" xfId="0" applyNumberFormat="1" applyFont="1" applyFill="1" applyBorder="1" applyAlignment="1" applyProtection="1">
      <alignment horizontal="left" vertical="top" wrapText="1"/>
    </xf>
    <xf numFmtId="3" fontId="3" fillId="19" borderId="16" xfId="0" applyNumberFormat="1" applyFont="1" applyFill="1" applyBorder="1" applyAlignment="1" applyProtection="1">
      <alignment horizontal="left" vertical="top" wrapText="1"/>
    </xf>
    <xf numFmtId="3" fontId="3" fillId="19" borderId="60" xfId="0" applyNumberFormat="1" applyFont="1" applyFill="1" applyBorder="1" applyAlignment="1" applyProtection="1">
      <alignment horizontal="left" vertical="top" wrapText="1"/>
    </xf>
    <xf numFmtId="3" fontId="3" fillId="19" borderId="155" xfId="0" applyNumberFormat="1" applyFont="1" applyFill="1" applyBorder="1" applyProtection="1"/>
    <xf numFmtId="0" fontId="3" fillId="19" borderId="155" xfId="0" applyFont="1" applyFill="1" applyBorder="1" applyAlignment="1" applyProtection="1">
      <alignment horizontal="left" vertical="top" wrapText="1"/>
    </xf>
    <xf numFmtId="0" fontId="3" fillId="19" borderId="155" xfId="0" applyFont="1" applyFill="1" applyBorder="1" applyProtection="1"/>
    <xf numFmtId="3" fontId="8" fillId="19" borderId="16" xfId="0" applyNumberFormat="1" applyFont="1" applyFill="1" applyBorder="1" applyProtection="1"/>
    <xf numFmtId="49" fontId="11" fillId="19" borderId="170" xfId="0" applyNumberFormat="1" applyFont="1" applyFill="1" applyBorder="1" applyProtection="1"/>
    <xf numFmtId="49" fontId="11" fillId="19" borderId="168" xfId="0" applyNumberFormat="1" applyFont="1" applyFill="1" applyBorder="1" applyProtection="1"/>
    <xf numFmtId="49" fontId="11" fillId="19" borderId="136" xfId="0" applyNumberFormat="1" applyFont="1" applyFill="1" applyBorder="1" applyProtection="1"/>
    <xf numFmtId="49" fontId="11" fillId="19" borderId="113" xfId="0" applyNumberFormat="1" applyFont="1" applyFill="1" applyBorder="1" applyProtection="1"/>
    <xf numFmtId="49" fontId="11" fillId="19" borderId="126" xfId="0" applyNumberFormat="1" applyFont="1" applyFill="1" applyBorder="1" applyProtection="1"/>
    <xf numFmtId="49" fontId="11" fillId="19" borderId="171" xfId="0" applyNumberFormat="1" applyFont="1" applyFill="1" applyBorder="1" applyProtection="1"/>
    <xf numFmtId="49" fontId="11" fillId="19" borderId="4" xfId="0" applyNumberFormat="1" applyFont="1" applyFill="1" applyBorder="1" applyProtection="1"/>
    <xf numFmtId="49" fontId="11" fillId="19" borderId="3" xfId="0" applyNumberFormat="1" applyFont="1" applyFill="1" applyBorder="1" applyProtection="1"/>
    <xf numFmtId="49" fontId="11" fillId="19" borderId="2" xfId="0" applyNumberFormat="1" applyFont="1" applyFill="1" applyBorder="1" applyProtection="1"/>
    <xf numFmtId="49" fontId="11" fillId="19" borderId="82" xfId="0" applyNumberFormat="1" applyFont="1" applyFill="1" applyBorder="1" applyProtection="1"/>
    <xf numFmtId="49" fontId="11" fillId="19" borderId="65" xfId="0" applyNumberFormat="1" applyFont="1" applyFill="1" applyBorder="1" applyProtection="1"/>
    <xf numFmtId="49" fontId="11" fillId="19" borderId="53" xfId="0" applyNumberFormat="1" applyFont="1" applyFill="1" applyBorder="1" applyProtection="1"/>
    <xf numFmtId="3" fontId="13" fillId="19" borderId="14" xfId="0" applyNumberFormat="1" applyFont="1" applyFill="1" applyBorder="1" applyAlignment="1" applyProtection="1">
      <alignment horizontal="right"/>
    </xf>
    <xf numFmtId="3" fontId="13" fillId="19" borderId="10" xfId="0" applyNumberFormat="1" applyFont="1" applyFill="1" applyBorder="1" applyAlignment="1" applyProtection="1">
      <alignment horizontal="right"/>
    </xf>
    <xf numFmtId="3" fontId="13" fillId="19" borderId="9" xfId="0" applyNumberFormat="1" applyFont="1" applyFill="1" applyBorder="1" applyAlignment="1" applyProtection="1">
      <alignment horizontal="right"/>
    </xf>
    <xf numFmtId="3" fontId="13" fillId="19" borderId="20" xfId="0" applyNumberFormat="1" applyFont="1" applyFill="1" applyBorder="1" applyAlignment="1" applyProtection="1">
      <alignment horizontal="right"/>
    </xf>
    <xf numFmtId="3" fontId="13" fillId="19" borderId="101" xfId="0" applyNumberFormat="1" applyFont="1" applyFill="1" applyBorder="1" applyAlignment="1" applyProtection="1">
      <alignment horizontal="right"/>
    </xf>
    <xf numFmtId="3" fontId="13" fillId="19" borderId="117" xfId="0" applyNumberFormat="1" applyFont="1" applyFill="1" applyBorder="1" applyAlignment="1" applyProtection="1">
      <alignment horizontal="right"/>
    </xf>
    <xf numFmtId="3" fontId="13" fillId="19" borderId="124" xfId="0" applyNumberFormat="1" applyFont="1" applyFill="1" applyBorder="1" applyAlignment="1" applyProtection="1">
      <alignment horizontal="right"/>
    </xf>
    <xf numFmtId="3" fontId="13" fillId="19" borderId="95" xfId="0" applyNumberFormat="1" applyFont="1" applyFill="1" applyBorder="1" applyAlignment="1" applyProtection="1">
      <alignment horizontal="right"/>
    </xf>
    <xf numFmtId="3" fontId="13" fillId="19" borderId="118" xfId="0" applyNumberFormat="1" applyFont="1" applyFill="1" applyBorder="1" applyAlignment="1" applyProtection="1">
      <alignment horizontal="right"/>
    </xf>
    <xf numFmtId="3" fontId="13" fillId="19" borderId="96" xfId="0" applyNumberFormat="1" applyFont="1" applyFill="1" applyBorder="1" applyAlignment="1" applyProtection="1">
      <alignment horizontal="right"/>
    </xf>
    <xf numFmtId="3" fontId="13" fillId="19" borderId="88" xfId="0" applyNumberFormat="1" applyFont="1" applyFill="1" applyBorder="1" applyAlignment="1" applyProtection="1">
      <alignment horizontal="right"/>
    </xf>
    <xf numFmtId="3" fontId="13" fillId="19" borderId="4" xfId="0" applyNumberFormat="1" applyFont="1" applyFill="1" applyBorder="1" applyAlignment="1" applyProtection="1">
      <alignment horizontal="right"/>
    </xf>
    <xf numFmtId="3" fontId="13" fillId="19" borderId="3" xfId="0" applyNumberFormat="1" applyFont="1" applyFill="1" applyBorder="1" applyAlignment="1" applyProtection="1">
      <alignment horizontal="right"/>
    </xf>
    <xf numFmtId="3" fontId="13" fillId="19" borderId="55" xfId="0" applyNumberFormat="1" applyFont="1" applyFill="1" applyBorder="1" applyAlignment="1" applyProtection="1">
      <alignment horizontal="right"/>
    </xf>
    <xf numFmtId="3" fontId="13" fillId="19" borderId="54" xfId="0" applyNumberFormat="1" applyFont="1" applyFill="1" applyBorder="1" applyAlignment="1" applyProtection="1">
      <alignment horizontal="right"/>
    </xf>
    <xf numFmtId="3" fontId="13" fillId="19" borderId="2" xfId="0" applyNumberFormat="1" applyFont="1" applyFill="1" applyBorder="1" applyAlignment="1" applyProtection="1">
      <alignment horizontal="right"/>
    </xf>
    <xf numFmtId="3" fontId="13" fillId="19" borderId="65" xfId="0" applyNumberFormat="1" applyFont="1" applyFill="1" applyBorder="1" applyAlignment="1" applyProtection="1">
      <alignment horizontal="right"/>
    </xf>
    <xf numFmtId="3" fontId="13" fillId="19" borderId="18" xfId="0" applyNumberFormat="1" applyFont="1" applyFill="1" applyBorder="1" applyAlignment="1" applyProtection="1">
      <alignment horizontal="right"/>
    </xf>
    <xf numFmtId="3" fontId="13" fillId="19" borderId="7" xfId="0" applyNumberFormat="1" applyFont="1" applyFill="1" applyBorder="1" applyAlignment="1" applyProtection="1">
      <alignment horizontal="right"/>
    </xf>
    <xf numFmtId="3" fontId="13" fillId="19" borderId="6" xfId="0" applyNumberFormat="1" applyFont="1" applyFill="1" applyBorder="1" applyAlignment="1" applyProtection="1">
      <alignment horizontal="right"/>
    </xf>
    <xf numFmtId="3" fontId="13" fillId="19" borderId="5" xfId="0" applyNumberFormat="1" applyFont="1" applyFill="1" applyBorder="1" applyAlignment="1" applyProtection="1">
      <alignment horizontal="right"/>
    </xf>
    <xf numFmtId="3" fontId="13" fillId="19" borderId="19" xfId="0" applyNumberFormat="1" applyFont="1" applyFill="1" applyBorder="1" applyAlignment="1" applyProtection="1">
      <alignment horizontal="right"/>
    </xf>
    <xf numFmtId="3" fontId="3" fillId="19" borderId="127" xfId="0" applyNumberFormat="1" applyFont="1" applyFill="1" applyBorder="1" applyAlignment="1" applyProtection="1">
      <alignment horizontal="left" vertical="top" wrapText="1"/>
    </xf>
    <xf numFmtId="0" fontId="3" fillId="19" borderId="162" xfId="0" applyFont="1" applyFill="1" applyBorder="1" applyAlignment="1" applyProtection="1">
      <alignment horizontal="left" vertical="top" wrapText="1"/>
    </xf>
    <xf numFmtId="3" fontId="5" fillId="19" borderId="161" xfId="0" applyNumberFormat="1" applyFont="1" applyFill="1" applyBorder="1" applyAlignment="1" applyProtection="1">
      <alignment vertical="top" wrapText="1"/>
    </xf>
    <xf numFmtId="3" fontId="8" fillId="19" borderId="127" xfId="0" applyNumberFormat="1" applyFont="1" applyFill="1" applyBorder="1" applyProtection="1"/>
    <xf numFmtId="3" fontId="5" fillId="19" borderId="161" xfId="0" applyNumberFormat="1" applyFont="1" applyFill="1" applyBorder="1" applyProtection="1"/>
    <xf numFmtId="3" fontId="8" fillId="19" borderId="161" xfId="0" applyNumberFormat="1" applyFont="1" applyFill="1" applyBorder="1" applyProtection="1"/>
    <xf numFmtId="0" fontId="8" fillId="19" borderId="127" xfId="0" applyFont="1" applyFill="1" applyBorder="1" applyProtection="1"/>
    <xf numFmtId="0" fontId="8" fillId="19" borderId="116" xfId="0" applyFont="1" applyFill="1" applyBorder="1" applyProtection="1"/>
    <xf numFmtId="49" fontId="11" fillId="19" borderId="135" xfId="0" applyNumberFormat="1" applyFont="1" applyFill="1" applyBorder="1" applyProtection="1"/>
    <xf numFmtId="49" fontId="11" fillId="19" borderId="174" xfId="0" applyNumberFormat="1" applyFont="1" applyFill="1" applyBorder="1" applyProtection="1"/>
    <xf numFmtId="49" fontId="11" fillId="19" borderId="21" xfId="0" applyNumberFormat="1" applyFont="1" applyFill="1" applyBorder="1" applyProtection="1"/>
    <xf numFmtId="49" fontId="11" fillId="19" borderId="108" xfId="0" applyNumberFormat="1" applyFont="1" applyFill="1" applyBorder="1" applyProtection="1"/>
    <xf numFmtId="3" fontId="13" fillId="19" borderId="23" xfId="0" applyNumberFormat="1" applyFont="1" applyFill="1" applyBorder="1" applyAlignment="1" applyProtection="1">
      <alignment horizontal="right"/>
    </xf>
    <xf numFmtId="3" fontId="13" fillId="19" borderId="98" xfId="0" applyNumberFormat="1" applyFont="1" applyFill="1" applyBorder="1" applyAlignment="1" applyProtection="1">
      <alignment horizontal="right"/>
    </xf>
    <xf numFmtId="3" fontId="13" fillId="19" borderId="21" xfId="0" applyNumberFormat="1" applyFont="1" applyFill="1" applyBorder="1" applyAlignment="1" applyProtection="1">
      <alignment horizontal="right"/>
    </xf>
    <xf numFmtId="3" fontId="13" fillId="19" borderId="22" xfId="0" applyNumberFormat="1" applyFont="1" applyFill="1" applyBorder="1" applyAlignment="1" applyProtection="1">
      <alignment horizontal="right"/>
    </xf>
    <xf numFmtId="3" fontId="3" fillId="19" borderId="130" xfId="0" applyNumberFormat="1" applyFont="1" applyFill="1" applyBorder="1" applyAlignment="1" applyProtection="1">
      <alignment horizontal="left" vertical="top" wrapText="1"/>
    </xf>
    <xf numFmtId="3" fontId="3" fillId="19" borderId="69" xfId="0" applyNumberFormat="1" applyFont="1" applyFill="1" applyBorder="1" applyAlignment="1" applyProtection="1">
      <alignment horizontal="left" vertical="top" wrapText="1"/>
    </xf>
    <xf numFmtId="3" fontId="5" fillId="19" borderId="119" xfId="0" applyNumberFormat="1" applyFont="1" applyFill="1" applyBorder="1" applyAlignment="1" applyProtection="1">
      <alignment horizontal="left" vertical="top"/>
    </xf>
    <xf numFmtId="3" fontId="5" fillId="19" borderId="161" xfId="0" applyNumberFormat="1" applyFont="1" applyFill="1" applyBorder="1" applyAlignment="1" applyProtection="1">
      <alignment horizontal="left" vertical="top" wrapText="1"/>
    </xf>
    <xf numFmtId="0" fontId="8" fillId="19" borderId="161" xfId="0" applyFont="1" applyFill="1" applyBorder="1" applyProtection="1"/>
    <xf numFmtId="0" fontId="8" fillId="19" borderId="173" xfId="0" applyFont="1" applyFill="1" applyBorder="1" applyProtection="1"/>
    <xf numFmtId="49" fontId="11" fillId="19" borderId="175" xfId="0" applyNumberFormat="1" applyFont="1" applyFill="1" applyBorder="1" applyProtection="1"/>
    <xf numFmtId="49" fontId="11" fillId="19" borderId="176" xfId="0" applyNumberFormat="1" applyFont="1" applyFill="1" applyBorder="1" applyProtection="1"/>
    <xf numFmtId="49" fontId="11" fillId="19" borderId="28" xfId="0" applyNumberFormat="1" applyFont="1" applyFill="1" applyBorder="1" applyProtection="1"/>
    <xf numFmtId="49" fontId="11" fillId="19" borderId="103" xfId="0" applyNumberFormat="1" applyFont="1" applyFill="1" applyBorder="1" applyProtection="1"/>
    <xf numFmtId="3" fontId="13" fillId="19" borderId="30" xfId="0" applyNumberFormat="1" applyFont="1" applyFill="1" applyBorder="1" applyAlignment="1" applyProtection="1">
      <alignment horizontal="right"/>
    </xf>
    <xf numFmtId="3" fontId="13" fillId="19" borderId="31" xfId="0" applyNumberFormat="1" applyFont="1" applyFill="1" applyBorder="1" applyAlignment="1" applyProtection="1">
      <alignment horizontal="right"/>
    </xf>
    <xf numFmtId="3" fontId="13" fillId="19" borderId="47" xfId="0" applyNumberFormat="1" applyFont="1" applyFill="1" applyBorder="1" applyAlignment="1" applyProtection="1">
      <alignment horizontal="right"/>
    </xf>
    <xf numFmtId="3" fontId="13" fillId="19" borderId="119" xfId="0" applyNumberFormat="1" applyFont="1" applyFill="1" applyBorder="1" applyAlignment="1" applyProtection="1">
      <alignment horizontal="right"/>
    </xf>
    <xf numFmtId="3" fontId="13" fillId="19" borderId="28" xfId="0" applyNumberFormat="1" applyFont="1" applyFill="1" applyBorder="1" applyAlignment="1" applyProtection="1">
      <alignment horizontal="right"/>
    </xf>
    <xf numFmtId="3" fontId="13" fillId="19" borderId="103" xfId="0" applyNumberFormat="1" applyFont="1" applyFill="1" applyBorder="1" applyAlignment="1" applyProtection="1">
      <alignment horizontal="right"/>
    </xf>
    <xf numFmtId="3" fontId="13" fillId="19" borderId="29" xfId="0" applyNumberFormat="1" applyFont="1" applyFill="1" applyBorder="1" applyAlignment="1" applyProtection="1">
      <alignment horizontal="right"/>
    </xf>
    <xf numFmtId="3" fontId="13" fillId="19" borderId="32" xfId="0" applyNumberFormat="1" applyFont="1" applyFill="1" applyBorder="1" applyAlignment="1" applyProtection="1">
      <alignment horizontal="right"/>
    </xf>
    <xf numFmtId="0" fontId="8" fillId="19" borderId="155" xfId="0" applyFont="1" applyFill="1" applyBorder="1" applyAlignment="1" applyProtection="1">
      <alignment horizontal="left"/>
    </xf>
    <xf numFmtId="0" fontId="3" fillId="19" borderId="155" xfId="0" applyFont="1" applyFill="1" applyBorder="1" applyAlignment="1" applyProtection="1">
      <alignment horizontal="left"/>
    </xf>
    <xf numFmtId="0" fontId="8" fillId="19" borderId="15" xfId="0" applyFont="1" applyFill="1" applyBorder="1" applyAlignment="1" applyProtection="1">
      <alignment horizontal="left"/>
    </xf>
    <xf numFmtId="0" fontId="8" fillId="19" borderId="155" xfId="0" applyFont="1" applyFill="1" applyBorder="1" applyProtection="1"/>
    <xf numFmtId="0" fontId="8" fillId="19" borderId="155" xfId="0" applyFont="1" applyFill="1" applyBorder="1" applyAlignment="1" applyProtection="1">
      <alignment horizontal="center"/>
    </xf>
    <xf numFmtId="0" fontId="22" fillId="19" borderId="155" xfId="0" applyFont="1" applyFill="1" applyBorder="1" applyProtection="1"/>
    <xf numFmtId="3" fontId="16" fillId="19" borderId="155" xfId="0" applyNumberFormat="1" applyFont="1" applyFill="1" applyBorder="1" applyProtection="1"/>
    <xf numFmtId="3" fontId="45" fillId="19" borderId="155" xfId="0" applyNumberFormat="1" applyFont="1" applyFill="1" applyBorder="1" applyProtection="1"/>
    <xf numFmtId="3" fontId="95" fillId="19" borderId="155" xfId="0" applyNumberFormat="1" applyFont="1" applyFill="1" applyBorder="1" applyProtection="1"/>
    <xf numFmtId="3" fontId="95" fillId="19" borderId="44" xfId="0" applyNumberFormat="1" applyFont="1" applyFill="1" applyBorder="1" applyProtection="1"/>
    <xf numFmtId="3" fontId="8" fillId="19" borderId="161" xfId="0" applyNumberFormat="1" applyFont="1" applyFill="1" applyBorder="1" applyAlignment="1" applyProtection="1">
      <alignment vertical="top" wrapText="1"/>
    </xf>
    <xf numFmtId="3" fontId="8" fillId="19" borderId="161" xfId="0" applyNumberFormat="1" applyFont="1" applyFill="1" applyBorder="1" applyAlignment="1" applyProtection="1">
      <alignment horizontal="left" wrapText="1"/>
    </xf>
    <xf numFmtId="3" fontId="33" fillId="19" borderId="173" xfId="0" applyNumberFormat="1" applyFont="1" applyFill="1" applyBorder="1" applyAlignment="1" applyProtection="1">
      <alignment wrapText="1"/>
    </xf>
    <xf numFmtId="3" fontId="46" fillId="19" borderId="161" xfId="0" applyNumberFormat="1" applyFont="1" applyFill="1" applyBorder="1" applyProtection="1"/>
    <xf numFmtId="3" fontId="2" fillId="19" borderId="29" xfId="0" applyNumberFormat="1" applyFont="1" applyFill="1" applyBorder="1" applyAlignment="1" applyProtection="1">
      <alignment horizontal="right"/>
    </xf>
    <xf numFmtId="3" fontId="46" fillId="19" borderId="66" xfId="0" applyNumberFormat="1" applyFont="1" applyFill="1" applyBorder="1" applyProtection="1"/>
    <xf numFmtId="9" fontId="46" fillId="19" borderId="86" xfId="0" applyNumberFormat="1" applyFont="1" applyFill="1" applyBorder="1" applyProtection="1"/>
    <xf numFmtId="3" fontId="46" fillId="19" borderId="161" xfId="10" applyNumberFormat="1" applyFont="1" applyFill="1" applyBorder="1" applyAlignment="1" applyProtection="1">
      <alignment horizontal="center"/>
    </xf>
    <xf numFmtId="9" fontId="46" fillId="19" borderId="178" xfId="0" applyNumberFormat="1" applyFont="1" applyFill="1" applyBorder="1" applyProtection="1"/>
    <xf numFmtId="3" fontId="46" fillId="19" borderId="103" xfId="12" applyNumberFormat="1" applyFont="1" applyFill="1" applyBorder="1" applyAlignment="1" applyProtection="1">
      <alignment horizontal="center"/>
    </xf>
    <xf numFmtId="3" fontId="46" fillId="19" borderId="5" xfId="0" applyNumberFormat="1" applyFont="1" applyFill="1" applyBorder="1" applyProtection="1"/>
    <xf numFmtId="9" fontId="46" fillId="19" borderId="6" xfId="0" applyNumberFormat="1" applyFont="1" applyFill="1" applyBorder="1" applyProtection="1"/>
    <xf numFmtId="3" fontId="46" fillId="19" borderId="4" xfId="0" applyNumberFormat="1" applyFont="1" applyFill="1" applyBorder="1" applyProtection="1"/>
    <xf numFmtId="3" fontId="46" fillId="19" borderId="82" xfId="0" applyNumberFormat="1" applyFont="1" applyFill="1" applyBorder="1" applyProtection="1"/>
    <xf numFmtId="9" fontId="46" fillId="19" borderId="3" xfId="0" applyNumberFormat="1" applyFont="1" applyFill="1" applyBorder="1" applyProtection="1"/>
    <xf numFmtId="3" fontId="44" fillId="19" borderId="91" xfId="0" applyNumberFormat="1" applyFont="1" applyFill="1" applyBorder="1" applyProtection="1"/>
    <xf numFmtId="3" fontId="45" fillId="19" borderId="156" xfId="0" applyNumberFormat="1" applyFont="1" applyFill="1" applyBorder="1" applyProtection="1"/>
    <xf numFmtId="3" fontId="95" fillId="19" borderId="156" xfId="0" applyNumberFormat="1" applyFont="1" applyFill="1" applyBorder="1" applyProtection="1"/>
    <xf numFmtId="3" fontId="95" fillId="19" borderId="179" xfId="0" applyNumberFormat="1" applyFont="1" applyFill="1" applyBorder="1" applyProtection="1"/>
    <xf numFmtId="3" fontId="13" fillId="24" borderId="103" xfId="0" applyNumberFormat="1" applyFont="1" applyFill="1" applyBorder="1" applyAlignment="1" applyProtection="1">
      <alignment horizontal="right"/>
    </xf>
    <xf numFmtId="0" fontId="23" fillId="19" borderId="101" xfId="0" applyFont="1" applyFill="1" applyBorder="1" applyProtection="1"/>
    <xf numFmtId="0" fontId="23" fillId="19" borderId="96" xfId="0" applyFont="1" applyFill="1" applyBorder="1" applyProtection="1"/>
    <xf numFmtId="0" fontId="23" fillId="19" borderId="120" xfId="0" applyFont="1" applyFill="1" applyBorder="1" applyProtection="1"/>
    <xf numFmtId="0" fontId="23" fillId="19" borderId="121" xfId="0" applyFont="1" applyFill="1" applyBorder="1" applyProtection="1"/>
    <xf numFmtId="0" fontId="23" fillId="19" borderId="4" xfId="0" applyFont="1" applyFill="1" applyBorder="1" applyProtection="1"/>
    <xf numFmtId="0" fontId="23" fillId="19" borderId="65" xfId="0" applyFont="1" applyFill="1" applyBorder="1" applyProtection="1"/>
    <xf numFmtId="0" fontId="23" fillId="19" borderId="82" xfId="0" applyFont="1" applyFill="1" applyBorder="1" applyProtection="1"/>
    <xf numFmtId="0" fontId="23" fillId="19" borderId="53" xfId="0" applyFont="1" applyFill="1" applyBorder="1" applyProtection="1"/>
    <xf numFmtId="3" fontId="82" fillId="19" borderId="161" xfId="10" applyNumberFormat="1" applyFont="1" applyFill="1" applyBorder="1" applyAlignment="1" applyProtection="1">
      <alignment horizontal="center"/>
    </xf>
    <xf numFmtId="3" fontId="2" fillId="19" borderId="15" xfId="0" applyNumberFormat="1" applyFont="1" applyFill="1" applyBorder="1" applyProtection="1"/>
    <xf numFmtId="3" fontId="108" fillId="19" borderId="103" xfId="12" applyNumberFormat="1" applyFont="1" applyFill="1" applyBorder="1" applyAlignment="1" applyProtection="1">
      <alignment horizontal="center"/>
    </xf>
    <xf numFmtId="3" fontId="46" fillId="19" borderId="2" xfId="0" applyNumberFormat="1" applyFont="1" applyFill="1" applyBorder="1" applyProtection="1"/>
    <xf numFmtId="3" fontId="35" fillId="19" borderId="0" xfId="0" applyNumberFormat="1" applyFont="1" applyFill="1" applyBorder="1" applyAlignment="1" applyProtection="1"/>
    <xf numFmtId="3" fontId="2" fillId="19" borderId="28" xfId="0" applyNumberFormat="1" applyFont="1" applyFill="1" applyBorder="1" applyAlignment="1" applyProtection="1">
      <alignment horizontal="right"/>
    </xf>
    <xf numFmtId="3" fontId="46" fillId="19" borderId="155" xfId="0" applyNumberFormat="1" applyFont="1" applyFill="1" applyBorder="1" applyProtection="1"/>
    <xf numFmtId="3" fontId="2" fillId="20" borderId="28" xfId="0" applyNumberFormat="1" applyFont="1" applyFill="1" applyBorder="1" applyAlignment="1" applyProtection="1">
      <alignment horizontal="right"/>
    </xf>
    <xf numFmtId="3" fontId="108" fillId="19" borderId="161" xfId="10" applyNumberFormat="1" applyFont="1" applyFill="1" applyBorder="1" applyAlignment="1" applyProtection="1">
      <alignment horizontal="center"/>
    </xf>
    <xf numFmtId="3" fontId="45" fillId="19" borderId="4" xfId="0" applyNumberFormat="1" applyFont="1" applyFill="1" applyBorder="1" applyProtection="1"/>
    <xf numFmtId="3" fontId="45" fillId="19" borderId="82" xfId="0" applyNumberFormat="1" applyFont="1" applyFill="1" applyBorder="1" applyProtection="1"/>
    <xf numFmtId="3" fontId="95" fillId="19" borderId="82" xfId="0" applyNumberFormat="1" applyFont="1" applyFill="1" applyBorder="1" applyProtection="1"/>
    <xf numFmtId="3" fontId="95" fillId="19" borderId="65" xfId="0" applyNumberFormat="1" applyFont="1" applyFill="1" applyBorder="1" applyProtection="1"/>
    <xf numFmtId="3" fontId="48" fillId="19" borderId="2" xfId="0" applyNumberFormat="1" applyFont="1" applyFill="1" applyBorder="1" applyAlignment="1" applyProtection="1">
      <alignment horizontal="right"/>
    </xf>
    <xf numFmtId="3" fontId="2" fillId="19" borderId="45" xfId="0" applyNumberFormat="1" applyFont="1" applyFill="1" applyBorder="1" applyAlignment="1" applyProtection="1">
      <alignment horizontal="right"/>
    </xf>
    <xf numFmtId="3" fontId="46" fillId="19" borderId="91" xfId="0" applyNumberFormat="1" applyFont="1" applyFill="1" applyBorder="1" applyProtection="1"/>
    <xf numFmtId="3" fontId="110" fillId="19" borderId="161" xfId="10" applyNumberFormat="1" applyFont="1" applyFill="1" applyBorder="1" applyAlignment="1" applyProtection="1">
      <alignment horizontal="center"/>
    </xf>
    <xf numFmtId="3" fontId="95" fillId="19" borderId="97" xfId="0" applyNumberFormat="1" applyFont="1" applyFill="1" applyBorder="1" applyProtection="1"/>
    <xf numFmtId="3" fontId="45" fillId="19" borderId="91" xfId="0" applyNumberFormat="1" applyFont="1" applyFill="1" applyBorder="1" applyProtection="1"/>
    <xf numFmtId="3" fontId="43" fillId="19" borderId="105" xfId="0" applyNumberFormat="1" applyFont="1" applyFill="1" applyBorder="1" applyAlignment="1" applyProtection="1">
      <alignment horizontal="right"/>
    </xf>
    <xf numFmtId="3" fontId="45" fillId="19" borderId="180" xfId="0" applyNumberFormat="1" applyFont="1" applyFill="1" applyBorder="1" applyProtection="1"/>
    <xf numFmtId="3" fontId="45" fillId="19" borderId="39" xfId="0" applyNumberFormat="1" applyFont="1" applyFill="1" applyBorder="1" applyProtection="1"/>
    <xf numFmtId="3" fontId="95" fillId="19" borderId="39" xfId="0" applyNumberFormat="1" applyFont="1" applyFill="1" applyBorder="1" applyProtection="1"/>
    <xf numFmtId="3" fontId="46" fillId="19" borderId="182" xfId="0" applyNumberFormat="1" applyFont="1" applyFill="1" applyBorder="1" applyProtection="1"/>
    <xf numFmtId="3" fontId="3" fillId="19" borderId="30" xfId="0" applyNumberFormat="1" applyFont="1" applyFill="1" applyBorder="1" applyAlignment="1" applyProtection="1">
      <alignment horizontal="center"/>
    </xf>
    <xf numFmtId="3" fontId="3" fillId="19" borderId="49" xfId="0" applyNumberFormat="1" applyFont="1" applyFill="1" applyBorder="1" applyAlignment="1" applyProtection="1"/>
    <xf numFmtId="3" fontId="8" fillId="19" borderId="48" xfId="0" applyNumberFormat="1" applyFont="1" applyFill="1" applyBorder="1" applyAlignment="1" applyProtection="1">
      <alignment horizontal="left" vertical="top" wrapText="1"/>
    </xf>
    <xf numFmtId="3" fontId="8" fillId="19" borderId="166" xfId="0" applyNumberFormat="1" applyFont="1" applyFill="1" applyBorder="1" applyAlignment="1" applyProtection="1">
      <alignment horizontal="left" vertical="top" wrapText="1"/>
    </xf>
    <xf numFmtId="3" fontId="3" fillId="19" borderId="183" xfId="0" applyNumberFormat="1" applyFont="1" applyFill="1" applyBorder="1" applyAlignment="1" applyProtection="1">
      <alignment horizontal="center"/>
    </xf>
    <xf numFmtId="3" fontId="3" fillId="19" borderId="29" xfId="0" applyNumberFormat="1" applyFont="1" applyFill="1" applyBorder="1" applyAlignment="1" applyProtection="1">
      <alignment horizontal="center"/>
    </xf>
    <xf numFmtId="3" fontId="3" fillId="19" borderId="184" xfId="0" applyNumberFormat="1" applyFont="1" applyFill="1" applyBorder="1" applyAlignment="1" applyProtection="1"/>
    <xf numFmtId="3" fontId="8" fillId="19" borderId="185" xfId="0" applyNumberFormat="1" applyFont="1" applyFill="1" applyBorder="1" applyAlignment="1" applyProtection="1"/>
    <xf numFmtId="3" fontId="8" fillId="19" borderId="186" xfId="0" applyNumberFormat="1" applyFont="1" applyFill="1" applyBorder="1" applyAlignment="1" applyProtection="1"/>
    <xf numFmtId="3" fontId="3" fillId="19" borderId="45" xfId="0" applyNumberFormat="1" applyFont="1" applyFill="1" applyBorder="1" applyAlignment="1" applyProtection="1">
      <alignment horizontal="center"/>
    </xf>
    <xf numFmtId="3" fontId="5" fillId="19" borderId="77" xfId="0" applyNumberFormat="1" applyFont="1" applyFill="1" applyBorder="1" applyAlignment="1" applyProtection="1"/>
    <xf numFmtId="3" fontId="8" fillId="19" borderId="78" xfId="0" applyNumberFormat="1" applyFont="1" applyFill="1" applyBorder="1" applyAlignment="1" applyProtection="1"/>
    <xf numFmtId="3" fontId="8" fillId="19" borderId="179" xfId="0" applyNumberFormat="1" applyFont="1" applyFill="1" applyBorder="1" applyAlignment="1" applyProtection="1"/>
    <xf numFmtId="3" fontId="3" fillId="19" borderId="187" xfId="0" applyNumberFormat="1" applyFont="1" applyFill="1" applyBorder="1" applyAlignment="1" applyProtection="1">
      <alignment vertical="center"/>
    </xf>
    <xf numFmtId="3" fontId="8" fillId="19" borderId="187" xfId="0" applyNumberFormat="1" applyFont="1" applyFill="1" applyBorder="1" applyProtection="1"/>
    <xf numFmtId="3" fontId="3" fillId="19" borderId="109" xfId="0" applyNumberFormat="1" applyFont="1" applyFill="1" applyBorder="1" applyAlignment="1" applyProtection="1">
      <alignment vertical="center"/>
    </xf>
    <xf numFmtId="3" fontId="8" fillId="19" borderId="75" xfId="0" applyNumberFormat="1" applyFont="1" applyFill="1" applyBorder="1" applyProtection="1"/>
    <xf numFmtId="3" fontId="8" fillId="19" borderId="92" xfId="0" applyNumberFormat="1" applyFont="1" applyFill="1" applyBorder="1" applyProtection="1"/>
    <xf numFmtId="3" fontId="3" fillId="19" borderId="188" xfId="0" applyNumberFormat="1" applyFont="1" applyFill="1" applyBorder="1" applyAlignment="1" applyProtection="1"/>
    <xf numFmtId="3" fontId="3" fillId="19" borderId="109" xfId="0" applyNumberFormat="1" applyFont="1" applyFill="1" applyBorder="1" applyProtection="1"/>
    <xf numFmtId="3" fontId="8" fillId="19" borderId="109" xfId="0" applyNumberFormat="1" applyFont="1" applyFill="1" applyBorder="1" applyProtection="1"/>
    <xf numFmtId="3" fontId="8" fillId="19" borderId="78" xfId="0" applyNumberFormat="1" applyFont="1" applyFill="1" applyBorder="1" applyProtection="1"/>
    <xf numFmtId="3" fontId="8" fillId="19" borderId="179" xfId="0" applyNumberFormat="1" applyFont="1" applyFill="1" applyBorder="1" applyProtection="1"/>
    <xf numFmtId="0" fontId="3" fillId="19" borderId="189" xfId="0" applyFont="1" applyFill="1" applyBorder="1" applyAlignment="1" applyProtection="1">
      <alignment horizontal="left" vertical="top" wrapText="1"/>
    </xf>
    <xf numFmtId="0" fontId="3" fillId="19" borderId="60" xfId="0" applyFont="1" applyFill="1" applyBorder="1" applyAlignment="1" applyProtection="1">
      <alignment horizontal="left"/>
    </xf>
    <xf numFmtId="3" fontId="3" fillId="19" borderId="153" xfId="0" applyNumberFormat="1" applyFont="1" applyFill="1" applyBorder="1" applyAlignment="1" applyProtection="1">
      <alignment horizontal="left"/>
    </xf>
    <xf numFmtId="0" fontId="3" fillId="19" borderId="124" xfId="0" applyFont="1" applyFill="1" applyBorder="1" applyProtection="1"/>
    <xf numFmtId="0" fontId="3" fillId="19" borderId="190" xfId="0" applyFont="1" applyFill="1" applyBorder="1" applyAlignment="1" applyProtection="1">
      <alignment vertical="top" wrapText="1"/>
    </xf>
    <xf numFmtId="0" fontId="3" fillId="19" borderId="135" xfId="0" applyFont="1" applyFill="1" applyBorder="1" applyAlignment="1" applyProtection="1">
      <alignment horizontal="left" vertical="top" wrapText="1"/>
    </xf>
    <xf numFmtId="0" fontId="3" fillId="19" borderId="113" xfId="0" applyFont="1" applyFill="1" applyBorder="1" applyAlignment="1" applyProtection="1">
      <alignment horizontal="left" vertical="top" wrapText="1"/>
    </xf>
    <xf numFmtId="0" fontId="3" fillId="19" borderId="136" xfId="0" applyFont="1" applyFill="1" applyBorder="1" applyAlignment="1" applyProtection="1">
      <alignment horizontal="left" vertical="top" wrapText="1"/>
    </xf>
    <xf numFmtId="0" fontId="3" fillId="19" borderId="190" xfId="0" applyFont="1" applyFill="1" applyBorder="1" applyAlignment="1" applyProtection="1">
      <alignment horizontal="left" vertical="top" wrapText="1"/>
    </xf>
    <xf numFmtId="0" fontId="3" fillId="19" borderId="60" xfId="0" applyFont="1" applyFill="1" applyBorder="1" applyProtection="1"/>
    <xf numFmtId="0" fontId="7" fillId="19" borderId="90" xfId="0" applyFont="1" applyFill="1" applyBorder="1" applyProtection="1"/>
    <xf numFmtId="0" fontId="3" fillId="19" borderId="44" xfId="0" applyFont="1" applyFill="1" applyBorder="1" applyProtection="1"/>
    <xf numFmtId="0" fontId="3" fillId="19" borderId="170" xfId="0" applyFont="1" applyFill="1" applyBorder="1" applyAlignment="1" applyProtection="1">
      <alignment horizontal="left" vertical="top" wrapText="1"/>
    </xf>
    <xf numFmtId="0" fontId="3" fillId="19" borderId="127" xfId="0" applyFont="1" applyFill="1" applyBorder="1" applyProtection="1"/>
    <xf numFmtId="0" fontId="5" fillId="19" borderId="127" xfId="0" applyFont="1" applyFill="1" applyBorder="1" applyProtection="1"/>
    <xf numFmtId="0" fontId="3" fillId="19" borderId="16" xfId="0" applyFont="1" applyFill="1" applyBorder="1" applyProtection="1"/>
    <xf numFmtId="0" fontId="3" fillId="19" borderId="64" xfId="0" applyFont="1" applyFill="1" applyBorder="1" applyProtection="1"/>
    <xf numFmtId="0" fontId="3" fillId="19" borderId="68" xfId="0" applyFont="1" applyFill="1" applyBorder="1" applyProtection="1"/>
    <xf numFmtId="0" fontId="3" fillId="19" borderId="147" xfId="0" applyFont="1" applyFill="1" applyBorder="1" applyProtection="1"/>
    <xf numFmtId="0" fontId="5" fillId="19" borderId="101" xfId="0" applyFont="1" applyFill="1" applyBorder="1" applyProtection="1"/>
    <xf numFmtId="0" fontId="5" fillId="19" borderId="16" xfId="0" applyFont="1" applyFill="1" applyBorder="1" applyProtection="1"/>
    <xf numFmtId="49" fontId="7" fillId="19" borderId="127" xfId="0" applyNumberFormat="1" applyFont="1" applyFill="1" applyBorder="1" applyAlignment="1" applyProtection="1">
      <alignment horizontal="left"/>
    </xf>
    <xf numFmtId="3" fontId="36" fillId="19" borderId="15" xfId="0" applyNumberFormat="1" applyFont="1" applyFill="1" applyBorder="1" applyAlignment="1" applyProtection="1"/>
    <xf numFmtId="3" fontId="36" fillId="19" borderId="56" xfId="0" applyNumberFormat="1" applyFont="1" applyFill="1" applyBorder="1" applyAlignment="1" applyProtection="1"/>
    <xf numFmtId="49" fontId="5" fillId="19" borderId="155" xfId="0" applyNumberFormat="1" applyFont="1" applyFill="1" applyBorder="1" applyAlignment="1" applyProtection="1"/>
    <xf numFmtId="49" fontId="5" fillId="19" borderId="0" xfId="0" applyNumberFormat="1" applyFont="1" applyFill="1" applyBorder="1" applyAlignment="1" applyProtection="1"/>
    <xf numFmtId="49" fontId="5" fillId="19" borderId="123" xfId="0" applyNumberFormat="1" applyFont="1" applyFill="1" applyBorder="1" applyAlignment="1" applyProtection="1"/>
    <xf numFmtId="49" fontId="5" fillId="19" borderId="27" xfId="0" applyNumberFormat="1" applyFont="1" applyFill="1" applyBorder="1" applyAlignment="1" applyProtection="1"/>
    <xf numFmtId="3" fontId="2" fillId="19" borderId="15" xfId="0" applyNumberFormat="1" applyFont="1" applyFill="1" applyBorder="1" applyAlignment="1" applyProtection="1">
      <alignment horizontal="right"/>
    </xf>
    <xf numFmtId="3" fontId="10" fillId="19" borderId="15" xfId="0" applyNumberFormat="1" applyFont="1" applyFill="1" applyBorder="1" applyProtection="1"/>
    <xf numFmtId="3" fontId="10" fillId="19" borderId="56" xfId="0" applyNumberFormat="1" applyFont="1" applyFill="1" applyBorder="1" applyProtection="1"/>
    <xf numFmtId="3" fontId="10" fillId="19" borderId="0" xfId="0" applyNumberFormat="1" applyFont="1" applyFill="1" applyBorder="1" applyProtection="1"/>
    <xf numFmtId="49" fontId="3" fillId="19" borderId="39" xfId="0" applyNumberFormat="1" applyFont="1" applyFill="1" applyBorder="1" applyAlignment="1" applyProtection="1"/>
    <xf numFmtId="49" fontId="5" fillId="19" borderId="11" xfId="0" applyNumberFormat="1" applyFont="1" applyFill="1" applyBorder="1" applyAlignment="1" applyProtection="1"/>
    <xf numFmtId="3" fontId="36" fillId="19" borderId="60" xfId="0" applyNumberFormat="1" applyFont="1" applyFill="1" applyBorder="1" applyAlignment="1" applyProtection="1"/>
    <xf numFmtId="49" fontId="5" fillId="19" borderId="57" xfId="0" applyNumberFormat="1" applyFont="1" applyFill="1" applyBorder="1" applyAlignment="1" applyProtection="1"/>
    <xf numFmtId="3" fontId="36" fillId="19" borderId="0" xfId="0" applyNumberFormat="1" applyFont="1" applyFill="1" applyBorder="1" applyAlignment="1" applyProtection="1"/>
    <xf numFmtId="3" fontId="2" fillId="19" borderId="68" xfId="0" applyNumberFormat="1" applyFont="1" applyFill="1" applyBorder="1" applyAlignment="1" applyProtection="1">
      <alignment horizontal="right"/>
    </xf>
    <xf numFmtId="3" fontId="36" fillId="19" borderId="57" xfId="0" applyNumberFormat="1" applyFont="1" applyFill="1" applyBorder="1" applyAlignment="1" applyProtection="1"/>
    <xf numFmtId="3" fontId="36" fillId="19" borderId="15" xfId="0" applyNumberFormat="1" applyFont="1" applyFill="1" applyBorder="1" applyProtection="1"/>
    <xf numFmtId="3" fontId="2" fillId="25" borderId="17" xfId="0" applyNumberFormat="1" applyFont="1" applyFill="1" applyBorder="1" applyAlignment="1" applyProtection="1">
      <alignment horizontal="right"/>
    </xf>
    <xf numFmtId="49" fontId="3" fillId="19" borderId="134" xfId="0" applyNumberFormat="1" applyFont="1" applyFill="1" applyBorder="1" applyAlignment="1" applyProtection="1">
      <alignment horizontal="left"/>
    </xf>
    <xf numFmtId="0" fontId="5" fillId="19" borderId="64" xfId="0" applyFont="1" applyFill="1" applyBorder="1" applyProtection="1"/>
    <xf numFmtId="49" fontId="3" fillId="19" borderId="22" xfId="0" applyNumberFormat="1" applyFont="1" applyFill="1" applyBorder="1" applyAlignment="1" applyProtection="1">
      <alignment horizontal="left"/>
    </xf>
    <xf numFmtId="49" fontId="3" fillId="19" borderId="92" xfId="0" applyNumberFormat="1" applyFont="1" applyFill="1" applyBorder="1" applyProtection="1"/>
    <xf numFmtId="49" fontId="3" fillId="19" borderId="92" xfId="0" applyNumberFormat="1" applyFont="1" applyFill="1" applyBorder="1" applyAlignment="1" applyProtection="1">
      <alignment wrapText="1"/>
    </xf>
    <xf numFmtId="49" fontId="3" fillId="19" borderId="21" xfId="0" applyNumberFormat="1" applyFont="1" applyFill="1" applyBorder="1" applyAlignment="1" applyProtection="1">
      <alignment horizontal="left"/>
    </xf>
    <xf numFmtId="49" fontId="3" fillId="19" borderId="55" xfId="0" applyNumberFormat="1" applyFont="1" applyFill="1" applyBorder="1" applyAlignment="1" applyProtection="1">
      <alignment wrapText="1"/>
    </xf>
    <xf numFmtId="49" fontId="3" fillId="19" borderId="23" xfId="0" applyNumberFormat="1" applyFont="1" applyFill="1" applyBorder="1" applyAlignment="1" applyProtection="1">
      <alignment horizontal="left"/>
    </xf>
    <xf numFmtId="0" fontId="5" fillId="19" borderId="48" xfId="0" applyFont="1" applyFill="1" applyBorder="1" applyProtection="1"/>
    <xf numFmtId="49" fontId="3" fillId="19" borderId="76" xfId="0" applyNumberFormat="1" applyFont="1" applyFill="1" applyBorder="1" applyProtection="1"/>
    <xf numFmtId="49" fontId="3" fillId="19" borderId="76" xfId="0" applyNumberFormat="1" applyFont="1" applyFill="1" applyBorder="1" applyAlignment="1" applyProtection="1">
      <alignment wrapText="1"/>
    </xf>
    <xf numFmtId="49" fontId="3" fillId="19" borderId="65" xfId="0" applyNumberFormat="1" applyFont="1" applyFill="1" applyBorder="1" applyAlignment="1" applyProtection="1">
      <alignment wrapText="1"/>
    </xf>
    <xf numFmtId="0" fontId="5" fillId="19" borderId="166" xfId="0" applyFont="1" applyFill="1" applyBorder="1" applyProtection="1"/>
    <xf numFmtId="49" fontId="3" fillId="19" borderId="55" xfId="0" applyNumberFormat="1" applyFont="1" applyFill="1" applyBorder="1" applyProtection="1"/>
    <xf numFmtId="49" fontId="3" fillId="19" borderId="11" xfId="0" applyNumberFormat="1" applyFont="1" applyFill="1" applyBorder="1" applyAlignment="1" applyProtection="1">
      <alignment wrapText="1"/>
    </xf>
    <xf numFmtId="49" fontId="3" fillId="19" borderId="6" xfId="0" applyNumberFormat="1" applyFont="1" applyFill="1" applyBorder="1" applyAlignment="1" applyProtection="1">
      <alignment wrapText="1"/>
    </xf>
    <xf numFmtId="49" fontId="3" fillId="19" borderId="3" xfId="0" applyNumberFormat="1" applyFont="1" applyFill="1" applyBorder="1" applyAlignment="1" applyProtection="1">
      <alignment wrapText="1"/>
    </xf>
    <xf numFmtId="49" fontId="3" fillId="19" borderId="178" xfId="0" applyNumberFormat="1" applyFont="1" applyFill="1" applyBorder="1" applyAlignment="1" applyProtection="1">
      <alignment wrapText="1"/>
    </xf>
    <xf numFmtId="0" fontId="5" fillId="19" borderId="191" xfId="0" applyFont="1" applyFill="1" applyBorder="1" applyProtection="1"/>
    <xf numFmtId="49" fontId="3" fillId="19" borderId="12" xfId="0" applyNumberFormat="1" applyFont="1" applyFill="1" applyBorder="1" applyProtection="1"/>
    <xf numFmtId="49" fontId="3" fillId="19" borderId="54" xfId="0" applyNumberFormat="1" applyFont="1" applyFill="1" applyBorder="1" applyProtection="1"/>
    <xf numFmtId="49" fontId="3" fillId="19" borderId="54" xfId="0" applyNumberFormat="1" applyFont="1" applyFill="1" applyBorder="1" applyAlignment="1" applyProtection="1">
      <alignment wrapText="1"/>
    </xf>
    <xf numFmtId="49" fontId="3" fillId="19" borderId="6" xfId="11" applyNumberFormat="1" applyFont="1" applyFill="1" applyBorder="1" applyAlignment="1" applyProtection="1"/>
    <xf numFmtId="49" fontId="3" fillId="19" borderId="130" xfId="0" applyNumberFormat="1" applyFont="1" applyFill="1" applyBorder="1" applyAlignment="1" applyProtection="1">
      <alignment horizontal="left"/>
    </xf>
    <xf numFmtId="49" fontId="3" fillId="19" borderId="172" xfId="11" applyNumberFormat="1" applyFont="1" applyFill="1" applyBorder="1" applyAlignment="1" applyProtection="1"/>
    <xf numFmtId="49" fontId="3" fillId="19" borderId="127" xfId="0" applyNumberFormat="1" applyFont="1" applyFill="1" applyBorder="1" applyAlignment="1" applyProtection="1">
      <alignment horizontal="left"/>
    </xf>
    <xf numFmtId="49" fontId="3" fillId="19" borderId="56" xfId="11" applyNumberFormat="1" applyFont="1" applyFill="1" applyBorder="1" applyAlignment="1" applyProtection="1"/>
    <xf numFmtId="49" fontId="3" fillId="19" borderId="169" xfId="11" applyNumberFormat="1" applyFont="1" applyFill="1" applyBorder="1" applyAlignment="1" applyProtection="1"/>
    <xf numFmtId="49" fontId="3" fillId="19" borderId="178" xfId="11" applyNumberFormat="1" applyFont="1" applyFill="1" applyBorder="1" applyAlignment="1" applyProtection="1"/>
    <xf numFmtId="49" fontId="3" fillId="19" borderId="6" xfId="0" applyNumberFormat="1" applyFont="1" applyFill="1" applyBorder="1" applyProtection="1"/>
    <xf numFmtId="49" fontId="3" fillId="19" borderId="92" xfId="11" applyNumberFormat="1" applyFont="1" applyFill="1" applyBorder="1" applyAlignment="1" applyProtection="1"/>
    <xf numFmtId="49" fontId="3" fillId="19" borderId="24" xfId="0" applyNumberFormat="1" applyFont="1" applyFill="1" applyBorder="1" applyAlignment="1" applyProtection="1">
      <alignment horizontal="left"/>
    </xf>
    <xf numFmtId="49" fontId="3" fillId="19" borderId="72" xfId="11" applyNumberFormat="1" applyFont="1" applyFill="1" applyBorder="1" applyAlignment="1" applyProtection="1"/>
    <xf numFmtId="49" fontId="3" fillId="19" borderId="12" xfId="11" applyNumberFormat="1" applyFont="1" applyFill="1" applyBorder="1" applyAlignment="1" applyProtection="1"/>
    <xf numFmtId="0" fontId="3" fillId="19" borderId="0" xfId="0" applyFont="1" applyFill="1" applyBorder="1" applyAlignment="1" applyProtection="1">
      <alignment horizontal="center"/>
    </xf>
    <xf numFmtId="0" fontId="2" fillId="19" borderId="39" xfId="0" applyFont="1" applyFill="1" applyBorder="1" applyProtection="1"/>
    <xf numFmtId="0" fontId="3" fillId="19" borderId="58" xfId="0" applyFont="1" applyFill="1" applyBorder="1" applyProtection="1"/>
    <xf numFmtId="0" fontId="9" fillId="19" borderId="39" xfId="0" applyFont="1" applyFill="1" applyBorder="1" applyProtection="1"/>
    <xf numFmtId="0" fontId="2" fillId="19" borderId="0" xfId="0" applyFont="1" applyFill="1" applyBorder="1" applyProtection="1"/>
    <xf numFmtId="0" fontId="9" fillId="19" borderId="144" xfId="0" applyFont="1" applyFill="1" applyBorder="1" applyProtection="1"/>
    <xf numFmtId="0" fontId="7" fillId="19" borderId="124" xfId="0" applyFont="1" applyFill="1" applyBorder="1" applyProtection="1"/>
    <xf numFmtId="0" fontId="2" fillId="19" borderId="124" xfId="0" applyFont="1" applyFill="1" applyBorder="1" applyProtection="1"/>
    <xf numFmtId="0" fontId="7" fillId="19" borderId="0" xfId="0" applyFont="1" applyFill="1" applyBorder="1" applyProtection="1"/>
    <xf numFmtId="0" fontId="7" fillId="19" borderId="0" xfId="0" applyFont="1" applyFill="1" applyBorder="1" applyAlignment="1" applyProtection="1">
      <alignment horizontal="left" vertical="top" wrapText="1"/>
    </xf>
    <xf numFmtId="0" fontId="2" fillId="19" borderId="0" xfId="0" applyFont="1" applyFill="1" applyBorder="1" applyAlignment="1" applyProtection="1">
      <alignment horizontal="left" vertical="top" wrapText="1"/>
    </xf>
    <xf numFmtId="49" fontId="3" fillId="19" borderId="36" xfId="6" applyNumberFormat="1" applyFont="1" applyFill="1" applyBorder="1" applyAlignment="1" applyProtection="1">
      <alignment horizontal="left"/>
    </xf>
    <xf numFmtId="0" fontId="3" fillId="19" borderId="118" xfId="6" applyFont="1" applyFill="1" applyBorder="1" applyAlignment="1" applyProtection="1"/>
    <xf numFmtId="0" fontId="3" fillId="19" borderId="120" xfId="6" applyFont="1" applyFill="1" applyBorder="1" applyProtection="1"/>
    <xf numFmtId="0" fontId="3" fillId="19" borderId="194" xfId="6" applyFont="1" applyFill="1" applyBorder="1" applyProtection="1"/>
    <xf numFmtId="0" fontId="3" fillId="19" borderId="124" xfId="6" applyFont="1" applyFill="1" applyBorder="1" applyProtection="1"/>
    <xf numFmtId="0" fontId="3" fillId="19" borderId="95" xfId="6" applyFont="1" applyFill="1" applyBorder="1" applyProtection="1"/>
    <xf numFmtId="3" fontId="3" fillId="19" borderId="121" xfId="6" applyNumberFormat="1" applyFont="1" applyFill="1" applyBorder="1" applyAlignment="1" applyProtection="1">
      <alignment wrapText="1"/>
    </xf>
    <xf numFmtId="49" fontId="3" fillId="19" borderId="58" xfId="6" applyNumberFormat="1" applyFont="1" applyFill="1" applyBorder="1" applyAlignment="1" applyProtection="1">
      <alignment horizontal="left" vertical="top"/>
    </xf>
    <xf numFmtId="0" fontId="3" fillId="19" borderId="15" xfId="6" applyFont="1" applyFill="1" applyBorder="1" applyProtection="1"/>
    <xf numFmtId="0" fontId="22" fillId="19" borderId="162" xfId="6" applyFont="1" applyFill="1" applyBorder="1" applyProtection="1"/>
    <xf numFmtId="0" fontId="22" fillId="19" borderId="68" xfId="6" applyFont="1" applyFill="1" applyBorder="1" applyProtection="1"/>
    <xf numFmtId="3" fontId="3" fillId="19" borderId="167" xfId="6" applyNumberFormat="1" applyFont="1" applyFill="1" applyBorder="1" applyAlignment="1" applyProtection="1">
      <alignment wrapText="1"/>
    </xf>
    <xf numFmtId="3" fontId="3" fillId="19" borderId="160" xfId="6" applyNumberFormat="1" applyFont="1" applyFill="1" applyBorder="1" applyProtection="1"/>
    <xf numFmtId="0" fontId="3" fillId="19" borderId="160" xfId="6" applyFont="1" applyFill="1" applyBorder="1" applyProtection="1"/>
    <xf numFmtId="3" fontId="3" fillId="19" borderId="0" xfId="6" applyNumberFormat="1" applyFont="1" applyFill="1" applyBorder="1" applyProtection="1"/>
    <xf numFmtId="3" fontId="3" fillId="19" borderId="57" xfId="6" applyNumberFormat="1" applyFont="1" applyFill="1" applyBorder="1" applyProtection="1"/>
    <xf numFmtId="49" fontId="3" fillId="19" borderId="58" xfId="6" applyNumberFormat="1" applyFont="1" applyFill="1" applyBorder="1" applyAlignment="1" applyProtection="1">
      <alignment horizontal="left"/>
    </xf>
    <xf numFmtId="0" fontId="3" fillId="19" borderId="56" xfId="6" applyFont="1" applyFill="1" applyBorder="1" applyProtection="1"/>
    <xf numFmtId="3" fontId="3" fillId="19" borderId="16" xfId="6" applyNumberFormat="1" applyFont="1" applyFill="1" applyBorder="1" applyProtection="1"/>
    <xf numFmtId="49" fontId="7" fillId="19" borderId="58" xfId="6" applyNumberFormat="1" applyFont="1" applyFill="1" applyBorder="1" applyAlignment="1" applyProtection="1">
      <alignment horizontal="left"/>
    </xf>
    <xf numFmtId="0" fontId="3" fillId="19" borderId="169" xfId="6" applyFont="1" applyFill="1" applyBorder="1" applyProtection="1"/>
    <xf numFmtId="0" fontId="3" fillId="19" borderId="160" xfId="6" applyFont="1" applyFill="1" applyBorder="1" applyAlignment="1" applyProtection="1">
      <alignment horizontal="left"/>
    </xf>
    <xf numFmtId="0" fontId="3" fillId="19" borderId="0" xfId="6" applyFont="1" applyFill="1" applyBorder="1" applyProtection="1"/>
    <xf numFmtId="0" fontId="7" fillId="19" borderId="0" xfId="6" applyFont="1" applyFill="1" applyBorder="1" applyAlignment="1" applyProtection="1">
      <alignment horizontal="left"/>
    </xf>
    <xf numFmtId="0" fontId="7" fillId="19" borderId="57" xfId="6" applyFont="1" applyFill="1" applyBorder="1" applyAlignment="1" applyProtection="1">
      <alignment horizontal="left" wrapText="1"/>
    </xf>
    <xf numFmtId="0" fontId="5" fillId="19" borderId="169" xfId="6" applyFont="1" applyFill="1" applyBorder="1" applyProtection="1"/>
    <xf numFmtId="1" fontId="3" fillId="19" borderId="160" xfId="6" applyNumberFormat="1" applyFont="1" applyFill="1" applyBorder="1" applyAlignment="1" applyProtection="1">
      <alignment horizontal="left"/>
    </xf>
    <xf numFmtId="3" fontId="42" fillId="19" borderId="0" xfId="6" applyNumberFormat="1" applyFont="1" applyFill="1" applyBorder="1" applyProtection="1"/>
    <xf numFmtId="3" fontId="42" fillId="19" borderId="57" xfId="6" applyNumberFormat="1" applyFont="1" applyFill="1" applyBorder="1" applyProtection="1"/>
    <xf numFmtId="49" fontId="5" fillId="19" borderId="58" xfId="6" applyNumberFormat="1" applyFont="1" applyFill="1" applyBorder="1" applyAlignment="1" applyProtection="1">
      <alignment horizontal="left"/>
    </xf>
    <xf numFmtId="0" fontId="7" fillId="19" borderId="177" xfId="6" applyFont="1" applyFill="1" applyBorder="1" applyProtection="1"/>
    <xf numFmtId="0" fontId="3" fillId="19" borderId="195" xfId="6" applyFont="1" applyFill="1" applyBorder="1" applyProtection="1"/>
    <xf numFmtId="0" fontId="3" fillId="19" borderId="177" xfId="6" applyFont="1" applyFill="1" applyBorder="1" applyProtection="1"/>
    <xf numFmtId="168" fontId="3" fillId="19" borderId="62" xfId="6" applyNumberFormat="1" applyFont="1" applyFill="1" applyBorder="1" applyProtection="1"/>
    <xf numFmtId="168" fontId="42" fillId="19" borderId="62" xfId="6" applyNumberFormat="1" applyFont="1" applyFill="1" applyBorder="1" applyProtection="1"/>
    <xf numFmtId="168" fontId="42" fillId="19" borderId="111" xfId="6" applyNumberFormat="1" applyFont="1" applyFill="1" applyBorder="1" applyProtection="1"/>
    <xf numFmtId="168" fontId="42" fillId="19" borderId="143" xfId="6" applyNumberFormat="1" applyFont="1" applyFill="1" applyBorder="1" applyProtection="1"/>
    <xf numFmtId="0" fontId="5" fillId="19" borderId="35" xfId="6" applyFont="1" applyFill="1" applyBorder="1" applyAlignment="1" applyProtection="1">
      <alignment horizontal="left"/>
    </xf>
    <xf numFmtId="0" fontId="5" fillId="19" borderId="35" xfId="6" applyFont="1" applyFill="1" applyBorder="1" applyProtection="1"/>
    <xf numFmtId="0" fontId="3" fillId="19" borderId="2" xfId="6" applyFont="1" applyFill="1" applyBorder="1" applyAlignment="1" applyProtection="1">
      <alignment horizontal="left"/>
    </xf>
    <xf numFmtId="0" fontId="3" fillId="19" borderId="2" xfId="6" applyFont="1" applyFill="1" applyBorder="1" applyProtection="1"/>
    <xf numFmtId="0" fontId="3" fillId="19" borderId="5" xfId="6" applyFont="1" applyFill="1" applyBorder="1" applyProtection="1"/>
    <xf numFmtId="1" fontId="5" fillId="19" borderId="50" xfId="6" applyNumberFormat="1" applyFont="1" applyFill="1" applyBorder="1" applyAlignment="1" applyProtection="1">
      <alignment horizontal="left"/>
    </xf>
    <xf numFmtId="0" fontId="5" fillId="19" borderId="5" xfId="6" applyFont="1" applyFill="1" applyBorder="1" applyProtection="1"/>
    <xf numFmtId="1" fontId="3" fillId="19" borderId="51" xfId="6" applyNumberFormat="1" applyFont="1" applyFill="1" applyBorder="1" applyAlignment="1" applyProtection="1">
      <alignment horizontal="left"/>
    </xf>
    <xf numFmtId="0" fontId="5" fillId="19" borderId="2" xfId="6" applyFont="1" applyFill="1" applyBorder="1" applyAlignment="1" applyProtection="1">
      <alignment horizontal="left"/>
    </xf>
    <xf numFmtId="0" fontId="5" fillId="19" borderId="2" xfId="6" applyFont="1" applyFill="1" applyBorder="1" applyAlignment="1" applyProtection="1">
      <alignment wrapText="1"/>
    </xf>
    <xf numFmtId="0" fontId="5" fillId="19" borderId="5" xfId="6" applyFont="1" applyFill="1" applyBorder="1" applyAlignment="1" applyProtection="1">
      <alignment wrapText="1"/>
    </xf>
    <xf numFmtId="1" fontId="3" fillId="19" borderId="51" xfId="6" applyNumberFormat="1" applyFont="1" applyFill="1" applyBorder="1" applyProtection="1"/>
    <xf numFmtId="1" fontId="5" fillId="19" borderId="196" xfId="6" applyNumberFormat="1" applyFont="1" applyFill="1" applyBorder="1" applyAlignment="1" applyProtection="1">
      <alignment horizontal="left"/>
    </xf>
    <xf numFmtId="0" fontId="5" fillId="19" borderId="9" xfId="6" applyFont="1" applyFill="1" applyBorder="1" applyProtection="1"/>
    <xf numFmtId="1" fontId="3" fillId="19" borderId="50" xfId="6" applyNumberFormat="1" applyFont="1" applyFill="1" applyBorder="1" applyAlignment="1" applyProtection="1">
      <alignment horizontal="left"/>
    </xf>
    <xf numFmtId="49" fontId="3" fillId="19" borderId="5" xfId="6" applyNumberFormat="1" applyFont="1" applyFill="1" applyBorder="1" applyAlignment="1" applyProtection="1">
      <alignment horizontal="left"/>
    </xf>
    <xf numFmtId="0" fontId="3" fillId="19" borderId="6" xfId="6" applyFont="1" applyFill="1" applyBorder="1" applyAlignment="1" applyProtection="1">
      <alignment wrapText="1"/>
    </xf>
    <xf numFmtId="3" fontId="2" fillId="19" borderId="136" xfId="6" applyNumberFormat="1" applyFont="1" applyFill="1" applyBorder="1" applyProtection="1"/>
    <xf numFmtId="3" fontId="46" fillId="19" borderId="136" xfId="6" applyNumberFormat="1" applyFont="1" applyFill="1" applyBorder="1" applyProtection="1"/>
    <xf numFmtId="3" fontId="3" fillId="19" borderId="197" xfId="6" applyNumberFormat="1" applyFont="1" applyFill="1" applyBorder="1" applyProtection="1"/>
    <xf numFmtId="3" fontId="3" fillId="19" borderId="57" xfId="6" applyNumberFormat="1" applyFont="1" applyFill="1" applyBorder="1" applyAlignment="1" applyProtection="1">
      <alignment horizontal="left"/>
    </xf>
    <xf numFmtId="3" fontId="2" fillId="19" borderId="5" xfId="6" applyNumberFormat="1" applyFont="1" applyFill="1" applyBorder="1" applyProtection="1"/>
    <xf numFmtId="3" fontId="46" fillId="19" borderId="5" xfId="6" applyNumberFormat="1" applyFont="1" applyFill="1" applyBorder="1" applyAlignment="1" applyProtection="1">
      <alignment horizontal="right"/>
    </xf>
    <xf numFmtId="9" fontId="46" fillId="19" borderId="5" xfId="6" quotePrefix="1" applyNumberFormat="1" applyFont="1" applyFill="1" applyBorder="1" applyAlignment="1" applyProtection="1">
      <alignment horizontal="right"/>
    </xf>
    <xf numFmtId="3" fontId="42" fillId="19" borderId="56" xfId="6" applyNumberFormat="1" applyFont="1" applyFill="1" applyBorder="1" applyAlignment="1" applyProtection="1">
      <alignment horizontal="right"/>
    </xf>
    <xf numFmtId="3" fontId="46" fillId="19" borderId="2" xfId="6" applyNumberFormat="1" applyFont="1" applyFill="1" applyBorder="1" applyAlignment="1" applyProtection="1">
      <alignment horizontal="right"/>
    </xf>
    <xf numFmtId="3" fontId="46" fillId="19" borderId="15" xfId="6" applyNumberFormat="1" applyFont="1" applyFill="1" applyBorder="1" applyAlignment="1" applyProtection="1">
      <alignment horizontal="right"/>
    </xf>
    <xf numFmtId="3" fontId="43" fillId="19" borderId="11" xfId="6" applyNumberFormat="1" applyFont="1" applyFill="1" applyBorder="1" applyAlignment="1" applyProtection="1">
      <alignment horizontal="right"/>
    </xf>
    <xf numFmtId="3" fontId="42" fillId="19" borderId="0" xfId="6" applyNumberFormat="1" applyFont="1" applyFill="1" applyBorder="1" applyAlignment="1" applyProtection="1">
      <alignment horizontal="right"/>
    </xf>
    <xf numFmtId="3" fontId="43" fillId="19" borderId="172" xfId="6" applyNumberFormat="1" applyFont="1" applyFill="1" applyBorder="1" applyAlignment="1" applyProtection="1">
      <alignment horizontal="right"/>
    </xf>
    <xf numFmtId="3" fontId="43" fillId="19" borderId="0" xfId="6" applyNumberFormat="1" applyFont="1" applyFill="1" applyBorder="1" applyAlignment="1" applyProtection="1">
      <alignment horizontal="right"/>
    </xf>
    <xf numFmtId="3" fontId="43" fillId="19" borderId="86" xfId="6" applyNumberFormat="1" applyFont="1" applyFill="1" applyBorder="1" applyAlignment="1" applyProtection="1">
      <alignment horizontal="right"/>
    </xf>
    <xf numFmtId="3" fontId="43" fillId="19" borderId="39" xfId="6" applyNumberFormat="1" applyFont="1" applyFill="1" applyBorder="1" applyAlignment="1" applyProtection="1">
      <alignment horizontal="right"/>
    </xf>
    <xf numFmtId="3" fontId="35" fillId="19" borderId="39" xfId="6" quotePrefix="1" applyNumberFormat="1" applyFont="1" applyFill="1" applyBorder="1" applyAlignment="1" applyProtection="1">
      <alignment horizontal="left"/>
    </xf>
    <xf numFmtId="3" fontId="42" fillId="19" borderId="39" xfId="6" applyNumberFormat="1" applyFont="1" applyFill="1" applyBorder="1" applyAlignment="1" applyProtection="1">
      <alignment horizontal="right"/>
    </xf>
    <xf numFmtId="3" fontId="42" fillId="19" borderId="59" xfId="6" applyNumberFormat="1" applyFont="1" applyFill="1" applyBorder="1" applyAlignment="1" applyProtection="1">
      <alignment horizontal="left"/>
    </xf>
    <xf numFmtId="3" fontId="2" fillId="19" borderId="9" xfId="6" applyNumberFormat="1" applyFont="1" applyFill="1" applyBorder="1" applyProtection="1"/>
    <xf numFmtId="3" fontId="46" fillId="19" borderId="9" xfId="6" applyNumberFormat="1" applyFont="1" applyFill="1" applyBorder="1" applyProtection="1"/>
    <xf numFmtId="9" fontId="46" fillId="19" borderId="9" xfId="6" applyNumberFormat="1" applyFont="1" applyFill="1" applyBorder="1" applyProtection="1"/>
    <xf numFmtId="3" fontId="3" fillId="19" borderId="95" xfId="6" applyNumberFormat="1" applyFont="1" applyFill="1" applyBorder="1" applyProtection="1"/>
    <xf numFmtId="168" fontId="3" fillId="19" borderId="121" xfId="6" applyNumberFormat="1" applyFont="1" applyFill="1" applyBorder="1" applyAlignment="1" applyProtection="1">
      <alignment horizontal="left"/>
    </xf>
    <xf numFmtId="3" fontId="2" fillId="19" borderId="2" xfId="6" applyNumberFormat="1" applyFont="1" applyFill="1" applyBorder="1" applyAlignment="1" applyProtection="1">
      <alignment horizontal="right"/>
    </xf>
    <xf numFmtId="168" fontId="42" fillId="19" borderId="57" xfId="6" applyNumberFormat="1" applyFont="1" applyFill="1" applyBorder="1" applyAlignment="1" applyProtection="1">
      <alignment horizontal="left"/>
    </xf>
    <xf numFmtId="3" fontId="2" fillId="19" borderId="5" xfId="6" applyNumberFormat="1" applyFont="1" applyFill="1" applyBorder="1" applyAlignment="1" applyProtection="1">
      <alignment horizontal="right"/>
    </xf>
    <xf numFmtId="3" fontId="2" fillId="19" borderId="9" xfId="6" applyNumberFormat="1" applyFont="1" applyFill="1" applyBorder="1" applyAlignment="1" applyProtection="1">
      <alignment horizontal="right"/>
    </xf>
    <xf numFmtId="3" fontId="3" fillId="19" borderId="52" xfId="6" applyNumberFormat="1" applyFont="1" applyFill="1" applyBorder="1" applyAlignment="1" applyProtection="1">
      <alignment horizontal="left"/>
    </xf>
    <xf numFmtId="3" fontId="3" fillId="19" borderId="53" xfId="6" applyNumberFormat="1" applyFont="1" applyFill="1" applyBorder="1" applyAlignment="1" applyProtection="1">
      <alignment horizontal="left"/>
    </xf>
    <xf numFmtId="0" fontId="2" fillId="19" borderId="0" xfId="6" applyFont="1" applyFill="1" applyProtection="1"/>
    <xf numFmtId="0" fontId="22" fillId="19" borderId="0" xfId="6" applyFill="1" applyProtection="1"/>
    <xf numFmtId="3" fontId="36" fillId="19" borderId="0" xfId="6" applyNumberFormat="1" applyFont="1" applyFill="1" applyBorder="1" applyProtection="1"/>
    <xf numFmtId="0" fontId="22" fillId="19" borderId="0" xfId="6" applyFont="1" applyFill="1" applyProtection="1"/>
    <xf numFmtId="0" fontId="2" fillId="19" borderId="0" xfId="6" applyFont="1" applyFill="1" applyBorder="1" applyProtection="1"/>
    <xf numFmtId="0" fontId="3" fillId="19" borderId="118" xfId="6" applyFont="1" applyFill="1" applyBorder="1" applyProtection="1"/>
    <xf numFmtId="0" fontId="3" fillId="19" borderId="121" xfId="6" applyFont="1" applyFill="1" applyBorder="1" applyProtection="1"/>
    <xf numFmtId="0" fontId="3" fillId="19" borderId="155" xfId="6" applyFont="1" applyFill="1" applyBorder="1" applyProtection="1"/>
    <xf numFmtId="0" fontId="3" fillId="19" borderId="57" xfId="6" applyFont="1" applyFill="1" applyBorder="1" applyProtection="1"/>
    <xf numFmtId="1" fontId="5" fillId="19" borderId="198" xfId="6" applyNumberFormat="1" applyFont="1" applyFill="1" applyBorder="1" applyAlignment="1" applyProtection="1">
      <alignment horizontal="left"/>
    </xf>
    <xf numFmtId="0" fontId="5" fillId="19" borderId="168" xfId="6" applyFont="1" applyFill="1" applyBorder="1" applyProtection="1"/>
    <xf numFmtId="0" fontId="3" fillId="19" borderId="3" xfId="6" applyFont="1" applyFill="1" applyBorder="1" applyProtection="1"/>
    <xf numFmtId="0" fontId="3" fillId="19" borderId="6" xfId="6" applyFont="1" applyFill="1" applyBorder="1" applyProtection="1"/>
    <xf numFmtId="1" fontId="3" fillId="19" borderId="142" xfId="6" applyNumberFormat="1" applyFont="1" applyFill="1" applyBorder="1" applyAlignment="1" applyProtection="1">
      <alignment horizontal="left"/>
    </xf>
    <xf numFmtId="1" fontId="5" fillId="19" borderId="58" xfId="6" applyNumberFormat="1" applyFont="1" applyFill="1" applyBorder="1" applyAlignment="1" applyProtection="1">
      <alignment horizontal="left"/>
    </xf>
    <xf numFmtId="1" fontId="3" fillId="19" borderId="58" xfId="6" applyNumberFormat="1" applyFont="1" applyFill="1" applyBorder="1" applyAlignment="1" applyProtection="1">
      <alignment horizontal="left"/>
    </xf>
    <xf numFmtId="1" fontId="5" fillId="19" borderId="125" xfId="6" applyNumberFormat="1" applyFont="1" applyFill="1" applyBorder="1" applyAlignment="1" applyProtection="1">
      <alignment horizontal="left"/>
    </xf>
    <xf numFmtId="0" fontId="5" fillId="19" borderId="114" xfId="6" applyFont="1" applyFill="1" applyBorder="1" applyProtection="1"/>
    <xf numFmtId="0" fontId="3" fillId="19" borderId="72" xfId="6" applyFont="1" applyFill="1" applyBorder="1" applyProtection="1"/>
    <xf numFmtId="3" fontId="3" fillId="19" borderId="56" xfId="0" applyNumberFormat="1" applyFont="1" applyFill="1" applyBorder="1" applyProtection="1"/>
    <xf numFmtId="49" fontId="7" fillId="19" borderId="58" xfId="0" applyNumberFormat="1" applyFont="1" applyFill="1" applyBorder="1" applyAlignment="1" applyProtection="1">
      <alignment horizontal="left"/>
    </xf>
    <xf numFmtId="49" fontId="3" fillId="19" borderId="5" xfId="0" applyNumberFormat="1" applyFont="1" applyFill="1" applyBorder="1" applyAlignment="1" applyProtection="1">
      <alignment horizontal="left"/>
    </xf>
    <xf numFmtId="49" fontId="12" fillId="19" borderId="58" xfId="0" applyNumberFormat="1" applyFont="1" applyFill="1" applyBorder="1" applyAlignment="1" applyProtection="1">
      <alignment horizontal="left"/>
    </xf>
    <xf numFmtId="1" fontId="5" fillId="19" borderId="134" xfId="0" applyNumberFormat="1" applyFont="1" applyFill="1" applyBorder="1" applyAlignment="1" applyProtection="1">
      <alignment horizontal="left"/>
    </xf>
    <xf numFmtId="1" fontId="3" fillId="19" borderId="22" xfId="0" applyNumberFormat="1" applyFont="1" applyFill="1" applyBorder="1" applyAlignment="1" applyProtection="1">
      <alignment horizontal="left"/>
    </xf>
    <xf numFmtId="1" fontId="5" fillId="19" borderId="22" xfId="0" applyNumberFormat="1" applyFont="1" applyFill="1" applyBorder="1" applyAlignment="1" applyProtection="1">
      <alignment horizontal="left"/>
    </xf>
    <xf numFmtId="1" fontId="3" fillId="19" borderId="24" xfId="0" applyNumberFormat="1" applyFont="1" applyFill="1" applyBorder="1" applyAlignment="1" applyProtection="1">
      <alignment horizontal="left"/>
    </xf>
    <xf numFmtId="1" fontId="5" fillId="19" borderId="58" xfId="0" applyNumberFormat="1" applyFont="1" applyFill="1" applyBorder="1" applyAlignment="1" applyProtection="1">
      <alignment horizontal="left"/>
    </xf>
    <xf numFmtId="1" fontId="5" fillId="19" borderId="129" xfId="0" applyNumberFormat="1" applyFont="1" applyFill="1" applyBorder="1" applyAlignment="1" applyProtection="1">
      <alignment horizontal="left"/>
    </xf>
    <xf numFmtId="1" fontId="5" fillId="19" borderId="130" xfId="0" applyNumberFormat="1" applyFont="1" applyFill="1" applyBorder="1" applyAlignment="1" applyProtection="1">
      <alignment horizontal="left"/>
    </xf>
    <xf numFmtId="3" fontId="3" fillId="19" borderId="121" xfId="0" applyNumberFormat="1" applyFont="1" applyFill="1" applyBorder="1" applyAlignment="1" applyProtection="1">
      <alignment wrapText="1"/>
    </xf>
    <xf numFmtId="3" fontId="3" fillId="19" borderId="44" xfId="0" applyNumberFormat="1" applyFont="1" applyFill="1" applyBorder="1" applyProtection="1"/>
    <xf numFmtId="3" fontId="3" fillId="19" borderId="0" xfId="0" applyNumberFormat="1" applyFont="1" applyFill="1" applyBorder="1" applyProtection="1"/>
    <xf numFmtId="0" fontId="2" fillId="19" borderId="0" xfId="0" applyFont="1" applyFill="1" applyBorder="1" applyAlignment="1" applyProtection="1">
      <alignment wrapText="1"/>
    </xf>
    <xf numFmtId="0" fontId="2" fillId="19" borderId="57" xfId="0" applyFont="1" applyFill="1" applyBorder="1" applyAlignment="1" applyProtection="1">
      <alignment wrapText="1"/>
    </xf>
    <xf numFmtId="0" fontId="9" fillId="19" borderId="177" xfId="0" applyFont="1" applyFill="1" applyBorder="1" applyAlignment="1" applyProtection="1">
      <alignment horizontal="left" wrapText="1"/>
    </xf>
    <xf numFmtId="0" fontId="9" fillId="19" borderId="177" xfId="0" applyFont="1" applyFill="1" applyBorder="1" applyAlignment="1" applyProtection="1">
      <alignment horizontal="left"/>
    </xf>
    <xf numFmtId="0" fontId="9" fillId="19" borderId="57" xfId="0" applyFont="1" applyFill="1" applyBorder="1" applyAlignment="1" applyProtection="1">
      <alignment horizontal="left" wrapText="1"/>
    </xf>
    <xf numFmtId="3" fontId="2" fillId="19" borderId="136" xfId="0" applyNumberFormat="1" applyFont="1" applyFill="1" applyBorder="1" applyAlignment="1" applyProtection="1">
      <alignment horizontal="right"/>
    </xf>
    <xf numFmtId="3" fontId="46" fillId="19" borderId="35" xfId="0" quotePrefix="1" applyNumberFormat="1" applyFont="1" applyFill="1" applyBorder="1" applyAlignment="1" applyProtection="1">
      <alignment horizontal="right"/>
    </xf>
    <xf numFmtId="3" fontId="3" fillId="19" borderId="171" xfId="0" applyNumberFormat="1" applyFont="1" applyFill="1" applyBorder="1" applyAlignment="1" applyProtection="1">
      <alignment horizontal="left"/>
    </xf>
    <xf numFmtId="3" fontId="2" fillId="19" borderId="5" xfId="0" applyNumberFormat="1" applyFont="1" applyFill="1" applyBorder="1" applyAlignment="1" applyProtection="1">
      <alignment horizontal="right"/>
    </xf>
    <xf numFmtId="3" fontId="46" fillId="19" borderId="2" xfId="0" applyNumberFormat="1" applyFont="1" applyFill="1" applyBorder="1" applyAlignment="1" applyProtection="1">
      <alignment horizontal="right"/>
    </xf>
    <xf numFmtId="3" fontId="42" fillId="19" borderId="57" xfId="0" applyNumberFormat="1" applyFont="1" applyFill="1" applyBorder="1" applyAlignment="1" applyProtection="1">
      <alignment horizontal="left"/>
    </xf>
    <xf numFmtId="3" fontId="46" fillId="19" borderId="5" xfId="0" applyNumberFormat="1" applyFont="1" applyFill="1" applyBorder="1" applyAlignment="1" applyProtection="1">
      <alignment horizontal="right"/>
    </xf>
    <xf numFmtId="3" fontId="2" fillId="19" borderId="172" xfId="0" applyNumberFormat="1" applyFont="1" applyFill="1" applyBorder="1" applyAlignment="1" applyProtection="1">
      <alignment horizontal="right"/>
    </xf>
    <xf numFmtId="3" fontId="46" fillId="19" borderId="11" xfId="0" applyNumberFormat="1" applyFont="1" applyFill="1" applyBorder="1" applyAlignment="1" applyProtection="1">
      <alignment horizontal="right"/>
    </xf>
    <xf numFmtId="3" fontId="42" fillId="19" borderId="0" xfId="0" applyNumberFormat="1" applyFont="1" applyFill="1" applyBorder="1" applyAlignment="1" applyProtection="1">
      <alignment horizontal="right"/>
    </xf>
    <xf numFmtId="3" fontId="2" fillId="19" borderId="86" xfId="0" applyNumberFormat="1" applyFont="1" applyFill="1" applyBorder="1" applyAlignment="1" applyProtection="1">
      <alignment horizontal="right"/>
    </xf>
    <xf numFmtId="3" fontId="46" fillId="19" borderId="39" xfId="0" applyNumberFormat="1" applyFont="1" applyFill="1" applyBorder="1" applyAlignment="1" applyProtection="1">
      <alignment horizontal="right"/>
    </xf>
    <xf numFmtId="3" fontId="42" fillId="19" borderId="39" xfId="0" applyNumberFormat="1" applyFont="1" applyFill="1" applyBorder="1" applyAlignment="1" applyProtection="1">
      <alignment horizontal="right"/>
    </xf>
    <xf numFmtId="3" fontId="2" fillId="19" borderId="2" xfId="0" applyNumberFormat="1" applyFont="1" applyFill="1" applyBorder="1" applyAlignment="1" applyProtection="1">
      <alignment horizontal="right"/>
    </xf>
    <xf numFmtId="3" fontId="3" fillId="19" borderId="121" xfId="0" applyNumberFormat="1" applyFont="1" applyFill="1" applyBorder="1" applyAlignment="1" applyProtection="1">
      <alignment horizontal="left"/>
    </xf>
    <xf numFmtId="3" fontId="42" fillId="19" borderId="59" xfId="0" applyNumberFormat="1" applyFont="1" applyFill="1" applyBorder="1" applyAlignment="1" applyProtection="1">
      <alignment horizontal="left"/>
    </xf>
    <xf numFmtId="3" fontId="42" fillId="19" borderId="41" xfId="0" applyNumberFormat="1" applyFont="1" applyFill="1" applyBorder="1" applyAlignment="1" applyProtection="1">
      <alignment horizontal="left"/>
    </xf>
    <xf numFmtId="3" fontId="3" fillId="19" borderId="52" xfId="0" applyNumberFormat="1" applyFont="1" applyFill="1" applyBorder="1" applyAlignment="1" applyProtection="1">
      <alignment horizontal="left"/>
    </xf>
    <xf numFmtId="3" fontId="2" fillId="19" borderId="25" xfId="0" applyNumberFormat="1" applyFont="1" applyFill="1" applyBorder="1" applyAlignment="1" applyProtection="1">
      <alignment horizontal="right"/>
    </xf>
    <xf numFmtId="3" fontId="46" fillId="19" borderId="13" xfId="0" quotePrefix="1" applyNumberFormat="1" applyFont="1" applyFill="1" applyBorder="1" applyAlignment="1" applyProtection="1">
      <alignment horizontal="right"/>
    </xf>
    <xf numFmtId="3" fontId="42" fillId="19" borderId="80" xfId="0" applyNumberFormat="1" applyFont="1" applyFill="1" applyBorder="1" applyAlignment="1" applyProtection="1">
      <alignment horizontal="right"/>
    </xf>
    <xf numFmtId="3" fontId="3" fillId="19" borderId="57" xfId="0" applyNumberFormat="1" applyFont="1" applyFill="1" applyBorder="1" applyAlignment="1" applyProtection="1">
      <alignment horizontal="left"/>
    </xf>
    <xf numFmtId="3" fontId="43" fillId="19" borderId="15" xfId="0" applyNumberFormat="1" applyFont="1" applyFill="1" applyBorder="1" applyAlignment="1" applyProtection="1">
      <alignment horizontal="right"/>
    </xf>
    <xf numFmtId="3" fontId="46" fillId="19" borderId="15" xfId="0" applyNumberFormat="1" applyFont="1" applyFill="1" applyBorder="1" applyAlignment="1" applyProtection="1">
      <alignment horizontal="right"/>
    </xf>
    <xf numFmtId="3" fontId="43" fillId="19" borderId="25" xfId="0" applyNumberFormat="1" applyFont="1" applyFill="1" applyBorder="1" applyAlignment="1" applyProtection="1">
      <alignment horizontal="right"/>
    </xf>
    <xf numFmtId="3" fontId="46" fillId="19" borderId="25" xfId="0" applyNumberFormat="1" applyFont="1" applyFill="1" applyBorder="1" applyAlignment="1" applyProtection="1">
      <alignment horizontal="right"/>
    </xf>
    <xf numFmtId="0" fontId="113" fillId="0" borderId="0" xfId="5" applyFont="1" applyFill="1" applyAlignment="1" applyProtection="1"/>
    <xf numFmtId="3" fontId="2" fillId="9" borderId="20" xfId="0" applyNumberFormat="1" applyFont="1" applyFill="1" applyBorder="1" applyProtection="1"/>
    <xf numFmtId="3" fontId="2" fillId="9" borderId="19" xfId="0" applyNumberFormat="1" applyFont="1" applyFill="1" applyBorder="1" applyProtection="1"/>
    <xf numFmtId="0" fontId="114" fillId="0" borderId="0" xfId="5" applyFont="1" applyFill="1" applyBorder="1" applyAlignment="1" applyProtection="1"/>
    <xf numFmtId="49" fontId="114" fillId="0" borderId="0" xfId="5" applyNumberFormat="1" applyFont="1" applyAlignment="1" applyProtection="1">
      <alignment horizontal="left"/>
    </xf>
    <xf numFmtId="0" fontId="114" fillId="0" borderId="0" xfId="5" applyFont="1" applyFill="1" applyAlignment="1" applyProtection="1"/>
    <xf numFmtId="0" fontId="114" fillId="2" borderId="0" xfId="5" applyFont="1" applyFill="1" applyAlignment="1" applyProtection="1">
      <alignment vertical="top"/>
    </xf>
    <xf numFmtId="172" fontId="35" fillId="0" borderId="0" xfId="0" applyNumberFormat="1" applyFont="1" applyFill="1" applyBorder="1" applyAlignment="1" applyProtection="1">
      <alignment horizontal="left" vertical="justify" wrapText="1"/>
    </xf>
    <xf numFmtId="0" fontId="3" fillId="19" borderId="118" xfId="0" applyFont="1" applyFill="1" applyBorder="1" applyAlignment="1" applyProtection="1">
      <alignment horizontal="right"/>
    </xf>
    <xf numFmtId="0" fontId="8" fillId="19" borderId="130" xfId="0" applyFont="1" applyFill="1" applyBorder="1" applyAlignment="1" applyProtection="1">
      <alignment horizontal="center"/>
    </xf>
    <xf numFmtId="0" fontId="3" fillId="19" borderId="98" xfId="0" applyFont="1" applyFill="1" applyBorder="1" applyAlignment="1" applyProtection="1">
      <alignment horizontal="center"/>
    </xf>
    <xf numFmtId="0" fontId="8" fillId="0" borderId="124" xfId="0" applyFont="1" applyFill="1" applyBorder="1" applyAlignment="1" applyProtection="1">
      <alignment horizontal="center"/>
    </xf>
    <xf numFmtId="0" fontId="3" fillId="0" borderId="124" xfId="0" applyFont="1" applyFill="1" applyBorder="1" applyAlignment="1" applyProtection="1">
      <alignment horizontal="right"/>
    </xf>
    <xf numFmtId="9" fontId="3" fillId="0" borderId="124" xfId="0" applyNumberFormat="1" applyFont="1" applyFill="1" applyBorder="1" applyAlignment="1" applyProtection="1">
      <alignment horizontal="right"/>
    </xf>
    <xf numFmtId="0" fontId="35" fillId="0" borderId="0" xfId="0" applyFont="1" applyFill="1" applyAlignment="1" applyProtection="1">
      <alignment horizontal="right"/>
    </xf>
    <xf numFmtId="0" fontId="0" fillId="0" borderId="0" xfId="0" applyBorder="1" applyAlignment="1"/>
    <xf numFmtId="49" fontId="22" fillId="2" borderId="124" xfId="0" applyNumberFormat="1" applyFont="1" applyFill="1" applyBorder="1" applyProtection="1"/>
    <xf numFmtId="0" fontId="22" fillId="2" borderId="124" xfId="0" applyFont="1" applyFill="1" applyBorder="1" applyProtection="1"/>
    <xf numFmtId="0" fontId="8" fillId="2" borderId="124"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xf numFmtId="0" fontId="22" fillId="2" borderId="0" xfId="0" applyFont="1" applyFill="1" applyBorder="1" applyAlignment="1" applyProtection="1">
      <alignment vertical="top"/>
    </xf>
    <xf numFmtId="0" fontId="0" fillId="0" borderId="0" xfId="0" applyBorder="1" applyAlignment="1">
      <alignment vertical="top"/>
    </xf>
    <xf numFmtId="0" fontId="2" fillId="0" borderId="67" xfId="0" applyFont="1" applyFill="1" applyBorder="1" applyAlignment="1" applyProtection="1">
      <alignment vertical="top"/>
    </xf>
    <xf numFmtId="0" fontId="2" fillId="0" borderId="1" xfId="0" applyFont="1" applyFill="1" applyBorder="1" applyAlignment="1" applyProtection="1">
      <alignment vertical="top"/>
    </xf>
    <xf numFmtId="0" fontId="2" fillId="0" borderId="0" xfId="0" applyFont="1" applyBorder="1" applyAlignment="1" applyProtection="1">
      <alignment vertical="top" wrapText="1"/>
    </xf>
    <xf numFmtId="0" fontId="0" fillId="0" borderId="0" xfId="0" applyBorder="1" applyAlignment="1" applyProtection="1">
      <alignment vertical="top" wrapText="1"/>
    </xf>
    <xf numFmtId="0" fontId="0" fillId="0" borderId="0" xfId="0" applyBorder="1" applyAlignment="1" applyProtection="1">
      <alignment wrapText="1"/>
    </xf>
    <xf numFmtId="0" fontId="36" fillId="0" borderId="58" xfId="0" applyFont="1" applyFill="1" applyBorder="1" applyProtection="1"/>
    <xf numFmtId="0" fontId="36" fillId="0" borderId="0" xfId="0" applyFont="1" applyFill="1" applyProtection="1"/>
    <xf numFmtId="0" fontId="122" fillId="0" borderId="0" xfId="0" applyFont="1" applyFill="1" applyProtection="1"/>
    <xf numFmtId="0" fontId="5" fillId="19" borderId="42" xfId="0" applyFont="1" applyFill="1" applyBorder="1" applyAlignment="1" applyProtection="1">
      <alignment wrapText="1"/>
    </xf>
    <xf numFmtId="3" fontId="2" fillId="26" borderId="18" xfId="0" applyNumberFormat="1" applyFont="1" applyFill="1" applyBorder="1" applyAlignment="1" applyProtection="1">
      <alignment horizontal="right"/>
    </xf>
    <xf numFmtId="3" fontId="35" fillId="19" borderId="136" xfId="6" quotePrefix="1" applyNumberFormat="1" applyFont="1" applyFill="1" applyBorder="1" applyProtection="1"/>
    <xf numFmtId="3" fontId="35" fillId="19" borderId="9" xfId="6" quotePrefix="1" applyNumberFormat="1" applyFont="1" applyFill="1" applyBorder="1" applyProtection="1"/>
    <xf numFmtId="3" fontId="2" fillId="19" borderId="157" xfId="0" applyNumberFormat="1" applyFont="1" applyFill="1" applyBorder="1" applyAlignment="1" applyProtection="1">
      <alignment horizontal="right"/>
    </xf>
    <xf numFmtId="3" fontId="2" fillId="19" borderId="118" xfId="0" applyNumberFormat="1" applyFont="1" applyFill="1" applyBorder="1" applyAlignment="1" applyProtection="1">
      <alignment horizontal="right"/>
    </xf>
    <xf numFmtId="3" fontId="2" fillId="19" borderId="13" xfId="0" applyNumberFormat="1" applyFont="1" applyFill="1" applyBorder="1" applyAlignment="1" applyProtection="1">
      <alignment horizontal="right"/>
    </xf>
    <xf numFmtId="0" fontId="124" fillId="0" borderId="0" xfId="0" applyFont="1" applyFill="1" applyProtection="1"/>
    <xf numFmtId="0" fontId="125" fillId="2" borderId="0" xfId="0" applyFont="1" applyFill="1" applyAlignment="1" applyProtection="1">
      <alignment horizontal="left"/>
    </xf>
    <xf numFmtId="0" fontId="9" fillId="0" borderId="0" xfId="0" applyFont="1" applyProtection="1"/>
    <xf numFmtId="0" fontId="35" fillId="19" borderId="0" xfId="0" applyFont="1" applyFill="1" applyBorder="1" applyAlignment="1" applyProtection="1"/>
    <xf numFmtId="0" fontId="35" fillId="19" borderId="39" xfId="0" applyFont="1" applyFill="1" applyBorder="1" applyAlignment="1" applyProtection="1"/>
    <xf numFmtId="49" fontId="2" fillId="10" borderId="139" xfId="0" applyNumberFormat="1" applyFont="1" applyFill="1" applyBorder="1" applyAlignment="1" applyProtection="1"/>
    <xf numFmtId="0" fontId="35" fillId="19" borderId="58" xfId="0" applyFont="1" applyFill="1" applyBorder="1" applyProtection="1"/>
    <xf numFmtId="0" fontId="126" fillId="7" borderId="0" xfId="0" applyFont="1" applyFill="1" applyProtection="1"/>
    <xf numFmtId="1" fontId="3" fillId="19" borderId="200" xfId="0" applyNumberFormat="1" applyFont="1" applyFill="1" applyBorder="1" applyAlignment="1" applyProtection="1">
      <alignment horizontal="center" wrapText="1"/>
    </xf>
    <xf numFmtId="0" fontId="1" fillId="0" borderId="0" xfId="0" applyFont="1" applyFill="1" applyProtection="1"/>
    <xf numFmtId="0" fontId="41" fillId="0" borderId="0" xfId="0" applyFont="1" applyFill="1" applyBorder="1" applyAlignment="1" applyProtection="1">
      <alignment horizontal="center"/>
    </xf>
    <xf numFmtId="3" fontId="82" fillId="0" borderId="0" xfId="0" applyNumberFormat="1" applyFont="1" applyFill="1" applyBorder="1" applyAlignment="1" applyProtection="1">
      <alignment horizontal="center"/>
    </xf>
    <xf numFmtId="0" fontId="39" fillId="0" borderId="0" xfId="0" applyFont="1" applyFill="1" applyProtection="1"/>
    <xf numFmtId="3" fontId="122" fillId="0" borderId="0" xfId="0" quotePrefix="1" applyNumberFormat="1" applyFont="1" applyFill="1" applyBorder="1" applyAlignment="1" applyProtection="1">
      <alignment horizontal="left"/>
    </xf>
    <xf numFmtId="49" fontId="3" fillId="0" borderId="0" xfId="0" applyNumberFormat="1" applyFont="1" applyFill="1" applyBorder="1" applyAlignment="1" applyProtection="1">
      <alignment horizontal="left"/>
    </xf>
    <xf numFmtId="1" fontId="5" fillId="0" borderId="0" xfId="0" applyNumberFormat="1" applyFont="1" applyFill="1" applyBorder="1" applyAlignment="1" applyProtection="1">
      <alignment horizontal="left"/>
    </xf>
    <xf numFmtId="0" fontId="96" fillId="0" borderId="0" xfId="0" applyFont="1" applyFill="1" applyProtection="1"/>
    <xf numFmtId="0" fontId="122" fillId="2" borderId="0" xfId="0" applyFont="1" applyFill="1" applyProtection="1"/>
    <xf numFmtId="0" fontId="5" fillId="19" borderId="70" xfId="0" applyFont="1" applyFill="1" applyBorder="1" applyAlignment="1" applyProtection="1">
      <alignment horizontal="left"/>
    </xf>
    <xf numFmtId="166" fontId="46" fillId="19" borderId="0" xfId="0" applyNumberFormat="1" applyFont="1" applyFill="1" applyBorder="1" applyProtection="1"/>
    <xf numFmtId="3" fontId="46" fillId="20" borderId="0" xfId="0" applyNumberFormat="1" applyFont="1" applyFill="1" applyBorder="1" applyAlignment="1" applyProtection="1">
      <alignment horizontal="right"/>
    </xf>
    <xf numFmtId="3" fontId="46" fillId="21" borderId="0" xfId="0" applyNumberFormat="1" applyFont="1" applyFill="1" applyBorder="1" applyProtection="1"/>
    <xf numFmtId="166" fontId="46" fillId="0" borderId="0" xfId="0" applyNumberFormat="1" applyFont="1" applyFill="1" applyBorder="1" applyProtection="1"/>
    <xf numFmtId="3" fontId="46" fillId="0" borderId="0" xfId="0" applyNumberFormat="1" applyFont="1" applyFill="1" applyBorder="1" applyAlignment="1" applyProtection="1">
      <alignment horizontal="right"/>
    </xf>
    <xf numFmtId="3" fontId="46" fillId="0" borderId="0" xfId="0" applyNumberFormat="1" applyFont="1" applyFill="1" applyBorder="1" applyProtection="1"/>
    <xf numFmtId="3" fontId="46" fillId="20" borderId="122" xfId="0" applyNumberFormat="1" applyFont="1" applyFill="1" applyBorder="1" applyProtection="1"/>
    <xf numFmtId="3" fontId="10" fillId="0" borderId="10" xfId="0" applyNumberFormat="1" applyFont="1" applyFill="1" applyBorder="1" applyAlignment="1" applyProtection="1">
      <alignment horizontal="right"/>
      <protection locked="0"/>
    </xf>
    <xf numFmtId="3" fontId="13" fillId="0" borderId="72" xfId="0" applyNumberFormat="1" applyFont="1" applyFill="1" applyBorder="1" applyAlignment="1" applyProtection="1">
      <alignment horizontal="right"/>
      <protection locked="0"/>
    </xf>
    <xf numFmtId="49" fontId="8" fillId="19" borderId="201" xfId="0" applyNumberFormat="1" applyFont="1" applyFill="1" applyBorder="1" applyAlignment="1" applyProtection="1">
      <alignment horizontal="center"/>
    </xf>
    <xf numFmtId="1" fontId="8" fillId="19" borderId="202" xfId="0" applyNumberFormat="1" applyFont="1" applyFill="1" applyBorder="1" applyAlignment="1" applyProtection="1">
      <alignment horizontal="center"/>
    </xf>
    <xf numFmtId="1" fontId="8" fillId="19" borderId="202" xfId="0" applyNumberFormat="1" applyFont="1" applyFill="1" applyBorder="1" applyAlignment="1" applyProtection="1">
      <alignment horizontal="left"/>
    </xf>
    <xf numFmtId="3" fontId="13" fillId="2" borderId="203" xfId="0" applyNumberFormat="1" applyFont="1" applyFill="1" applyBorder="1" applyAlignment="1" applyProtection="1">
      <alignment horizontal="right"/>
      <protection locked="0"/>
    </xf>
    <xf numFmtId="0" fontId="3" fillId="19" borderId="82" xfId="0" applyFont="1" applyFill="1" applyBorder="1" applyAlignment="1" applyProtection="1">
      <alignment horizontal="left" wrapText="1"/>
    </xf>
    <xf numFmtId="0" fontId="3" fillId="19" borderId="117" xfId="0" applyFont="1" applyFill="1" applyBorder="1" applyAlignment="1" applyProtection="1">
      <alignment horizontal="left" vertical="top" wrapText="1"/>
    </xf>
    <xf numFmtId="0" fontId="33" fillId="19" borderId="169" xfId="0" applyFont="1" applyFill="1" applyBorder="1" applyAlignment="1" applyProtection="1">
      <alignment horizontal="left" vertical="top" wrapText="1"/>
    </xf>
    <xf numFmtId="0" fontId="22" fillId="19" borderId="159" xfId="0" applyFont="1" applyFill="1" applyBorder="1" applyAlignment="1" applyProtection="1">
      <alignment horizontal="left" wrapText="1"/>
    </xf>
    <xf numFmtId="0" fontId="3" fillId="19" borderId="158" xfId="0" applyFont="1" applyFill="1" applyBorder="1" applyAlignment="1" applyProtection="1">
      <alignment vertical="top" wrapText="1"/>
    </xf>
    <xf numFmtId="0" fontId="3" fillId="19" borderId="136" xfId="0" applyFont="1" applyFill="1" applyBorder="1" applyAlignment="1" applyProtection="1">
      <alignment horizontal="left" vertical="top" wrapText="1"/>
    </xf>
    <xf numFmtId="49" fontId="3" fillId="19" borderId="133" xfId="0" applyNumberFormat="1" applyFont="1" applyFill="1" applyBorder="1" applyAlignment="1" applyProtection="1">
      <alignment horizontal="left"/>
    </xf>
    <xf numFmtId="0" fontId="8" fillId="0" borderId="0" xfId="0" applyFont="1" applyFill="1" applyBorder="1" applyAlignment="1" applyProtection="1">
      <alignment horizontal="center"/>
    </xf>
    <xf numFmtId="3" fontId="2" fillId="3" borderId="40" xfId="0" applyNumberFormat="1" applyFont="1" applyFill="1" applyBorder="1" applyProtection="1"/>
    <xf numFmtId="3" fontId="3" fillId="19" borderId="162" xfId="0" applyNumberFormat="1" applyFont="1" applyFill="1" applyBorder="1" applyAlignment="1" applyProtection="1">
      <alignment horizontal="left" vertical="top" wrapText="1"/>
    </xf>
    <xf numFmtId="0" fontId="3" fillId="19" borderId="56" xfId="0" applyFont="1" applyFill="1" applyBorder="1" applyAlignment="1" applyProtection="1">
      <alignment vertical="top" wrapText="1"/>
    </xf>
    <xf numFmtId="3" fontId="3" fillId="19" borderId="159" xfId="0" applyNumberFormat="1" applyFont="1" applyFill="1" applyBorder="1" applyAlignment="1" applyProtection="1">
      <alignment vertical="top" wrapText="1"/>
    </xf>
    <xf numFmtId="3" fontId="3" fillId="19" borderId="16" xfId="0" applyNumberFormat="1" applyFont="1" applyFill="1" applyBorder="1" applyAlignment="1" applyProtection="1">
      <alignment vertical="top" wrapText="1"/>
    </xf>
    <xf numFmtId="0" fontId="3" fillId="19" borderId="98" xfId="0" applyFont="1" applyFill="1" applyBorder="1" applyAlignment="1" applyProtection="1">
      <alignment vertical="top"/>
    </xf>
    <xf numFmtId="0" fontId="3" fillId="19" borderId="124" xfId="0" applyFont="1" applyFill="1" applyBorder="1" applyAlignment="1" applyProtection="1">
      <alignment vertical="top"/>
    </xf>
    <xf numFmtId="0" fontId="3" fillId="19" borderId="102" xfId="0" applyFont="1" applyFill="1" applyBorder="1" applyAlignment="1" applyProtection="1">
      <alignment vertical="top"/>
    </xf>
    <xf numFmtId="0" fontId="3" fillId="19" borderId="96" xfId="0" applyFont="1" applyFill="1" applyBorder="1" applyAlignment="1" applyProtection="1">
      <alignment vertical="top"/>
    </xf>
    <xf numFmtId="0" fontId="5" fillId="19" borderId="165" xfId="0" applyFont="1" applyFill="1" applyBorder="1" applyAlignment="1" applyProtection="1">
      <alignment vertical="top"/>
    </xf>
    <xf numFmtId="0" fontId="3" fillId="19" borderId="165" xfId="0" applyFont="1" applyFill="1" applyBorder="1" applyAlignment="1" applyProtection="1">
      <alignment vertical="top"/>
    </xf>
    <xf numFmtId="0" fontId="3" fillId="19" borderId="204" xfId="0" applyFont="1" applyFill="1" applyBorder="1" applyAlignment="1" applyProtection="1">
      <alignment vertical="top"/>
    </xf>
    <xf numFmtId="0" fontId="3" fillId="19" borderId="137" xfId="0" applyFont="1" applyFill="1" applyBorder="1" applyAlignment="1" applyProtection="1">
      <alignment vertical="top"/>
    </xf>
    <xf numFmtId="0" fontId="7" fillId="0" borderId="0" xfId="0" applyFont="1" applyFill="1" applyBorder="1" applyAlignment="1" applyProtection="1">
      <alignment vertical="top"/>
    </xf>
    <xf numFmtId="0" fontId="5" fillId="19" borderId="194" xfId="0" applyFont="1" applyFill="1" applyBorder="1" applyAlignment="1" applyProtection="1">
      <alignment vertical="center"/>
    </xf>
    <xf numFmtId="0" fontId="5" fillId="19" borderId="205" xfId="0" applyFont="1" applyFill="1" applyBorder="1" applyAlignment="1" applyProtection="1">
      <alignment vertical="center"/>
    </xf>
    <xf numFmtId="1" fontId="8" fillId="19" borderId="130" xfId="0" applyNumberFormat="1" applyFont="1" applyFill="1" applyBorder="1" applyAlignment="1" applyProtection="1">
      <alignment horizontal="left"/>
    </xf>
    <xf numFmtId="1" fontId="8" fillId="19" borderId="94" xfId="0" applyNumberFormat="1" applyFont="1" applyFill="1" applyBorder="1" applyAlignment="1" applyProtection="1">
      <alignment horizontal="left"/>
    </xf>
    <xf numFmtId="0" fontId="3" fillId="19" borderId="101" xfId="6" applyFont="1" applyFill="1" applyBorder="1" applyAlignment="1" applyProtection="1">
      <alignment horizontal="left" wrapText="1"/>
    </xf>
    <xf numFmtId="9" fontId="46" fillId="19" borderId="35" xfId="0" quotePrefix="1" applyNumberFormat="1" applyFont="1" applyFill="1" applyBorder="1" applyAlignment="1" applyProtection="1">
      <alignment horizontal="right"/>
    </xf>
    <xf numFmtId="9" fontId="46" fillId="19" borderId="5" xfId="0" quotePrefix="1" applyNumberFormat="1" applyFont="1" applyFill="1" applyBorder="1" applyAlignment="1" applyProtection="1">
      <alignment horizontal="right"/>
    </xf>
    <xf numFmtId="9" fontId="46" fillId="19" borderId="9" xfId="0" quotePrefix="1" applyNumberFormat="1" applyFont="1" applyFill="1" applyBorder="1" applyAlignment="1" applyProtection="1">
      <alignment horizontal="right"/>
    </xf>
    <xf numFmtId="9" fontId="46" fillId="19" borderId="25" xfId="0" quotePrefix="1" applyNumberFormat="1" applyFont="1" applyFill="1" applyBorder="1" applyAlignment="1" applyProtection="1">
      <alignment horizontal="right"/>
    </xf>
    <xf numFmtId="0" fontId="3" fillId="19" borderId="56" xfId="6" applyFont="1" applyFill="1" applyBorder="1" applyAlignment="1" applyProtection="1">
      <alignment horizontal="right"/>
    </xf>
    <xf numFmtId="3" fontId="2" fillId="0" borderId="0" xfId="0" applyNumberFormat="1" applyFont="1" applyFill="1" applyBorder="1" applyProtection="1"/>
    <xf numFmtId="0" fontId="19" fillId="0" borderId="0" xfId="6" applyFont="1" applyFill="1" applyBorder="1" applyAlignment="1" applyProtection="1">
      <alignment horizontal="left"/>
    </xf>
    <xf numFmtId="0" fontId="9" fillId="0" borderId="0" xfId="6" applyFont="1" applyFill="1" applyProtection="1"/>
    <xf numFmtId="0" fontId="19" fillId="2" borderId="0" xfId="6" applyNumberFormat="1" applyFont="1" applyFill="1" applyAlignment="1" applyProtection="1">
      <alignment horizontal="left"/>
    </xf>
    <xf numFmtId="0" fontId="9" fillId="0" borderId="0" xfId="6" applyFont="1" applyFill="1" applyBorder="1" applyAlignment="1" applyProtection="1">
      <alignment horizontal="left"/>
    </xf>
    <xf numFmtId="0" fontId="9" fillId="2" borderId="0" xfId="6" applyNumberFormat="1" applyFont="1" applyFill="1" applyAlignment="1" applyProtection="1">
      <alignment horizontal="left"/>
    </xf>
    <xf numFmtId="0" fontId="19" fillId="0" borderId="0" xfId="6" applyFont="1" applyFill="1" applyProtection="1"/>
    <xf numFmtId="3" fontId="3" fillId="19" borderId="160" xfId="6" applyNumberFormat="1" applyFont="1" applyFill="1" applyBorder="1" applyAlignment="1" applyProtection="1">
      <alignment vertical="top"/>
    </xf>
    <xf numFmtId="0" fontId="5" fillId="19" borderId="158" xfId="6" applyFont="1" applyFill="1" applyBorder="1" applyProtection="1"/>
    <xf numFmtId="3" fontId="13" fillId="2" borderId="186" xfId="0" applyNumberFormat="1" applyFont="1" applyFill="1" applyBorder="1" applyAlignment="1" applyProtection="1">
      <alignment horizontal="right"/>
      <protection locked="0"/>
    </xf>
    <xf numFmtId="0" fontId="3" fillId="19" borderId="88" xfId="0" applyFont="1" applyFill="1" applyBorder="1" applyAlignment="1" applyProtection="1">
      <alignment vertical="top" wrapText="1"/>
    </xf>
    <xf numFmtId="0" fontId="3" fillId="19" borderId="118" xfId="0" applyFont="1" applyFill="1" applyBorder="1" applyAlignment="1" applyProtection="1">
      <alignment vertical="top" wrapText="1"/>
    </xf>
    <xf numFmtId="0" fontId="5" fillId="0" borderId="0" xfId="0" applyFont="1" applyFill="1" applyAlignment="1" applyProtection="1">
      <alignment horizontal="right"/>
    </xf>
    <xf numFmtId="0" fontId="122" fillId="0" borderId="0" xfId="0" applyNumberFormat="1" applyFont="1" applyFill="1" applyProtection="1"/>
    <xf numFmtId="0" fontId="122" fillId="0" borderId="39" xfId="0" applyNumberFormat="1" applyFont="1" applyFill="1" applyBorder="1" applyAlignment="1" applyProtection="1">
      <alignment horizontal="left"/>
    </xf>
    <xf numFmtId="0" fontId="125" fillId="0" borderId="0" xfId="0" applyFont="1" applyFill="1" applyAlignment="1" applyProtection="1">
      <alignment horizontal="left"/>
    </xf>
    <xf numFmtId="3" fontId="3" fillId="19" borderId="44" xfId="6" applyNumberFormat="1" applyFont="1" applyFill="1" applyBorder="1" applyAlignment="1" applyProtection="1">
      <alignment vertical="center"/>
    </xf>
    <xf numFmtId="3" fontId="5" fillId="19" borderId="160" xfId="6" applyNumberFormat="1" applyFont="1" applyFill="1" applyBorder="1" applyAlignment="1" applyProtection="1">
      <alignment vertical="top"/>
    </xf>
    <xf numFmtId="3" fontId="115" fillId="19" borderId="15" xfId="0" applyNumberFormat="1" applyFont="1" applyFill="1" applyBorder="1" applyAlignment="1" applyProtection="1">
      <alignment vertical="center"/>
    </xf>
    <xf numFmtId="3" fontId="115" fillId="19" borderId="56" xfId="0" applyNumberFormat="1" applyFont="1" applyFill="1" applyBorder="1" applyAlignment="1" applyProtection="1">
      <alignment vertical="center"/>
    </xf>
    <xf numFmtId="0" fontId="5" fillId="19" borderId="124" xfId="0" applyFont="1" applyFill="1" applyBorder="1" applyProtection="1"/>
    <xf numFmtId="49" fontId="5" fillId="19" borderId="98" xfId="0" applyNumberFormat="1" applyFont="1" applyFill="1" applyBorder="1" applyAlignment="1" applyProtection="1">
      <alignment horizontal="left"/>
    </xf>
    <xf numFmtId="49" fontId="5" fillId="19" borderId="127" xfId="0" applyNumberFormat="1" applyFont="1" applyFill="1" applyBorder="1" applyAlignment="1" applyProtection="1">
      <alignment horizontal="left" vertical="top"/>
    </xf>
    <xf numFmtId="49" fontId="2" fillId="10" borderId="159" xfId="0" applyNumberFormat="1" applyFont="1" applyFill="1" applyBorder="1" applyAlignment="1" applyProtection="1"/>
    <xf numFmtId="0" fontId="0" fillId="0" borderId="0" xfId="0" applyFill="1" applyAlignment="1" applyProtection="1">
      <alignment vertical="top"/>
    </xf>
    <xf numFmtId="0" fontId="122" fillId="0" borderId="0" xfId="0" applyFont="1" applyFill="1" applyBorder="1" applyAlignment="1" applyProtection="1">
      <alignment horizontal="right"/>
    </xf>
    <xf numFmtId="0" fontId="99" fillId="0" borderId="0" xfId="0" applyFont="1" applyFill="1" applyProtection="1"/>
    <xf numFmtId="0" fontId="5" fillId="0" borderId="0" xfId="0" applyFont="1" applyFill="1" applyBorder="1" applyAlignment="1" applyProtection="1">
      <alignment horizontal="center"/>
    </xf>
    <xf numFmtId="0" fontId="122" fillId="0" borderId="0" xfId="0" applyFont="1" applyFill="1" applyBorder="1" applyAlignment="1" applyProtection="1">
      <alignment horizontal="left"/>
    </xf>
    <xf numFmtId="9" fontId="122" fillId="0" borderId="0" xfId="0" applyNumberFormat="1" applyFont="1" applyFill="1" applyBorder="1" applyAlignment="1" applyProtection="1">
      <alignment horizontal="right"/>
    </xf>
    <xf numFmtId="0" fontId="3" fillId="0" borderId="0" xfId="0" applyFont="1" applyFill="1" applyBorder="1" applyAlignment="1" applyProtection="1">
      <alignment horizontal="center"/>
    </xf>
    <xf numFmtId="1" fontId="5" fillId="0" borderId="0" xfId="0" applyNumberFormat="1" applyFont="1" applyFill="1" applyBorder="1" applyAlignment="1" applyProtection="1">
      <alignment horizontal="center"/>
    </xf>
    <xf numFmtId="0" fontId="5" fillId="0" borderId="0" xfId="0" applyFont="1" applyFill="1" applyBorder="1" applyAlignment="1" applyProtection="1"/>
    <xf numFmtId="0" fontId="5" fillId="0" borderId="0" xfId="0" applyFont="1" applyFill="1" applyBorder="1" applyAlignment="1" applyProtection="1">
      <alignment horizontal="right"/>
    </xf>
    <xf numFmtId="0" fontId="103" fillId="0" borderId="0" xfId="0" applyFont="1" applyFill="1" applyBorder="1" applyProtection="1"/>
    <xf numFmtId="0" fontId="7" fillId="0" borderId="0" xfId="0" applyFont="1" applyFill="1" applyBorder="1" applyAlignment="1" applyProtection="1"/>
    <xf numFmtId="3" fontId="5" fillId="0" borderId="0" xfId="0" applyNumberFormat="1" applyFont="1" applyFill="1" applyBorder="1" applyProtection="1"/>
    <xf numFmtId="3" fontId="5" fillId="0" borderId="0" xfId="0" applyNumberFormat="1" applyFont="1" applyFill="1" applyBorder="1" applyAlignment="1" applyProtection="1">
      <alignment horizontal="center" vertical="center" wrapText="1"/>
    </xf>
    <xf numFmtId="49" fontId="3" fillId="19" borderId="9" xfId="0" applyNumberFormat="1" applyFont="1" applyFill="1" applyBorder="1" applyAlignment="1" applyProtection="1">
      <alignment horizontal="left"/>
    </xf>
    <xf numFmtId="1" fontId="3" fillId="0" borderId="0" xfId="0" applyNumberFormat="1" applyFont="1" applyFill="1" applyBorder="1" applyAlignment="1" applyProtection="1">
      <alignment horizontal="center"/>
    </xf>
    <xf numFmtId="1" fontId="3" fillId="0" borderId="0" xfId="0" applyNumberFormat="1" applyFont="1" applyFill="1" applyBorder="1" applyAlignment="1" applyProtection="1">
      <alignment horizontal="left"/>
    </xf>
    <xf numFmtId="49" fontId="3" fillId="0" borderId="0" xfId="0" applyNumberFormat="1" applyFont="1" applyFill="1" applyBorder="1" applyAlignment="1" applyProtection="1">
      <alignment horizontal="center"/>
    </xf>
    <xf numFmtId="49" fontId="8" fillId="0" borderId="0" xfId="0" applyNumberFormat="1" applyFont="1" applyFill="1" applyBorder="1" applyAlignment="1" applyProtection="1">
      <alignment horizontal="left"/>
    </xf>
    <xf numFmtId="3" fontId="3" fillId="19" borderId="75" xfId="0" applyNumberFormat="1" applyFont="1" applyFill="1" applyBorder="1" applyAlignment="1" applyProtection="1"/>
    <xf numFmtId="3" fontId="8" fillId="19" borderId="76" xfId="0" applyNumberFormat="1" applyFont="1" applyFill="1" applyBorder="1" applyAlignment="1" applyProtection="1"/>
    <xf numFmtId="3" fontId="8" fillId="19" borderId="92" xfId="0" applyNumberFormat="1" applyFont="1" applyFill="1" applyBorder="1" applyAlignment="1" applyProtection="1"/>
    <xf numFmtId="3" fontId="2" fillId="0" borderId="206" xfId="0" applyNumberFormat="1" applyFont="1" applyFill="1" applyBorder="1" applyAlignment="1" applyProtection="1">
      <alignment horizontal="right"/>
      <protection locked="0"/>
    </xf>
    <xf numFmtId="49" fontId="3" fillId="0" borderId="0" xfId="10" applyNumberFormat="1" applyFont="1" applyFill="1" applyAlignment="1" applyProtection="1">
      <alignment horizontal="left"/>
    </xf>
    <xf numFmtId="0" fontId="3" fillId="19" borderId="207" xfId="0" applyFont="1" applyFill="1" applyBorder="1" applyAlignment="1" applyProtection="1">
      <alignment horizontal="left"/>
    </xf>
    <xf numFmtId="1" fontId="3" fillId="19" borderId="25" xfId="0" applyNumberFormat="1" applyFont="1" applyFill="1" applyBorder="1" applyAlignment="1" applyProtection="1">
      <alignment horizontal="left"/>
    </xf>
    <xf numFmtId="0" fontId="8" fillId="19" borderId="84" xfId="0" applyFont="1" applyFill="1" applyBorder="1" applyProtection="1"/>
    <xf numFmtId="0" fontId="3" fillId="19" borderId="70" xfId="0" applyFont="1" applyFill="1" applyBorder="1" applyProtection="1"/>
    <xf numFmtId="0" fontId="5" fillId="19" borderId="13" xfId="0" applyFont="1" applyFill="1" applyBorder="1" applyAlignment="1" applyProtection="1">
      <alignment vertical="top" wrapText="1"/>
    </xf>
    <xf numFmtId="0" fontId="14" fillId="19" borderId="25" xfId="0" applyFont="1" applyFill="1" applyBorder="1" applyProtection="1"/>
    <xf numFmtId="0" fontId="5" fillId="19" borderId="84" xfId="0" applyFont="1" applyFill="1" applyBorder="1" applyAlignment="1" applyProtection="1">
      <alignment wrapText="1"/>
    </xf>
    <xf numFmtId="1" fontId="3" fillId="19" borderId="13" xfId="0" applyNumberFormat="1" applyFont="1" applyFill="1" applyBorder="1" applyAlignment="1" applyProtection="1">
      <alignment horizontal="center"/>
    </xf>
    <xf numFmtId="0" fontId="3" fillId="19" borderId="13" xfId="0" applyFont="1" applyFill="1" applyBorder="1" applyProtection="1"/>
    <xf numFmtId="1" fontId="8" fillId="0" borderId="0" xfId="0" applyNumberFormat="1" applyFont="1" applyFill="1" applyBorder="1" applyAlignment="1" applyProtection="1">
      <alignment horizontal="center"/>
    </xf>
    <xf numFmtId="1" fontId="3" fillId="0" borderId="0" xfId="0" applyNumberFormat="1" applyFont="1" applyFill="1" applyBorder="1" applyAlignment="1" applyProtection="1">
      <alignment horizontal="center" vertical="center" wrapText="1"/>
    </xf>
    <xf numFmtId="0" fontId="3" fillId="0" borderId="58" xfId="0" applyFont="1" applyFill="1" applyBorder="1" applyAlignment="1" applyProtection="1">
      <alignment horizontal="center"/>
    </xf>
    <xf numFmtId="0" fontId="3" fillId="0" borderId="58" xfId="0" applyFont="1" applyFill="1" applyBorder="1" applyAlignment="1" applyProtection="1">
      <alignment horizontal="left"/>
    </xf>
    <xf numFmtId="0" fontId="14" fillId="0" borderId="58" xfId="0" applyFont="1" applyFill="1" applyBorder="1" applyProtection="1"/>
    <xf numFmtId="0" fontId="127" fillId="2" borderId="0" xfId="0" applyFont="1" applyFill="1" applyBorder="1" applyProtection="1"/>
    <xf numFmtId="0" fontId="127" fillId="27" borderId="0" xfId="0" applyFont="1" applyFill="1" applyProtection="1"/>
    <xf numFmtId="0" fontId="127" fillId="2" borderId="0" xfId="0" applyFont="1" applyFill="1" applyProtection="1"/>
    <xf numFmtId="0" fontId="5" fillId="19" borderId="194" xfId="6" applyFont="1" applyFill="1" applyBorder="1" applyProtection="1"/>
    <xf numFmtId="3" fontId="5" fillId="19" borderId="158" xfId="6" applyNumberFormat="1" applyFont="1" applyFill="1" applyBorder="1" applyProtection="1"/>
    <xf numFmtId="0" fontId="5" fillId="19" borderId="117" xfId="6" applyFont="1" applyFill="1" applyBorder="1" applyProtection="1"/>
    <xf numFmtId="0" fontId="12" fillId="19" borderId="160" xfId="6" applyFont="1" applyFill="1" applyBorder="1" applyProtection="1"/>
    <xf numFmtId="0" fontId="3" fillId="19" borderId="16" xfId="6" applyFont="1" applyFill="1" applyBorder="1" applyAlignment="1" applyProtection="1">
      <alignment vertical="top" wrapText="1"/>
    </xf>
    <xf numFmtId="3" fontId="5" fillId="19" borderId="160" xfId="0" applyNumberFormat="1" applyFont="1" applyFill="1" applyBorder="1" applyAlignment="1" applyProtection="1">
      <alignment vertical="top"/>
    </xf>
    <xf numFmtId="3" fontId="3" fillId="19" borderId="94" xfId="6" applyNumberFormat="1" applyFont="1" applyFill="1" applyBorder="1" applyAlignment="1" applyProtection="1"/>
    <xf numFmtId="167" fontId="9" fillId="0" borderId="0" xfId="0" applyNumberFormat="1" applyFont="1" applyFill="1" applyBorder="1" applyProtection="1"/>
    <xf numFmtId="0" fontId="107" fillId="0" borderId="0" xfId="0" applyFont="1" applyFill="1" applyBorder="1" applyProtection="1"/>
    <xf numFmtId="0" fontId="107" fillId="0" borderId="0" xfId="0" applyFont="1" applyFill="1" applyBorder="1" applyAlignment="1" applyProtection="1">
      <alignment horizontal="center"/>
    </xf>
    <xf numFmtId="0" fontId="3" fillId="19" borderId="156" xfId="0" applyFont="1" applyFill="1" applyBorder="1" applyAlignment="1" applyProtection="1">
      <alignment horizontal="left" vertical="top" wrapText="1"/>
    </xf>
    <xf numFmtId="0" fontId="3" fillId="19" borderId="91" xfId="0" applyFont="1" applyFill="1" applyBorder="1" applyAlignment="1" applyProtection="1">
      <alignment horizontal="left" vertical="top"/>
    </xf>
    <xf numFmtId="3" fontId="8" fillId="19" borderId="26" xfId="0" applyNumberFormat="1" applyFont="1" applyFill="1" applyBorder="1" applyProtection="1"/>
    <xf numFmtId="3" fontId="3" fillId="19" borderId="26" xfId="0" applyNumberFormat="1" applyFont="1" applyFill="1" applyBorder="1" applyAlignment="1" applyProtection="1">
      <alignment vertical="top" wrapText="1"/>
    </xf>
    <xf numFmtId="0" fontId="15" fillId="19" borderId="160" xfId="0" applyFont="1" applyFill="1" applyBorder="1" applyAlignment="1" applyProtection="1">
      <alignment vertical="top" wrapText="1"/>
    </xf>
    <xf numFmtId="0" fontId="3" fillId="19" borderId="175" xfId="0" applyFont="1" applyFill="1" applyBorder="1" applyAlignment="1" applyProtection="1">
      <alignment horizontal="left" wrapText="1"/>
    </xf>
    <xf numFmtId="0" fontId="15" fillId="19" borderId="159" xfId="0" applyFont="1" applyFill="1" applyBorder="1" applyAlignment="1" applyProtection="1">
      <alignment vertical="top" wrapText="1"/>
    </xf>
    <xf numFmtId="0" fontId="34" fillId="2" borderId="0" xfId="0" applyNumberFormat="1" applyFont="1" applyFill="1" applyBorder="1" applyAlignment="1" applyProtection="1">
      <alignment horizontal="center"/>
    </xf>
    <xf numFmtId="0" fontId="3" fillId="19" borderId="16" xfId="6" applyFont="1" applyFill="1" applyBorder="1" applyAlignment="1" applyProtection="1">
      <alignment horizontal="left" vertical="center" wrapText="1"/>
    </xf>
    <xf numFmtId="0" fontId="5" fillId="19" borderId="195" xfId="6" applyFont="1" applyFill="1" applyBorder="1" applyProtection="1"/>
    <xf numFmtId="0" fontId="123" fillId="2" borderId="0" xfId="0" applyFont="1" applyFill="1" applyProtection="1"/>
    <xf numFmtId="3" fontId="3" fillId="19" borderId="162" xfId="0" applyNumberFormat="1" applyFont="1" applyFill="1" applyBorder="1" applyAlignment="1" applyProtection="1">
      <alignment horizontal="left" vertical="top"/>
    </xf>
    <xf numFmtId="3" fontId="2" fillId="2" borderId="3" xfId="0" applyNumberFormat="1" applyFont="1" applyFill="1" applyBorder="1" applyAlignment="1" applyProtection="1">
      <alignment horizontal="right"/>
      <protection locked="0"/>
    </xf>
    <xf numFmtId="3" fontId="2" fillId="3" borderId="3" xfId="0" applyNumberFormat="1" applyFont="1" applyFill="1" applyBorder="1" applyAlignment="1" applyProtection="1">
      <alignment horizontal="right"/>
    </xf>
    <xf numFmtId="3" fontId="2" fillId="2" borderId="28" xfId="0" applyNumberFormat="1" applyFont="1" applyFill="1" applyBorder="1" applyAlignment="1" applyProtection="1">
      <alignment horizontal="right"/>
      <protection locked="0"/>
    </xf>
    <xf numFmtId="3" fontId="2" fillId="3" borderId="103" xfId="0" applyNumberFormat="1" applyFont="1" applyFill="1" applyBorder="1" applyAlignment="1" applyProtection="1">
      <alignment horizontal="right"/>
    </xf>
    <xf numFmtId="3" fontId="3" fillId="19" borderId="78" xfId="0" applyNumberFormat="1" applyFont="1" applyFill="1" applyBorder="1" applyProtection="1"/>
    <xf numFmtId="3" fontId="5" fillId="0" borderId="58" xfId="0" applyNumberFormat="1" applyFont="1" applyFill="1" applyBorder="1" applyProtection="1"/>
    <xf numFmtId="3" fontId="5" fillId="0" borderId="57" xfId="0" applyNumberFormat="1" applyFont="1" applyFill="1" applyBorder="1" applyProtection="1"/>
    <xf numFmtId="0" fontId="22" fillId="2" borderId="58" xfId="0" applyFont="1" applyFill="1" applyBorder="1" applyProtection="1"/>
    <xf numFmtId="3" fontId="46" fillId="20" borderId="131" xfId="0" applyNumberFormat="1" applyFont="1" applyFill="1" applyBorder="1" applyProtection="1"/>
    <xf numFmtId="0" fontId="3" fillId="19" borderId="112" xfId="0" applyFont="1" applyFill="1" applyBorder="1" applyProtection="1"/>
    <xf numFmtId="0" fontId="3" fillId="19" borderId="27" xfId="0" applyFont="1" applyFill="1" applyBorder="1" applyProtection="1"/>
    <xf numFmtId="3" fontId="2" fillId="20" borderId="0" xfId="0" applyNumberFormat="1" applyFont="1" applyFill="1" applyBorder="1" applyAlignment="1" applyProtection="1">
      <alignment horizontal="right"/>
    </xf>
    <xf numFmtId="0" fontId="2" fillId="19" borderId="57" xfId="0" applyFont="1" applyFill="1" applyBorder="1" applyProtection="1"/>
    <xf numFmtId="0" fontId="3" fillId="19" borderId="57" xfId="0" applyFont="1" applyFill="1" applyBorder="1" applyAlignment="1" applyProtection="1">
      <alignment horizontal="center"/>
    </xf>
    <xf numFmtId="0" fontId="2" fillId="20" borderId="0" xfId="0" applyFont="1" applyFill="1" applyBorder="1" applyProtection="1"/>
    <xf numFmtId="0" fontId="2" fillId="20" borderId="57" xfId="0" applyFont="1" applyFill="1" applyBorder="1" applyProtection="1"/>
    <xf numFmtId="14" fontId="3" fillId="19" borderId="124" xfId="0" applyNumberFormat="1" applyFont="1" applyFill="1" applyBorder="1" applyAlignment="1" applyProtection="1">
      <alignment horizontal="center"/>
    </xf>
    <xf numFmtId="14" fontId="3" fillId="19" borderId="121" xfId="0" applyNumberFormat="1" applyFont="1" applyFill="1" applyBorder="1" applyAlignment="1" applyProtection="1">
      <alignment horizontal="center"/>
    </xf>
    <xf numFmtId="0" fontId="3" fillId="19" borderId="101" xfId="0" applyFont="1" applyFill="1" applyBorder="1" applyProtection="1"/>
    <xf numFmtId="14" fontId="3" fillId="19" borderId="95" xfId="0" applyNumberFormat="1" applyFont="1" applyFill="1" applyBorder="1" applyAlignment="1" applyProtection="1">
      <alignment horizontal="center"/>
    </xf>
    <xf numFmtId="3" fontId="2" fillId="20" borderId="39" xfId="0" applyNumberFormat="1" applyFont="1" applyFill="1" applyBorder="1" applyAlignment="1" applyProtection="1">
      <alignment horizontal="right"/>
    </xf>
    <xf numFmtId="0" fontId="2" fillId="20" borderId="39" xfId="0" applyFont="1" applyFill="1" applyBorder="1" applyProtection="1"/>
    <xf numFmtId="0" fontId="2" fillId="20" borderId="59" xfId="0" applyFont="1" applyFill="1" applyBorder="1" applyProtection="1"/>
    <xf numFmtId="0" fontId="2" fillId="19" borderId="59" xfId="0" applyFont="1" applyFill="1" applyBorder="1" applyProtection="1"/>
    <xf numFmtId="14" fontId="3" fillId="19" borderId="0" xfId="0" applyNumberFormat="1" applyFont="1" applyFill="1" applyBorder="1" applyAlignment="1" applyProtection="1">
      <alignment horizontal="center"/>
    </xf>
    <xf numFmtId="0" fontId="3" fillId="19" borderId="39" xfId="0" applyFont="1" applyFill="1" applyBorder="1" applyProtection="1"/>
    <xf numFmtId="0" fontId="3" fillId="19" borderId="67" xfId="0" applyFont="1" applyFill="1" applyBorder="1" applyProtection="1"/>
    <xf numFmtId="0" fontId="3" fillId="19" borderId="171" xfId="0" applyFont="1" applyFill="1" applyBorder="1" applyProtection="1"/>
    <xf numFmtId="0" fontId="2" fillId="19" borderId="27" xfId="0" applyFont="1" applyFill="1" applyBorder="1" applyProtection="1"/>
    <xf numFmtId="14" fontId="3" fillId="19" borderId="57" xfId="0" applyNumberFormat="1" applyFont="1" applyFill="1" applyBorder="1" applyAlignment="1" applyProtection="1">
      <alignment horizontal="center"/>
    </xf>
    <xf numFmtId="14" fontId="3" fillId="19" borderId="39" xfId="0" applyNumberFormat="1" applyFont="1" applyFill="1" applyBorder="1" applyAlignment="1" applyProtection="1">
      <alignment horizontal="center"/>
    </xf>
    <xf numFmtId="49" fontId="2" fillId="10" borderId="37" xfId="0" applyNumberFormat="1" applyFont="1" applyFill="1" applyBorder="1" applyAlignment="1" applyProtection="1"/>
    <xf numFmtId="0" fontId="3" fillId="19" borderId="113" xfId="0" applyFont="1" applyFill="1" applyBorder="1" applyProtection="1"/>
    <xf numFmtId="0" fontId="3" fillId="19" borderId="68" xfId="0" applyFont="1" applyFill="1" applyBorder="1" applyAlignment="1" applyProtection="1">
      <alignment wrapText="1"/>
    </xf>
    <xf numFmtId="0" fontId="3" fillId="19" borderId="160" xfId="0" applyFont="1" applyFill="1" applyBorder="1" applyAlignment="1" applyProtection="1">
      <alignment vertical="top" wrapText="1"/>
    </xf>
    <xf numFmtId="1" fontId="3" fillId="19" borderId="2" xfId="0" applyNumberFormat="1" applyFont="1" applyFill="1" applyBorder="1" applyAlignment="1" applyProtection="1">
      <alignment horizontal="center" vertical="center" wrapText="1"/>
    </xf>
    <xf numFmtId="0" fontId="3" fillId="19" borderId="38" xfId="0" applyFont="1" applyFill="1" applyBorder="1" applyAlignment="1" applyProtection="1">
      <alignment horizontal="center"/>
    </xf>
    <xf numFmtId="49" fontId="3" fillId="19" borderId="133" xfId="0" applyNumberFormat="1" applyFont="1" applyFill="1" applyBorder="1" applyAlignment="1" applyProtection="1">
      <alignment horizontal="center" wrapText="1"/>
    </xf>
    <xf numFmtId="49" fontId="128" fillId="19" borderId="5" xfId="0" applyNumberFormat="1" applyFont="1" applyFill="1" applyBorder="1" applyAlignment="1" applyProtection="1">
      <alignment horizontal="center"/>
    </xf>
    <xf numFmtId="49" fontId="3" fillId="19" borderId="42" xfId="0" applyNumberFormat="1" applyFont="1" applyFill="1" applyBorder="1" applyAlignment="1" applyProtection="1">
      <alignment horizontal="center" wrapText="1"/>
    </xf>
    <xf numFmtId="49" fontId="3" fillId="19" borderId="132" xfId="0" applyNumberFormat="1" applyFont="1" applyFill="1" applyBorder="1" applyAlignment="1" applyProtection="1">
      <alignment horizontal="center"/>
    </xf>
    <xf numFmtId="49" fontId="3" fillId="19" borderId="133" xfId="0" applyNumberFormat="1" applyFont="1" applyFill="1" applyBorder="1" applyAlignment="1" applyProtection="1">
      <alignment horizontal="center"/>
    </xf>
    <xf numFmtId="0" fontId="3" fillId="19" borderId="157" xfId="0" applyFont="1" applyFill="1" applyBorder="1" applyAlignment="1" applyProtection="1">
      <alignment horizontal="center"/>
    </xf>
    <xf numFmtId="0" fontId="3" fillId="19" borderId="5" xfId="0" applyFont="1" applyFill="1" applyBorder="1" applyAlignment="1" applyProtection="1">
      <alignment horizontal="center" wrapText="1"/>
    </xf>
    <xf numFmtId="49" fontId="3" fillId="19" borderId="34" xfId="0" applyNumberFormat="1" applyFont="1" applyFill="1" applyBorder="1" applyAlignment="1" applyProtection="1">
      <alignment horizontal="center"/>
    </xf>
    <xf numFmtId="49" fontId="3" fillId="19" borderId="35" xfId="0" applyNumberFormat="1" applyFont="1" applyFill="1" applyBorder="1" applyAlignment="1" applyProtection="1">
      <alignment horizontal="center"/>
    </xf>
    <xf numFmtId="49" fontId="3" fillId="19" borderId="106" xfId="0" applyNumberFormat="1" applyFont="1" applyFill="1" applyBorder="1" applyAlignment="1" applyProtection="1">
      <alignment horizontal="center"/>
    </xf>
    <xf numFmtId="1" fontId="3" fillId="19" borderId="70" xfId="0" applyNumberFormat="1" applyFont="1" applyFill="1" applyBorder="1" applyAlignment="1" applyProtection="1">
      <alignment horizontal="center"/>
    </xf>
    <xf numFmtId="1" fontId="3" fillId="19" borderId="2" xfId="0" applyNumberFormat="1" applyFont="1" applyFill="1" applyBorder="1" applyAlignment="1" applyProtection="1">
      <alignment horizontal="center" wrapText="1"/>
    </xf>
    <xf numFmtId="1" fontId="116" fillId="19" borderId="2" xfId="0" applyNumberFormat="1" applyFont="1" applyFill="1" applyBorder="1" applyAlignment="1" applyProtection="1">
      <alignment horizontal="center" wrapText="1"/>
    </xf>
    <xf numFmtId="0" fontId="3" fillId="19" borderId="76" xfId="0" applyFont="1" applyFill="1" applyBorder="1" applyAlignment="1" applyProtection="1">
      <alignment horizontal="center" wrapText="1"/>
    </xf>
    <xf numFmtId="0" fontId="8" fillId="0" borderId="0" xfId="0" applyFont="1" applyFill="1" applyProtection="1"/>
    <xf numFmtId="1" fontId="3" fillId="19" borderId="42" xfId="0" applyNumberFormat="1" applyFont="1" applyFill="1" applyBorder="1" applyAlignment="1" applyProtection="1">
      <alignment horizontal="center" vertical="top" wrapText="1"/>
    </xf>
    <xf numFmtId="49" fontId="3" fillId="19" borderId="14" xfId="0" applyNumberFormat="1" applyFont="1" applyFill="1" applyBorder="1" applyAlignment="1" applyProtection="1">
      <alignment horizontal="center"/>
    </xf>
    <xf numFmtId="49" fontId="3" fillId="19" borderId="9" xfId="0" applyNumberFormat="1" applyFont="1" applyFill="1" applyBorder="1" applyAlignment="1" applyProtection="1">
      <alignment horizontal="center"/>
    </xf>
    <xf numFmtId="0" fontId="3" fillId="19" borderId="91" xfId="0" applyFont="1" applyFill="1" applyBorder="1" applyAlignment="1" applyProtection="1">
      <alignment horizontal="center"/>
    </xf>
    <xf numFmtId="1" fontId="3" fillId="19" borderId="25" xfId="0" applyNumberFormat="1" applyFont="1" applyFill="1" applyBorder="1" applyAlignment="1" applyProtection="1">
      <alignment horizontal="center"/>
    </xf>
    <xf numFmtId="0" fontId="15" fillId="19" borderId="72" xfId="0" applyFont="1" applyFill="1" applyBorder="1" applyAlignment="1" applyProtection="1">
      <alignment horizontal="center" vertical="center"/>
    </xf>
    <xf numFmtId="0" fontId="3" fillId="19" borderId="91" xfId="0" applyFont="1" applyFill="1" applyBorder="1" applyAlignment="1" applyProtection="1">
      <alignment horizontal="left" vertical="top" wrapText="1"/>
    </xf>
    <xf numFmtId="3" fontId="3" fillId="19" borderId="25" xfId="0" applyNumberFormat="1" applyFont="1" applyFill="1" applyBorder="1" applyAlignment="1" applyProtection="1">
      <alignment horizontal="left" vertical="top" wrapText="1"/>
    </xf>
    <xf numFmtId="3" fontId="3" fillId="19" borderId="76" xfId="0" applyNumberFormat="1" applyFont="1" applyFill="1" applyBorder="1" applyAlignment="1" applyProtection="1"/>
    <xf numFmtId="3" fontId="3" fillId="19" borderId="92" xfId="0" applyNumberFormat="1" applyFont="1" applyFill="1" applyBorder="1" applyAlignment="1" applyProtection="1"/>
    <xf numFmtId="0" fontId="3" fillId="28" borderId="101" xfId="0" applyFont="1" applyFill="1" applyBorder="1" applyAlignment="1" applyProtection="1">
      <alignment horizontal="left" vertical="top" wrapText="1"/>
    </xf>
    <xf numFmtId="0" fontId="3" fillId="28" borderId="117" xfId="0" applyFont="1" applyFill="1" applyBorder="1" applyAlignment="1" applyProtection="1">
      <alignment horizontal="left" vertical="top"/>
    </xf>
    <xf numFmtId="0" fontId="0" fillId="28" borderId="44" xfId="0" applyFill="1" applyBorder="1" applyProtection="1"/>
    <xf numFmtId="0" fontId="3" fillId="28" borderId="16" xfId="0" applyFont="1" applyFill="1" applyBorder="1" applyAlignment="1" applyProtection="1">
      <alignment horizontal="left" vertical="top" wrapText="1"/>
    </xf>
    <xf numFmtId="3" fontId="3" fillId="28" borderId="169" xfId="0" applyNumberFormat="1" applyFont="1" applyFill="1" applyBorder="1" applyProtection="1"/>
    <xf numFmtId="3" fontId="3" fillId="28" borderId="101" xfId="0" applyNumberFormat="1" applyFont="1" applyFill="1" applyBorder="1" applyAlignment="1" applyProtection="1">
      <alignment horizontal="left" vertical="top" wrapText="1"/>
    </xf>
    <xf numFmtId="0" fontId="3" fillId="28" borderId="120" xfId="0" applyFont="1" applyFill="1" applyBorder="1" applyAlignment="1" applyProtection="1">
      <alignment horizontal="left" vertical="top" wrapText="1"/>
    </xf>
    <xf numFmtId="3" fontId="3" fillId="28" borderId="118" xfId="0" applyNumberFormat="1" applyFont="1" applyFill="1" applyBorder="1" applyAlignment="1" applyProtection="1">
      <alignment horizontal="left" wrapText="1"/>
    </xf>
    <xf numFmtId="49" fontId="3" fillId="28" borderId="118" xfId="0" applyNumberFormat="1" applyFont="1" applyFill="1" applyBorder="1" applyAlignment="1" applyProtection="1">
      <alignment vertical="top"/>
    </xf>
    <xf numFmtId="3" fontId="3" fillId="28" borderId="101" xfId="0" applyNumberFormat="1" applyFont="1" applyFill="1" applyBorder="1" applyAlignment="1" applyProtection="1">
      <alignment vertical="top"/>
    </xf>
    <xf numFmtId="3" fontId="3" fillId="28" borderId="88" xfId="0" applyNumberFormat="1" applyFont="1" applyFill="1" applyBorder="1" applyAlignment="1" applyProtection="1">
      <alignment vertical="top" wrapText="1"/>
    </xf>
    <xf numFmtId="3" fontId="3" fillId="28" borderId="16" xfId="0" applyNumberFormat="1" applyFont="1" applyFill="1" applyBorder="1" applyAlignment="1" applyProtection="1">
      <alignment horizontal="left" vertical="top" wrapText="1"/>
    </xf>
    <xf numFmtId="0" fontId="3" fillId="28" borderId="155" xfId="0" applyFont="1" applyFill="1" applyBorder="1" applyAlignment="1" applyProtection="1">
      <alignment horizontal="left" vertical="top" wrapText="1"/>
    </xf>
    <xf numFmtId="3" fontId="3" fillId="28" borderId="15" xfId="0" applyNumberFormat="1" applyFont="1" applyFill="1" applyBorder="1" applyAlignment="1" applyProtection="1">
      <alignment horizontal="left" vertical="top" wrapText="1"/>
    </xf>
    <xf numFmtId="0" fontId="11" fillId="28" borderId="0" xfId="0" applyFont="1" applyFill="1" applyBorder="1" applyProtection="1"/>
    <xf numFmtId="3" fontId="3" fillId="28" borderId="16" xfId="0" applyNumberFormat="1" applyFont="1" applyFill="1" applyBorder="1" applyAlignment="1" applyProtection="1">
      <alignment vertical="top"/>
    </xf>
    <xf numFmtId="3" fontId="8" fillId="28" borderId="60" xfId="0" applyNumberFormat="1" applyFont="1" applyFill="1" applyBorder="1" applyProtection="1"/>
    <xf numFmtId="0" fontId="5" fillId="28" borderId="44" xfId="0" applyFont="1" applyFill="1" applyBorder="1" applyProtection="1"/>
    <xf numFmtId="3" fontId="8" fillId="28" borderId="16" xfId="0" applyNumberFormat="1" applyFont="1" applyFill="1" applyBorder="1" applyAlignment="1" applyProtection="1">
      <alignment horizontal="left"/>
    </xf>
    <xf numFmtId="0" fontId="8" fillId="28" borderId="169" xfId="0" applyFont="1" applyFill="1" applyBorder="1" applyProtection="1"/>
    <xf numFmtId="3" fontId="8" fillId="28" borderId="155" xfId="0" applyNumberFormat="1" applyFont="1" applyFill="1" applyBorder="1" applyAlignment="1" applyProtection="1">
      <alignment horizontal="left" vertical="top"/>
    </xf>
    <xf numFmtId="0" fontId="0" fillId="28" borderId="0" xfId="0" applyFill="1" applyBorder="1" applyAlignment="1" applyProtection="1">
      <alignment vertical="top" wrapText="1"/>
    </xf>
    <xf numFmtId="0" fontId="11" fillId="28" borderId="16" xfId="0" applyFont="1" applyFill="1" applyBorder="1" applyProtection="1"/>
    <xf numFmtId="0" fontId="8" fillId="28" borderId="60" xfId="0" applyFont="1" applyFill="1" applyBorder="1" applyProtection="1"/>
    <xf numFmtId="0" fontId="11" fillId="28" borderId="62" xfId="0" applyFont="1" applyFill="1" applyBorder="1" applyProtection="1"/>
    <xf numFmtId="0" fontId="8" fillId="28" borderId="150" xfId="0" applyFont="1" applyFill="1" applyBorder="1" applyProtection="1"/>
    <xf numFmtId="0" fontId="8" fillId="28" borderId="42" xfId="0" applyFont="1" applyFill="1" applyBorder="1" applyProtection="1"/>
    <xf numFmtId="3" fontId="8" fillId="28" borderId="150" xfId="0" applyNumberFormat="1" applyFont="1" applyFill="1" applyBorder="1" applyProtection="1"/>
    <xf numFmtId="3" fontId="3" fillId="28" borderId="15" xfId="0" applyNumberFormat="1" applyFont="1" applyFill="1" applyBorder="1" applyAlignment="1" applyProtection="1">
      <alignment horizontal="left" vertical="top"/>
    </xf>
    <xf numFmtId="49" fontId="8" fillId="28" borderId="89" xfId="0" applyNumberFormat="1" applyFont="1" applyFill="1" applyBorder="1" applyProtection="1"/>
    <xf numFmtId="0" fontId="8" fillId="28" borderId="90" xfId="0" applyFont="1" applyFill="1" applyBorder="1" applyProtection="1"/>
    <xf numFmtId="0" fontId="3" fillId="28" borderId="127" xfId="0" applyFont="1" applyFill="1" applyBorder="1" applyAlignment="1" applyProtection="1">
      <alignment vertical="top" wrapText="1"/>
    </xf>
    <xf numFmtId="0" fontId="3" fillId="28" borderId="15" xfId="0" applyFont="1" applyFill="1" applyBorder="1" applyAlignment="1" applyProtection="1">
      <alignment vertical="top" wrapText="1"/>
    </xf>
    <xf numFmtId="3" fontId="3" fillId="28" borderId="60" xfId="0" applyNumberFormat="1" applyFont="1" applyFill="1" applyBorder="1" applyAlignment="1" applyProtection="1">
      <alignment vertical="top" wrapText="1"/>
    </xf>
    <xf numFmtId="0" fontId="8" fillId="28" borderId="127" xfId="0" applyFont="1" applyFill="1" applyBorder="1" applyProtection="1"/>
    <xf numFmtId="0" fontId="8" fillId="28" borderId="15" xfId="0" applyFont="1" applyFill="1" applyBorder="1" applyProtection="1"/>
    <xf numFmtId="0" fontId="8" fillId="28" borderId="116" xfId="0" applyFont="1" applyFill="1" applyBorder="1" applyProtection="1"/>
    <xf numFmtId="171" fontId="35" fillId="0" borderId="0" xfId="0" applyNumberFormat="1" applyFont="1" applyFill="1" applyBorder="1" applyAlignment="1" applyProtection="1">
      <alignment horizontal="left" vertical="top" wrapText="1"/>
    </xf>
    <xf numFmtId="3" fontId="2" fillId="2" borderId="0" xfId="0" applyNumberFormat="1" applyFont="1" applyFill="1" applyBorder="1" applyAlignment="1" applyProtection="1">
      <alignment horizontal="right"/>
      <protection locked="0"/>
    </xf>
    <xf numFmtId="0" fontId="5" fillId="19" borderId="191" xfId="0" applyFont="1" applyFill="1" applyBorder="1" applyAlignment="1" applyProtection="1">
      <alignment horizontal="left"/>
    </xf>
    <xf numFmtId="0" fontId="3" fillId="19" borderId="35" xfId="0" applyFont="1" applyFill="1" applyBorder="1" applyAlignment="1" applyProtection="1">
      <alignment horizontal="left"/>
    </xf>
    <xf numFmtId="3" fontId="2" fillId="2" borderId="40" xfId="0" applyNumberFormat="1" applyFont="1" applyFill="1" applyBorder="1" applyAlignment="1" applyProtection="1">
      <alignment horizontal="right"/>
      <protection locked="0"/>
    </xf>
    <xf numFmtId="0" fontId="3" fillId="19" borderId="12" xfId="0" applyFont="1" applyFill="1" applyBorder="1" applyAlignment="1" applyProtection="1">
      <alignment horizontal="left"/>
    </xf>
    <xf numFmtId="0" fontId="5" fillId="19" borderId="25" xfId="0" applyFont="1" applyFill="1" applyBorder="1" applyAlignment="1" applyProtection="1">
      <alignment horizontal="left"/>
    </xf>
    <xf numFmtId="3" fontId="2" fillId="2" borderId="208" xfId="0" applyNumberFormat="1" applyFont="1" applyFill="1" applyBorder="1" applyAlignment="1" applyProtection="1">
      <alignment horizontal="right"/>
      <protection locked="0"/>
    </xf>
    <xf numFmtId="0" fontId="3" fillId="19" borderId="164" xfId="0" applyFont="1" applyFill="1" applyBorder="1" applyAlignment="1" applyProtection="1">
      <alignment horizontal="left" wrapText="1"/>
    </xf>
    <xf numFmtId="49" fontId="8" fillId="0" borderId="209" xfId="0" applyNumberFormat="1" applyFont="1" applyFill="1" applyBorder="1" applyAlignment="1" applyProtection="1">
      <alignment horizontal="center"/>
    </xf>
    <xf numFmtId="49" fontId="3" fillId="0" borderId="209" xfId="0" applyNumberFormat="1" applyFont="1" applyFill="1" applyBorder="1" applyAlignment="1" applyProtection="1">
      <alignment horizontal="center" wrapText="1"/>
    </xf>
    <xf numFmtId="49" fontId="3" fillId="0" borderId="209" xfId="0" applyNumberFormat="1" applyFont="1" applyFill="1" applyBorder="1" applyAlignment="1" applyProtection="1">
      <alignment horizontal="left"/>
    </xf>
    <xf numFmtId="3" fontId="3" fillId="19" borderId="15" xfId="0" applyNumberFormat="1" applyFont="1" applyFill="1" applyBorder="1" applyAlignment="1" applyProtection="1">
      <alignment horizontal="left" wrapText="1"/>
    </xf>
    <xf numFmtId="0" fontId="74" fillId="2" borderId="0" xfId="0" applyFont="1" applyFill="1" applyAlignment="1" applyProtection="1"/>
    <xf numFmtId="49" fontId="65" fillId="0" borderId="0" xfId="0" applyNumberFormat="1" applyFont="1" applyFill="1" applyAlignment="1" applyProtection="1"/>
    <xf numFmtId="3" fontId="5" fillId="19" borderId="118" xfId="0" applyNumberFormat="1" applyFont="1" applyFill="1" applyBorder="1" applyAlignment="1" applyProtection="1">
      <alignment horizontal="left"/>
    </xf>
    <xf numFmtId="3" fontId="5" fillId="19" borderId="15" xfId="0" applyNumberFormat="1" applyFont="1" applyFill="1" applyBorder="1" applyAlignment="1" applyProtection="1">
      <alignment horizontal="left" vertical="top" wrapText="1"/>
    </xf>
    <xf numFmtId="49" fontId="3" fillId="19" borderId="42" xfId="0" applyNumberFormat="1" applyFont="1" applyFill="1" applyBorder="1" applyAlignment="1" applyProtection="1">
      <alignment horizontal="left"/>
    </xf>
    <xf numFmtId="3" fontId="13" fillId="9" borderId="63" xfId="0" applyNumberFormat="1" applyFont="1" applyFill="1" applyBorder="1" applyProtection="1"/>
    <xf numFmtId="0" fontId="9" fillId="0" borderId="0" xfId="0" applyFont="1" applyFill="1" applyProtection="1"/>
    <xf numFmtId="3" fontId="10" fillId="0" borderId="5" xfId="0" quotePrefix="1" applyNumberFormat="1" applyFont="1" applyFill="1" applyBorder="1" applyAlignment="1" applyProtection="1">
      <alignment horizontal="right"/>
      <protection locked="0"/>
    </xf>
    <xf numFmtId="0" fontId="16" fillId="2" borderId="0" xfId="0" applyFont="1" applyFill="1" applyBorder="1" applyAlignment="1" applyProtection="1"/>
    <xf numFmtId="3" fontId="129" fillId="19" borderId="0" xfId="0" applyNumberFormat="1" applyFont="1" applyFill="1" applyBorder="1" applyAlignment="1" applyProtection="1"/>
    <xf numFmtId="3" fontId="129" fillId="19" borderId="44" xfId="0" applyNumberFormat="1" applyFont="1" applyFill="1" applyBorder="1" applyAlignment="1" applyProtection="1"/>
    <xf numFmtId="0" fontId="130" fillId="2" borderId="0" xfId="0" applyFont="1" applyFill="1" applyBorder="1" applyProtection="1"/>
    <xf numFmtId="165" fontId="7" fillId="0" borderId="1" xfId="0" applyNumberFormat="1" applyFont="1" applyFill="1" applyBorder="1" applyAlignment="1" applyProtection="1">
      <alignment horizontal="center" vertical="center"/>
    </xf>
    <xf numFmtId="0" fontId="0" fillId="2" borderId="1" xfId="0" applyFill="1" applyBorder="1" applyProtection="1"/>
    <xf numFmtId="0" fontId="3" fillId="2" borderId="1" xfId="0" applyFont="1" applyFill="1" applyBorder="1" applyProtection="1"/>
    <xf numFmtId="0" fontId="3" fillId="19" borderId="35" xfId="0" applyFont="1" applyFill="1" applyBorder="1" applyProtection="1"/>
    <xf numFmtId="3" fontId="9" fillId="2" borderId="114" xfId="0" applyNumberFormat="1" applyFont="1" applyFill="1" applyBorder="1" applyProtection="1">
      <protection locked="0"/>
    </xf>
    <xf numFmtId="3" fontId="9" fillId="2" borderId="71" xfId="0" applyNumberFormat="1" applyFont="1" applyFill="1" applyBorder="1" applyProtection="1">
      <protection locked="0"/>
    </xf>
    <xf numFmtId="0" fontId="3" fillId="19" borderId="134" xfId="0" applyFont="1" applyFill="1" applyBorder="1" applyAlignment="1" applyProtection="1">
      <alignment horizontal="center"/>
    </xf>
    <xf numFmtId="0" fontId="99" fillId="7" borderId="0" xfId="0" quotePrefix="1" applyFont="1" applyFill="1" applyBorder="1" applyAlignment="1" applyProtection="1">
      <alignment horizontal="left"/>
    </xf>
    <xf numFmtId="0" fontId="123" fillId="0" borderId="0" xfId="0" applyFont="1" applyFill="1" applyAlignment="1" applyProtection="1">
      <alignment wrapText="1"/>
    </xf>
    <xf numFmtId="3" fontId="3" fillId="19" borderId="9" xfId="0" applyNumberFormat="1" applyFont="1" applyFill="1" applyBorder="1" applyProtection="1"/>
    <xf numFmtId="3" fontId="9" fillId="19" borderId="0" xfId="0" applyNumberFormat="1" applyFont="1" applyFill="1" applyBorder="1" applyProtection="1"/>
    <xf numFmtId="3" fontId="9" fillId="19" borderId="39" xfId="0" applyNumberFormat="1" applyFont="1" applyFill="1" applyBorder="1" applyProtection="1"/>
    <xf numFmtId="3" fontId="7" fillId="19" borderId="0" xfId="0" applyNumberFormat="1" applyFont="1" applyFill="1" applyBorder="1" applyProtection="1"/>
    <xf numFmtId="3" fontId="7" fillId="19" borderId="0" xfId="0" applyNumberFormat="1" applyFont="1" applyFill="1" applyBorder="1" applyAlignment="1" applyProtection="1">
      <alignment horizontal="left" vertical="top" wrapText="1"/>
    </xf>
    <xf numFmtId="3" fontId="2" fillId="19" borderId="47" xfId="0" applyNumberFormat="1" applyFont="1" applyFill="1" applyBorder="1" applyAlignment="1" applyProtection="1">
      <alignment horizontal="right"/>
    </xf>
    <xf numFmtId="3" fontId="2" fillId="19" borderId="159" xfId="0" applyNumberFormat="1" applyFont="1" applyFill="1" applyBorder="1" applyAlignment="1" applyProtection="1">
      <alignment horizontal="right"/>
    </xf>
    <xf numFmtId="3" fontId="2" fillId="19" borderId="46" xfId="0" applyNumberFormat="1" applyFont="1" applyFill="1" applyBorder="1" applyAlignment="1" applyProtection="1">
      <alignment horizontal="right"/>
    </xf>
    <xf numFmtId="3" fontId="2" fillId="19" borderId="131" xfId="0" applyNumberFormat="1" applyFont="1" applyFill="1" applyBorder="1" applyAlignment="1" applyProtection="1">
      <alignment horizontal="right"/>
    </xf>
    <xf numFmtId="3" fontId="2" fillId="20" borderId="159" xfId="0" applyNumberFormat="1" applyFont="1" applyFill="1" applyBorder="1" applyAlignment="1" applyProtection="1">
      <alignment horizontal="left"/>
    </xf>
    <xf numFmtId="3" fontId="2" fillId="20" borderId="45" xfId="0" applyNumberFormat="1" applyFont="1" applyFill="1" applyBorder="1" applyAlignment="1" applyProtection="1">
      <alignment horizontal="right"/>
    </xf>
    <xf numFmtId="0" fontId="9" fillId="29" borderId="210" xfId="0" applyFont="1" applyFill="1" applyBorder="1" applyAlignment="1" applyProtection="1">
      <alignment horizontal="left" vertical="center"/>
    </xf>
    <xf numFmtId="0" fontId="96" fillId="29" borderId="210" xfId="0" applyFont="1" applyFill="1" applyBorder="1" applyAlignment="1" applyProtection="1">
      <alignment horizontal="left" vertical="center"/>
    </xf>
    <xf numFmtId="3" fontId="9" fillId="0" borderId="211" xfId="0" applyNumberFormat="1" applyFont="1" applyFill="1" applyBorder="1" applyProtection="1">
      <protection locked="0"/>
    </xf>
    <xf numFmtId="0" fontId="15" fillId="28" borderId="117" xfId="0" applyFont="1" applyFill="1" applyBorder="1" applyAlignment="1" applyProtection="1">
      <alignment horizontal="center" vertical="center"/>
    </xf>
    <xf numFmtId="0" fontId="0" fillId="0" borderId="0" xfId="0" quotePrefix="1"/>
    <xf numFmtId="1" fontId="5" fillId="0" borderId="0" xfId="0" applyNumberFormat="1" applyFont="1" applyFill="1" applyBorder="1" applyAlignment="1" applyProtection="1">
      <alignment horizontal="left" wrapText="1"/>
    </xf>
    <xf numFmtId="0" fontId="0" fillId="0" borderId="0" xfId="0" applyFill="1" applyBorder="1" applyAlignment="1">
      <alignment horizontal="left" wrapText="1"/>
    </xf>
    <xf numFmtId="0" fontId="0" fillId="19" borderId="161" xfId="0" applyFill="1" applyBorder="1" applyAlignment="1">
      <alignment vertical="top" wrapText="1"/>
    </xf>
    <xf numFmtId="0" fontId="22" fillId="19" borderId="58" xfId="6" applyFill="1" applyBorder="1" applyAlignment="1" applyProtection="1">
      <alignment wrapText="1"/>
    </xf>
    <xf numFmtId="0" fontId="22" fillId="19" borderId="44" xfId="6" applyFill="1" applyBorder="1" applyAlignment="1" applyProtection="1">
      <alignment wrapText="1"/>
    </xf>
    <xf numFmtId="49" fontId="5" fillId="19" borderId="147" xfId="0" applyNumberFormat="1" applyFont="1" applyFill="1" applyBorder="1" applyAlignment="1" applyProtection="1">
      <alignment horizontal="center"/>
    </xf>
    <xf numFmtId="49" fontId="5" fillId="19" borderId="90" xfId="0" applyNumberFormat="1" applyFont="1" applyFill="1" applyBorder="1" applyAlignment="1" applyProtection="1">
      <alignment horizontal="center"/>
    </xf>
    <xf numFmtId="0" fontId="3" fillId="19" borderId="212" xfId="0" applyFont="1" applyFill="1" applyBorder="1" applyAlignment="1" applyProtection="1">
      <alignment horizontal="center"/>
    </xf>
    <xf numFmtId="49" fontId="3" fillId="19" borderId="150" xfId="0" applyNumberFormat="1" applyFont="1" applyFill="1" applyBorder="1" applyAlignment="1" applyProtection="1">
      <alignment horizontal="center"/>
    </xf>
    <xf numFmtId="49" fontId="3" fillId="19" borderId="162" xfId="0" applyNumberFormat="1" applyFont="1" applyFill="1" applyBorder="1" applyAlignment="1" applyProtection="1">
      <alignment horizontal="center"/>
    </xf>
    <xf numFmtId="0" fontId="3" fillId="19" borderId="35" xfId="0" applyFont="1" applyFill="1" applyBorder="1" applyAlignment="1" applyProtection="1">
      <alignment horizontal="center"/>
    </xf>
    <xf numFmtId="0" fontId="3" fillId="19" borderId="70" xfId="0" applyFont="1" applyFill="1" applyBorder="1" applyAlignment="1" applyProtection="1">
      <alignment horizontal="center"/>
    </xf>
    <xf numFmtId="3" fontId="3" fillId="19" borderId="27" xfId="0" applyNumberFormat="1" applyFont="1" applyFill="1" applyBorder="1" applyAlignment="1" applyProtection="1"/>
    <xf numFmtId="0" fontId="29" fillId="7" borderId="0" xfId="0" applyFont="1" applyFill="1" applyBorder="1" applyProtection="1"/>
    <xf numFmtId="1" fontId="15" fillId="0" borderId="0" xfId="0" applyNumberFormat="1" applyFont="1" applyFill="1" applyBorder="1" applyAlignment="1" applyProtection="1">
      <alignment horizontal="center"/>
    </xf>
    <xf numFmtId="1" fontId="3" fillId="0" borderId="0" xfId="0" applyNumberFormat="1" applyFont="1" applyFill="1" applyBorder="1" applyAlignment="1" applyProtection="1">
      <alignment horizontal="center" wrapText="1"/>
    </xf>
    <xf numFmtId="165" fontId="3" fillId="0" borderId="0" xfId="0" applyNumberFormat="1" applyFont="1" applyFill="1" applyBorder="1" applyProtection="1"/>
    <xf numFmtId="0" fontId="5" fillId="0" borderId="0"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49" fontId="14" fillId="0" borderId="0" xfId="0" applyNumberFormat="1" applyFont="1" applyFill="1" applyBorder="1" applyAlignment="1" applyProtection="1">
      <alignment horizontal="center"/>
    </xf>
    <xf numFmtId="1" fontId="5" fillId="0" borderId="0" xfId="0" applyNumberFormat="1" applyFont="1" applyFill="1" applyBorder="1" applyAlignment="1" applyProtection="1">
      <alignment horizontal="center" wrapText="1"/>
    </xf>
    <xf numFmtId="3" fontId="8" fillId="0" borderId="0"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3" fontId="2" fillId="20" borderId="25" xfId="0" applyNumberFormat="1" applyFont="1" applyFill="1" applyBorder="1" applyProtection="1"/>
    <xf numFmtId="3" fontId="2" fillId="20" borderId="26" xfId="0" applyNumberFormat="1" applyFont="1" applyFill="1" applyBorder="1" applyProtection="1"/>
    <xf numFmtId="0" fontId="3"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xf>
    <xf numFmtId="1" fontId="3" fillId="0" borderId="0" xfId="0" applyNumberFormat="1" applyFont="1" applyFill="1" applyBorder="1" applyAlignment="1" applyProtection="1">
      <alignment horizontal="center" vertical="top" wrapText="1"/>
    </xf>
    <xf numFmtId="2" fontId="3" fillId="0" borderId="0" xfId="0" applyNumberFormat="1" applyFont="1" applyFill="1" applyBorder="1" applyAlignment="1" applyProtection="1">
      <alignment horizontal="center" wrapText="1"/>
    </xf>
    <xf numFmtId="49" fontId="3" fillId="0" borderId="0" xfId="0" applyNumberFormat="1" applyFont="1" applyFill="1" applyBorder="1" applyAlignment="1" applyProtection="1">
      <alignment horizontal="center" wrapText="1"/>
    </xf>
    <xf numFmtId="49" fontId="129" fillId="0" borderId="0" xfId="0" applyNumberFormat="1" applyFont="1" applyFill="1" applyBorder="1" applyAlignment="1" applyProtection="1">
      <alignment horizontal="center" wrapText="1"/>
    </xf>
    <xf numFmtId="1" fontId="129" fillId="0" borderId="0" xfId="0" applyNumberFormat="1" applyFont="1" applyFill="1" applyBorder="1" applyAlignment="1" applyProtection="1">
      <alignment horizontal="center"/>
    </xf>
    <xf numFmtId="0" fontId="8" fillId="0" borderId="0" xfId="0"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8" fillId="0" borderId="0" xfId="0" applyFont="1" applyFill="1" applyBorder="1" applyProtection="1"/>
    <xf numFmtId="0" fontId="7" fillId="0" borderId="0" xfId="0" applyFont="1" applyFill="1" applyBorder="1" applyAlignment="1" applyProtection="1">
      <alignment horizontal="center"/>
    </xf>
    <xf numFmtId="1" fontId="8" fillId="0" borderId="0" xfId="0" applyNumberFormat="1" applyFont="1" applyFill="1" applyBorder="1" applyAlignment="1" applyProtection="1">
      <alignment horizontal="center" vertical="center" wrapText="1"/>
    </xf>
    <xf numFmtId="3" fontId="2" fillId="2" borderId="114" xfId="0" applyNumberFormat="1" applyFont="1" applyFill="1" applyBorder="1" applyAlignment="1" applyProtection="1">
      <alignment horizontal="right"/>
      <protection locked="0"/>
    </xf>
    <xf numFmtId="3" fontId="2" fillId="2" borderId="6" xfId="0" applyNumberFormat="1" applyFont="1" applyFill="1" applyBorder="1" applyAlignment="1" applyProtection="1">
      <alignment horizontal="right"/>
      <protection locked="0"/>
    </xf>
    <xf numFmtId="49" fontId="3" fillId="19" borderId="35" xfId="0" applyNumberFormat="1" applyFont="1" applyFill="1" applyBorder="1" applyAlignment="1" applyProtection="1">
      <alignment horizontal="left" wrapText="1"/>
    </xf>
    <xf numFmtId="3" fontId="5" fillId="19" borderId="158" xfId="6" applyNumberFormat="1" applyFont="1" applyFill="1" applyBorder="1" applyAlignment="1" applyProtection="1">
      <alignment vertical="top"/>
    </xf>
    <xf numFmtId="3" fontId="4" fillId="0" borderId="0" xfId="0" applyNumberFormat="1" applyFont="1" applyFill="1" applyBorder="1" applyProtection="1"/>
    <xf numFmtId="49" fontId="12" fillId="0" borderId="0" xfId="0" applyNumberFormat="1" applyFont="1" applyFill="1" applyBorder="1" applyAlignment="1" applyProtection="1">
      <alignment horizontal="center"/>
    </xf>
    <xf numFmtId="3" fontId="3" fillId="0" borderId="0" xfId="0" applyNumberFormat="1" applyFont="1" applyFill="1" applyBorder="1" applyAlignment="1" applyProtection="1"/>
    <xf numFmtId="0" fontId="7" fillId="19" borderId="161" xfId="0" applyFont="1" applyFill="1" applyBorder="1" applyAlignment="1">
      <alignment vertical="top" wrapText="1"/>
    </xf>
    <xf numFmtId="3" fontId="3" fillId="19" borderId="119" xfId="0" applyNumberFormat="1" applyFont="1" applyFill="1" applyBorder="1" applyAlignment="1" applyProtection="1">
      <alignment wrapText="1"/>
    </xf>
    <xf numFmtId="0" fontId="0" fillId="19" borderId="150" xfId="0" applyFill="1" applyBorder="1" applyAlignment="1">
      <alignment vertical="center"/>
    </xf>
    <xf numFmtId="0" fontId="0" fillId="19" borderId="42" xfId="0" applyFill="1" applyBorder="1" applyAlignment="1">
      <alignment vertical="center"/>
    </xf>
    <xf numFmtId="0" fontId="7" fillId="19" borderId="42" xfId="0" applyFont="1" applyFill="1" applyBorder="1" applyAlignment="1" applyProtection="1"/>
    <xf numFmtId="0" fontId="0" fillId="19" borderId="163" xfId="0" applyFill="1" applyBorder="1" applyAlignment="1" applyProtection="1">
      <alignment wrapText="1"/>
    </xf>
    <xf numFmtId="0" fontId="0" fillId="19" borderId="42" xfId="0" applyFill="1" applyBorder="1" applyAlignment="1">
      <alignment vertical="center" wrapText="1"/>
    </xf>
    <xf numFmtId="0" fontId="7" fillId="19" borderId="42" xfId="0" applyFont="1" applyFill="1" applyBorder="1" applyProtection="1"/>
    <xf numFmtId="0" fontId="0" fillId="19" borderId="142" xfId="0" applyFill="1" applyBorder="1" applyAlignment="1">
      <alignment horizontal="left" vertical="center"/>
    </xf>
    <xf numFmtId="0" fontId="0" fillId="19" borderId="1" xfId="0" applyFill="1" applyBorder="1" applyAlignment="1">
      <alignment horizontal="left" vertical="center"/>
    </xf>
    <xf numFmtId="0" fontId="0" fillId="19" borderId="89" xfId="0" applyFill="1" applyBorder="1" applyAlignment="1">
      <alignment horizontal="left" vertical="center"/>
    </xf>
    <xf numFmtId="0" fontId="0" fillId="19" borderId="90" xfId="0" applyFill="1" applyBorder="1" applyAlignment="1">
      <alignment horizontal="left" wrapText="1"/>
    </xf>
    <xf numFmtId="0" fontId="5" fillId="19" borderId="159" xfId="0" applyFont="1" applyFill="1" applyBorder="1" applyAlignment="1" applyProtection="1">
      <alignment vertical="top" wrapText="1"/>
    </xf>
    <xf numFmtId="0" fontId="3" fillId="19" borderId="16" xfId="0" applyFont="1" applyFill="1" applyBorder="1" applyAlignment="1" applyProtection="1">
      <alignment vertical="center"/>
    </xf>
    <xf numFmtId="0" fontId="3" fillId="19" borderId="15" xfId="0" applyFont="1" applyFill="1" applyBorder="1" applyAlignment="1" applyProtection="1">
      <alignment vertical="center"/>
    </xf>
    <xf numFmtId="0" fontId="3" fillId="19" borderId="15" xfId="0" applyFont="1" applyFill="1" applyBorder="1" applyAlignment="1" applyProtection="1">
      <alignment vertical="center" wrapText="1"/>
    </xf>
    <xf numFmtId="0" fontId="0" fillId="19" borderId="195" xfId="0" applyFill="1" applyBorder="1" applyAlignment="1">
      <alignment horizontal="center" vertical="center"/>
    </xf>
    <xf numFmtId="0" fontId="0" fillId="19" borderId="177" xfId="0" applyFill="1" applyBorder="1" applyAlignment="1" applyProtection="1">
      <alignment vertical="top" wrapText="1"/>
    </xf>
    <xf numFmtId="0" fontId="15" fillId="19" borderId="193" xfId="0" applyFont="1" applyFill="1" applyBorder="1" applyAlignment="1" applyProtection="1">
      <alignment horizontal="center" vertical="center" wrapText="1"/>
    </xf>
    <xf numFmtId="0" fontId="3" fillId="19" borderId="123" xfId="0" applyFont="1" applyFill="1" applyBorder="1" applyAlignment="1" applyProtection="1">
      <alignment vertical="top"/>
    </xf>
    <xf numFmtId="0" fontId="3" fillId="19" borderId="68" xfId="0" applyFont="1" applyFill="1" applyBorder="1" applyAlignment="1" applyProtection="1">
      <alignment horizontal="left" vertical="top" wrapText="1"/>
    </xf>
    <xf numFmtId="0" fontId="15" fillId="19" borderId="169" xfId="0" applyFont="1" applyFill="1" applyBorder="1" applyAlignment="1" applyProtection="1">
      <alignment horizontal="center" vertical="center" wrapText="1"/>
    </xf>
    <xf numFmtId="0" fontId="7" fillId="19" borderId="160" xfId="0" applyFont="1" applyFill="1" applyBorder="1" applyAlignment="1" applyProtection="1"/>
    <xf numFmtId="0" fontId="3" fillId="19" borderId="15" xfId="0" applyFont="1" applyFill="1" applyBorder="1" applyAlignment="1" applyProtection="1"/>
    <xf numFmtId="0" fontId="3" fillId="19" borderId="130" xfId="0" applyFont="1" applyFill="1" applyBorder="1" applyAlignment="1" applyProtection="1">
      <alignment horizontal="left" vertical="top" wrapText="1"/>
    </xf>
    <xf numFmtId="0" fontId="3" fillId="19" borderId="128" xfId="0" applyFont="1" applyFill="1" applyBorder="1" applyAlignment="1" applyProtection="1">
      <alignment horizontal="left" vertical="top" wrapText="1"/>
    </xf>
    <xf numFmtId="0" fontId="3" fillId="19" borderId="69" xfId="0" applyFont="1" applyFill="1" applyBorder="1" applyAlignment="1" applyProtection="1">
      <alignment horizontal="left" vertical="top" wrapText="1"/>
    </xf>
    <xf numFmtId="0" fontId="3" fillId="19" borderId="58" xfId="0" applyFont="1" applyFill="1" applyBorder="1" applyAlignment="1" applyProtection="1">
      <alignment horizontal="left" vertical="center"/>
    </xf>
    <xf numFmtId="0" fontId="3" fillId="19" borderId="0" xfId="0" applyFont="1" applyFill="1" applyBorder="1" applyAlignment="1" applyProtection="1">
      <alignment horizontal="left" vertical="center"/>
    </xf>
    <xf numFmtId="0" fontId="3" fillId="19" borderId="155" xfId="0" applyFont="1" applyFill="1" applyBorder="1" applyAlignment="1" applyProtection="1">
      <alignment horizontal="left" vertical="center"/>
    </xf>
    <xf numFmtId="0" fontId="3" fillId="19" borderId="60" xfId="0" applyFont="1" applyFill="1" applyBorder="1" applyAlignment="1" applyProtection="1">
      <alignment horizontal="left" wrapText="1"/>
    </xf>
    <xf numFmtId="3" fontId="3" fillId="19" borderId="160" xfId="6" applyNumberFormat="1" applyFont="1" applyFill="1" applyBorder="1" applyAlignment="1" applyProtection="1"/>
    <xf numFmtId="3" fontId="5" fillId="19" borderId="160" xfId="6" applyNumberFormat="1" applyFont="1" applyFill="1" applyBorder="1" applyAlignment="1" applyProtection="1">
      <alignment vertical="top" wrapText="1"/>
    </xf>
    <xf numFmtId="49" fontId="3" fillId="19" borderId="177" xfId="6" applyNumberFormat="1" applyFont="1" applyFill="1" applyBorder="1" applyProtection="1"/>
    <xf numFmtId="3" fontId="3" fillId="19" borderId="169" xfId="6" applyNumberFormat="1" applyFont="1" applyFill="1" applyBorder="1" applyAlignment="1" applyProtection="1"/>
    <xf numFmtId="0" fontId="3" fillId="19" borderId="195" xfId="6" applyFont="1" applyFill="1" applyBorder="1" applyAlignment="1" applyProtection="1">
      <alignment horizontal="left" vertical="center"/>
    </xf>
    <xf numFmtId="0" fontId="5" fillId="19" borderId="162" xfId="6" applyFont="1" applyFill="1" applyBorder="1" applyAlignment="1" applyProtection="1">
      <alignment vertical="top"/>
    </xf>
    <xf numFmtId="0" fontId="3" fillId="19" borderId="68" xfId="0" applyFont="1" applyFill="1" applyBorder="1" applyAlignment="1" applyProtection="1">
      <alignment vertical="top"/>
    </xf>
    <xf numFmtId="0" fontId="5" fillId="19" borderId="27" xfId="6" applyFont="1" applyFill="1" applyBorder="1" applyAlignment="1" applyProtection="1"/>
    <xf numFmtId="0" fontId="3" fillId="19" borderId="15" xfId="6" applyFont="1" applyFill="1" applyBorder="1" applyAlignment="1" applyProtection="1">
      <alignment horizontal="right"/>
    </xf>
    <xf numFmtId="0" fontId="3" fillId="19" borderId="155" xfId="6" applyFont="1" applyFill="1" applyBorder="1" applyAlignment="1" applyProtection="1"/>
    <xf numFmtId="0" fontId="3" fillId="19" borderId="15" xfId="6" applyFont="1" applyFill="1" applyBorder="1" applyAlignment="1" applyProtection="1"/>
    <xf numFmtId="0" fontId="3" fillId="19" borderId="15" xfId="6" applyFont="1" applyFill="1" applyBorder="1" applyAlignment="1" applyProtection="1">
      <alignment horizontal="left" vertical="top" wrapText="1"/>
    </xf>
    <xf numFmtId="0" fontId="3" fillId="19" borderId="16" xfId="6" applyFont="1" applyFill="1" applyBorder="1" applyAlignment="1" applyProtection="1">
      <alignment horizontal="left" vertical="top" wrapText="1"/>
    </xf>
    <xf numFmtId="49" fontId="3" fillId="19" borderId="160" xfId="6" applyNumberFormat="1" applyFont="1" applyFill="1" applyBorder="1" applyAlignment="1" applyProtection="1">
      <alignment vertical="top"/>
    </xf>
    <xf numFmtId="0" fontId="0" fillId="19" borderId="15" xfId="0" applyFill="1" applyBorder="1" applyAlignment="1">
      <alignment vertical="top" wrapText="1"/>
    </xf>
    <xf numFmtId="0" fontId="0" fillId="19" borderId="42" xfId="0" applyFill="1" applyBorder="1" applyAlignment="1">
      <alignment vertical="top" wrapText="1"/>
    </xf>
    <xf numFmtId="0" fontId="3" fillId="19" borderId="177" xfId="0" applyFont="1" applyFill="1" applyBorder="1" applyAlignment="1" applyProtection="1">
      <alignment horizontal="left" vertical="center"/>
    </xf>
    <xf numFmtId="3" fontId="122" fillId="0" borderId="58" xfId="0" applyNumberFormat="1" applyFont="1" applyFill="1" applyBorder="1" applyProtection="1"/>
    <xf numFmtId="3" fontId="3" fillId="30" borderId="42" xfId="0" applyNumberFormat="1" applyFont="1" applyFill="1" applyBorder="1" applyAlignment="1" applyProtection="1">
      <alignment horizontal="left" vertical="top" wrapText="1"/>
    </xf>
    <xf numFmtId="3" fontId="3" fillId="19" borderId="42" xfId="0" applyNumberFormat="1" applyFont="1" applyFill="1" applyBorder="1" applyAlignment="1" applyProtection="1">
      <alignment horizontal="left" vertical="top"/>
    </xf>
    <xf numFmtId="0" fontId="0" fillId="19" borderId="44" xfId="0" applyFill="1" applyBorder="1" applyProtection="1"/>
    <xf numFmtId="0" fontId="0" fillId="19" borderId="160" xfId="0" applyFill="1" applyBorder="1" applyProtection="1"/>
    <xf numFmtId="3" fontId="35" fillId="19" borderId="182" xfId="6" quotePrefix="1" applyNumberFormat="1" applyFont="1" applyFill="1" applyBorder="1" applyAlignment="1" applyProtection="1">
      <alignment horizontal="left"/>
    </xf>
    <xf numFmtId="0" fontId="0" fillId="19" borderId="181" xfId="0" applyFill="1" applyBorder="1" applyProtection="1"/>
    <xf numFmtId="3" fontId="5" fillId="19" borderId="213" xfId="0" applyNumberFormat="1" applyFont="1" applyFill="1" applyBorder="1" applyAlignment="1" applyProtection="1">
      <alignment horizontal="left" vertical="center" wrapText="1"/>
    </xf>
    <xf numFmtId="3" fontId="2" fillId="19" borderId="109" xfId="0" applyNumberFormat="1" applyFont="1" applyFill="1" applyBorder="1" applyAlignment="1" applyProtection="1">
      <alignment horizontal="right"/>
    </xf>
    <xf numFmtId="3" fontId="2" fillId="19" borderId="108" xfId="0" applyNumberFormat="1" applyFont="1" applyFill="1" applyBorder="1" applyAlignment="1" applyProtection="1">
      <alignment horizontal="right"/>
    </xf>
    <xf numFmtId="3" fontId="2" fillId="19" borderId="158" xfId="0" applyNumberFormat="1" applyFont="1" applyFill="1" applyBorder="1" applyAlignment="1" applyProtection="1">
      <alignment horizontal="right"/>
    </xf>
    <xf numFmtId="3" fontId="2" fillId="19" borderId="93" xfId="0" applyNumberFormat="1" applyFont="1" applyFill="1" applyBorder="1" applyAlignment="1" applyProtection="1">
      <alignment horizontal="right"/>
    </xf>
    <xf numFmtId="3" fontId="2" fillId="19" borderId="193" xfId="0" applyNumberFormat="1" applyFont="1" applyFill="1" applyBorder="1" applyAlignment="1" applyProtection="1">
      <alignment horizontal="right"/>
    </xf>
    <xf numFmtId="3" fontId="46" fillId="19" borderId="182" xfId="12" applyNumberFormat="1" applyFont="1" applyFill="1" applyBorder="1" applyAlignment="1" applyProtection="1">
      <alignment horizontal="center"/>
    </xf>
    <xf numFmtId="3" fontId="46" fillId="19" borderId="182" xfId="10" applyNumberFormat="1" applyFont="1" applyFill="1" applyBorder="1" applyAlignment="1" applyProtection="1">
      <alignment horizontal="center"/>
    </xf>
    <xf numFmtId="3" fontId="108" fillId="19" borderId="182" xfId="10" applyNumberFormat="1" applyFont="1" applyFill="1" applyBorder="1" applyAlignment="1" applyProtection="1">
      <alignment horizontal="center"/>
    </xf>
    <xf numFmtId="3" fontId="46" fillId="19" borderId="214" xfId="10" applyNumberFormat="1" applyFont="1" applyFill="1" applyBorder="1" applyAlignment="1" applyProtection="1">
      <alignment horizontal="center"/>
    </xf>
    <xf numFmtId="3" fontId="5" fillId="19" borderId="215" xfId="0" applyNumberFormat="1" applyFont="1" applyFill="1" applyBorder="1" applyAlignment="1" applyProtection="1">
      <alignment horizontal="left" vertical="center" wrapText="1"/>
    </xf>
    <xf numFmtId="3" fontId="2" fillId="19" borderId="30" xfId="0" applyNumberFormat="1" applyFont="1" applyFill="1" applyBorder="1" applyAlignment="1" applyProtection="1">
      <alignment horizontal="right"/>
    </xf>
    <xf numFmtId="0" fontId="9" fillId="19" borderId="47" xfId="0" applyFont="1" applyFill="1" applyBorder="1" applyProtection="1"/>
    <xf numFmtId="3" fontId="2" fillId="19" borderId="187" xfId="0" applyNumberFormat="1" applyFont="1" applyFill="1" applyBorder="1" applyAlignment="1" applyProtection="1">
      <alignment horizontal="right"/>
    </xf>
    <xf numFmtId="3" fontId="2" fillId="19" borderId="105" xfId="0" applyNumberFormat="1" applyFont="1" applyFill="1" applyBorder="1" applyAlignment="1" applyProtection="1">
      <alignment horizontal="right"/>
    </xf>
    <xf numFmtId="3" fontId="2" fillId="19" borderId="216" xfId="0" applyNumberFormat="1" applyFont="1" applyFill="1" applyBorder="1" applyAlignment="1" applyProtection="1">
      <alignment horizontal="right"/>
    </xf>
    <xf numFmtId="0" fontId="0" fillId="19" borderId="192" xfId="0" applyFill="1" applyBorder="1" applyProtection="1"/>
    <xf numFmtId="0" fontId="5" fillId="19" borderId="24" xfId="0" applyFont="1" applyFill="1" applyBorder="1" applyAlignment="1" applyProtection="1">
      <alignment vertical="top"/>
    </xf>
    <xf numFmtId="3" fontId="5" fillId="19" borderId="25" xfId="0" applyNumberFormat="1" applyFont="1" applyFill="1" applyBorder="1" applyAlignment="1" applyProtection="1">
      <alignment vertical="top"/>
    </xf>
    <xf numFmtId="0" fontId="3" fillId="19" borderId="133" xfId="0" applyFont="1" applyFill="1" applyBorder="1" applyProtection="1"/>
    <xf numFmtId="3" fontId="9" fillId="2" borderId="211" xfId="0" applyNumberFormat="1" applyFont="1" applyFill="1" applyBorder="1" applyProtection="1">
      <protection locked="0"/>
    </xf>
    <xf numFmtId="0" fontId="118" fillId="2" borderId="0" xfId="5" applyFont="1" applyFill="1" applyAlignment="1" applyProtection="1">
      <alignment vertical="top"/>
    </xf>
    <xf numFmtId="0" fontId="5" fillId="19" borderId="96" xfId="6" applyFont="1" applyFill="1" applyBorder="1" applyProtection="1"/>
    <xf numFmtId="0" fontId="5" fillId="19" borderId="44" xfId="6" applyFont="1" applyFill="1" applyBorder="1" applyProtection="1"/>
    <xf numFmtId="0" fontId="5" fillId="19" borderId="27" xfId="6" applyFont="1" applyFill="1" applyBorder="1" applyAlignment="1" applyProtection="1">
      <alignment horizontal="left"/>
    </xf>
    <xf numFmtId="0" fontId="5" fillId="19" borderId="194" xfId="6" applyFont="1" applyFill="1" applyBorder="1" applyAlignment="1" applyProtection="1">
      <alignment horizontal="left"/>
    </xf>
    <xf numFmtId="0" fontId="3" fillId="19" borderId="56" xfId="6" applyFont="1" applyFill="1" applyBorder="1" applyAlignment="1" applyProtection="1">
      <alignment vertical="top"/>
    </xf>
    <xf numFmtId="0" fontId="3" fillId="19" borderId="56" xfId="6" applyFont="1" applyFill="1" applyBorder="1" applyAlignment="1" applyProtection="1">
      <alignment horizontal="left" vertical="center"/>
    </xf>
    <xf numFmtId="0" fontId="3" fillId="19" borderId="160" xfId="6" applyFont="1" applyFill="1" applyBorder="1" applyAlignment="1" applyProtection="1">
      <alignment horizontal="center"/>
    </xf>
    <xf numFmtId="3" fontId="3" fillId="19" borderId="44" xfId="6" applyNumberFormat="1" applyFont="1" applyFill="1" applyBorder="1" applyAlignment="1" applyProtection="1">
      <alignment wrapText="1"/>
    </xf>
    <xf numFmtId="3" fontId="3" fillId="19" borderId="44" xfId="6" applyNumberFormat="1" applyFont="1" applyFill="1" applyBorder="1" applyAlignment="1" applyProtection="1">
      <alignment vertical="top"/>
    </xf>
    <xf numFmtId="3" fontId="3" fillId="19" borderId="44" xfId="6" applyNumberFormat="1" applyFont="1" applyFill="1" applyBorder="1" applyAlignment="1" applyProtection="1">
      <alignment vertical="center" wrapText="1"/>
    </xf>
    <xf numFmtId="0" fontId="5" fillId="19" borderId="194" xfId="0" applyFont="1" applyFill="1" applyBorder="1" applyAlignment="1" applyProtection="1">
      <alignment horizontal="left"/>
    </xf>
    <xf numFmtId="0" fontId="5" fillId="19" borderId="96" xfId="0" applyFont="1" applyFill="1" applyBorder="1" applyAlignment="1" applyProtection="1">
      <alignment horizontal="left"/>
    </xf>
    <xf numFmtId="0" fontId="5" fillId="19" borderId="27" xfId="0" applyFont="1" applyFill="1" applyBorder="1" applyAlignment="1" applyProtection="1">
      <alignment horizontal="left"/>
    </xf>
    <xf numFmtId="0" fontId="5" fillId="19" borderId="44" xfId="0" applyFont="1" applyFill="1" applyBorder="1" applyAlignment="1" applyProtection="1">
      <alignment horizontal="left"/>
    </xf>
    <xf numFmtId="3" fontId="3" fillId="19" borderId="193" xfId="0" applyNumberFormat="1" applyFont="1" applyFill="1" applyBorder="1" applyAlignment="1" applyProtection="1">
      <alignment vertical="top" wrapText="1"/>
    </xf>
    <xf numFmtId="0" fontId="3" fillId="19" borderId="160" xfId="0" applyFont="1" applyFill="1" applyBorder="1" applyAlignment="1" applyProtection="1">
      <alignment horizontal="center"/>
    </xf>
    <xf numFmtId="0" fontId="3" fillId="19" borderId="160" xfId="6" applyFont="1" applyFill="1" applyBorder="1" applyAlignment="1" applyProtection="1">
      <alignment horizontal="center" vertical="top"/>
    </xf>
    <xf numFmtId="0" fontId="3" fillId="19" borderId="56" xfId="6" applyFont="1" applyFill="1" applyBorder="1" applyAlignment="1" applyProtection="1">
      <alignment vertical="top" wrapText="1"/>
    </xf>
    <xf numFmtId="0" fontId="3" fillId="19" borderId="62" xfId="6" applyFont="1" applyFill="1" applyBorder="1" applyProtection="1"/>
    <xf numFmtId="1" fontId="3" fillId="19" borderId="16" xfId="6" applyNumberFormat="1" applyFont="1" applyFill="1" applyBorder="1" applyAlignment="1" applyProtection="1">
      <alignment horizontal="center"/>
    </xf>
    <xf numFmtId="1" fontId="3" fillId="19" borderId="169" xfId="6" applyNumberFormat="1" applyFont="1" applyFill="1" applyBorder="1" applyAlignment="1" applyProtection="1">
      <alignment horizontal="center"/>
    </xf>
    <xf numFmtId="3" fontId="5" fillId="19" borderId="177" xfId="6" applyNumberFormat="1" applyFont="1" applyFill="1" applyBorder="1" applyAlignment="1" applyProtection="1">
      <alignment vertical="top"/>
    </xf>
    <xf numFmtId="3" fontId="5" fillId="19" borderId="44" xfId="6" applyNumberFormat="1" applyFont="1" applyFill="1" applyBorder="1" applyAlignment="1" applyProtection="1">
      <alignment vertical="center"/>
    </xf>
    <xf numFmtId="3" fontId="5" fillId="19" borderId="44" xfId="0" applyNumberFormat="1" applyFont="1" applyFill="1" applyBorder="1" applyAlignment="1" applyProtection="1">
      <alignment vertical="center"/>
    </xf>
    <xf numFmtId="3" fontId="5" fillId="19" borderId="177" xfId="0" applyNumberFormat="1" applyFont="1" applyFill="1" applyBorder="1" applyAlignment="1" applyProtection="1">
      <alignment vertical="top"/>
    </xf>
    <xf numFmtId="0" fontId="3" fillId="19" borderId="160" xfId="6" applyFont="1" applyFill="1" applyBorder="1" applyAlignment="1" applyProtection="1">
      <alignment vertical="top" wrapText="1"/>
    </xf>
    <xf numFmtId="0" fontId="3" fillId="10" borderId="58" xfId="0" applyFont="1" applyFill="1" applyBorder="1" applyAlignment="1" applyProtection="1">
      <alignment horizontal="center"/>
    </xf>
    <xf numFmtId="0" fontId="5" fillId="19" borderId="15" xfId="0" applyFont="1" applyFill="1" applyBorder="1" applyAlignment="1" applyProtection="1">
      <alignment horizontal="left" vertical="center" wrapText="1"/>
    </xf>
    <xf numFmtId="3" fontId="2" fillId="19" borderId="50" xfId="0" applyNumberFormat="1" applyFont="1" applyFill="1" applyBorder="1" applyAlignment="1" applyProtection="1">
      <alignment horizontal="right"/>
    </xf>
    <xf numFmtId="0" fontId="19" fillId="19" borderId="0" xfId="0" applyFont="1" applyFill="1" applyBorder="1" applyProtection="1"/>
    <xf numFmtId="0" fontId="19" fillId="19" borderId="15" xfId="0" applyFont="1" applyFill="1" applyBorder="1" applyProtection="1"/>
    <xf numFmtId="0" fontId="4" fillId="19" borderId="15" xfId="0" applyFont="1" applyFill="1" applyBorder="1" applyProtection="1"/>
    <xf numFmtId="0" fontId="4" fillId="19" borderId="169" xfId="0" applyFont="1" applyFill="1" applyBorder="1" applyProtection="1"/>
    <xf numFmtId="0" fontId="8" fillId="19" borderId="217" xfId="0" applyFont="1" applyFill="1" applyBorder="1" applyAlignment="1" applyProtection="1">
      <alignment horizontal="left"/>
    </xf>
    <xf numFmtId="0" fontId="8" fillId="19" borderId="66" xfId="0" applyFont="1" applyFill="1" applyBorder="1" applyAlignment="1" applyProtection="1">
      <alignment horizontal="left"/>
    </xf>
    <xf numFmtId="0" fontId="3" fillId="19" borderId="66" xfId="0" applyFont="1" applyFill="1" applyBorder="1" applyAlignment="1" applyProtection="1">
      <alignment horizontal="left"/>
    </xf>
    <xf numFmtId="0" fontId="33" fillId="19" borderId="178" xfId="0" applyFont="1" applyFill="1" applyBorder="1" applyAlignment="1" applyProtection="1">
      <alignment horizontal="left" vertical="top" wrapText="1"/>
    </xf>
    <xf numFmtId="3" fontId="43" fillId="19" borderId="29" xfId="0" applyNumberFormat="1" applyFont="1" applyFill="1" applyBorder="1" applyAlignment="1" applyProtection="1">
      <alignment vertical="top" wrapText="1"/>
    </xf>
    <xf numFmtId="3" fontId="2" fillId="19" borderId="46" xfId="0" applyNumberFormat="1" applyFont="1" applyFill="1" applyBorder="1" applyAlignment="1" applyProtection="1">
      <alignment horizontal="right"/>
    </xf>
    <xf numFmtId="168" fontId="42" fillId="19" borderId="159" xfId="0" applyNumberFormat="1" applyFont="1" applyFill="1" applyBorder="1" applyProtection="1"/>
    <xf numFmtId="0" fontId="14" fillId="19" borderId="94" xfId="0" applyFont="1" applyFill="1" applyBorder="1" applyAlignment="1" applyProtection="1">
      <alignment wrapText="1"/>
    </xf>
    <xf numFmtId="3" fontId="46" fillId="19" borderId="162" xfId="0" applyNumberFormat="1" applyFont="1" applyFill="1" applyBorder="1" applyProtection="1"/>
    <xf numFmtId="3" fontId="46" fillId="19" borderId="128" xfId="0" applyNumberFormat="1" applyFont="1" applyFill="1" applyBorder="1" applyProtection="1"/>
    <xf numFmtId="9" fontId="46" fillId="19" borderId="94" xfId="0" applyNumberFormat="1" applyFont="1" applyFill="1" applyBorder="1" applyProtection="1"/>
    <xf numFmtId="3" fontId="2" fillId="19" borderId="46" xfId="0" applyNumberFormat="1" applyFont="1" applyFill="1" applyBorder="1" applyAlignment="1" applyProtection="1">
      <alignment horizontal="right" vertical="top" wrapText="1"/>
    </xf>
    <xf numFmtId="3" fontId="43" fillId="19" borderId="22" xfId="0" applyNumberFormat="1" applyFont="1" applyFill="1" applyBorder="1" applyAlignment="1" applyProtection="1">
      <alignment vertical="top"/>
    </xf>
    <xf numFmtId="3" fontId="46" fillId="19" borderId="16" xfId="0" applyNumberFormat="1" applyFont="1" applyFill="1" applyBorder="1" applyProtection="1"/>
    <xf numFmtId="3" fontId="46" fillId="19" borderId="68" xfId="0" applyNumberFormat="1" applyFont="1" applyFill="1" applyBorder="1" applyProtection="1"/>
    <xf numFmtId="0" fontId="9" fillId="19" borderId="7" xfId="0" applyFont="1" applyFill="1" applyBorder="1" applyAlignment="1" applyProtection="1">
      <alignment vertical="top"/>
    </xf>
    <xf numFmtId="3" fontId="131" fillId="3" borderId="63" xfId="0" applyNumberFormat="1" applyFont="1" applyFill="1" applyBorder="1" applyAlignment="1" applyProtection="1">
      <alignment horizontal="right"/>
    </xf>
    <xf numFmtId="3" fontId="131" fillId="3" borderId="214" xfId="0" applyNumberFormat="1" applyFont="1" applyFill="1" applyBorder="1" applyAlignment="1" applyProtection="1">
      <alignment horizontal="right"/>
    </xf>
    <xf numFmtId="3" fontId="3" fillId="19" borderId="55" xfId="0" applyNumberFormat="1" applyFont="1" applyFill="1" applyBorder="1" applyAlignment="1" applyProtection="1"/>
    <xf numFmtId="3" fontId="3" fillId="0" borderId="0" xfId="0" applyNumberFormat="1" applyFont="1" applyFill="1" applyBorder="1" applyAlignment="1" applyProtection="1">
      <alignment horizontal="center"/>
    </xf>
    <xf numFmtId="3" fontId="5" fillId="0" borderId="0" xfId="0" applyNumberFormat="1" applyFont="1" applyFill="1" applyBorder="1" applyAlignment="1" applyProtection="1"/>
    <xf numFmtId="3" fontId="8" fillId="0" borderId="0" xfId="0" applyNumberFormat="1" applyFont="1" applyFill="1" applyBorder="1" applyAlignment="1" applyProtection="1"/>
    <xf numFmtId="3" fontId="3" fillId="19" borderId="12" xfId="0" applyNumberFormat="1" applyFont="1" applyFill="1" applyBorder="1" applyAlignment="1" applyProtection="1"/>
    <xf numFmtId="3" fontId="8" fillId="19" borderId="12" xfId="0" applyNumberFormat="1" applyFont="1" applyFill="1" applyBorder="1" applyAlignment="1" applyProtection="1"/>
    <xf numFmtId="1" fontId="8" fillId="19" borderId="35" xfId="0" applyNumberFormat="1" applyFont="1" applyFill="1" applyBorder="1" applyAlignment="1" applyProtection="1">
      <alignment horizontal="center"/>
    </xf>
    <xf numFmtId="1" fontId="3" fillId="19" borderId="35" xfId="0" applyNumberFormat="1" applyFont="1" applyFill="1" applyBorder="1" applyAlignment="1" applyProtection="1">
      <alignment horizontal="left"/>
    </xf>
    <xf numFmtId="3" fontId="13" fillId="2" borderId="64" xfId="0" applyNumberFormat="1" applyFont="1" applyFill="1" applyBorder="1" applyAlignment="1" applyProtection="1">
      <alignment horizontal="right"/>
      <protection locked="0"/>
    </xf>
    <xf numFmtId="1" fontId="3" fillId="19" borderId="70" xfId="0" applyNumberFormat="1" applyFont="1" applyFill="1" applyBorder="1" applyAlignment="1" applyProtection="1">
      <alignment horizontal="left"/>
    </xf>
    <xf numFmtId="0" fontId="123" fillId="0" borderId="0" xfId="0" applyFont="1" applyFill="1" applyProtection="1"/>
    <xf numFmtId="0" fontId="123" fillId="2" borderId="0" xfId="0" applyFont="1" applyFill="1" applyBorder="1" applyProtection="1"/>
    <xf numFmtId="49" fontId="129" fillId="19" borderId="127" xfId="0" applyNumberFormat="1" applyFont="1" applyFill="1" applyBorder="1" applyAlignment="1" applyProtection="1">
      <alignment horizontal="center"/>
    </xf>
    <xf numFmtId="3" fontId="2" fillId="19" borderId="45" xfId="0" applyNumberFormat="1" applyFont="1" applyFill="1" applyBorder="1" applyProtection="1"/>
    <xf numFmtId="3" fontId="2" fillId="19" borderId="93" xfId="0" applyNumberFormat="1" applyFont="1" applyFill="1" applyBorder="1" applyProtection="1"/>
    <xf numFmtId="3" fontId="2" fillId="20" borderId="72" xfId="0" applyNumberFormat="1" applyFont="1" applyFill="1" applyBorder="1" applyAlignment="1" applyProtection="1">
      <alignment horizontal="right"/>
    </xf>
    <xf numFmtId="3" fontId="132" fillId="19" borderId="5" xfId="0" applyNumberFormat="1" applyFont="1" applyFill="1" applyBorder="1" applyAlignment="1" applyProtection="1"/>
    <xf numFmtId="49" fontId="3" fillId="19" borderId="12" xfId="0" applyNumberFormat="1" applyFont="1" applyFill="1" applyBorder="1" applyAlignment="1" applyProtection="1">
      <alignment horizontal="left" vertical="top" wrapText="1"/>
    </xf>
    <xf numFmtId="0" fontId="3" fillId="19" borderId="8" xfId="0" applyFont="1" applyFill="1" applyBorder="1" applyAlignment="1" applyProtection="1">
      <alignment vertical="top" wrapText="1"/>
    </xf>
    <xf numFmtId="3" fontId="46" fillId="21" borderId="138" xfId="0" applyNumberFormat="1" applyFont="1" applyFill="1" applyBorder="1" applyProtection="1"/>
    <xf numFmtId="0" fontId="35" fillId="2" borderId="0" xfId="0" applyFont="1" applyFill="1" applyAlignment="1" applyProtection="1">
      <alignment vertical="top" wrapText="1"/>
    </xf>
    <xf numFmtId="3" fontId="35" fillId="2" borderId="0" xfId="0" applyNumberFormat="1" applyFont="1" applyFill="1" applyAlignment="1" applyProtection="1">
      <alignment vertical="top" wrapText="1"/>
    </xf>
    <xf numFmtId="9" fontId="0" fillId="0" borderId="0" xfId="0" applyNumberFormat="1"/>
    <xf numFmtId="3" fontId="10" fillId="0" borderId="0" xfId="0" applyNumberFormat="1" applyFont="1" applyFill="1" applyBorder="1" applyAlignment="1" applyProtection="1">
      <alignment horizontal="right"/>
    </xf>
    <xf numFmtId="0" fontId="127" fillId="0" borderId="0" xfId="0" applyFont="1" applyFill="1" applyProtection="1"/>
    <xf numFmtId="49" fontId="3" fillId="19" borderId="12" xfId="0" applyNumberFormat="1" applyFont="1" applyFill="1" applyBorder="1" applyAlignment="1" applyProtection="1">
      <alignment horizontal="right" vertical="center" wrapText="1"/>
    </xf>
    <xf numFmtId="0" fontId="3" fillId="19" borderId="8" xfId="0" applyFont="1" applyFill="1" applyBorder="1" applyAlignment="1" applyProtection="1">
      <alignment horizontal="left" vertical="top" wrapText="1"/>
    </xf>
    <xf numFmtId="0" fontId="3" fillId="19" borderId="25" xfId="6" applyFont="1" applyFill="1" applyBorder="1" applyProtection="1"/>
    <xf numFmtId="3" fontId="122" fillId="0" borderId="0" xfId="0" applyNumberFormat="1" applyFont="1" applyFill="1" applyBorder="1" applyAlignment="1" applyProtection="1">
      <alignment vertical="top"/>
    </xf>
    <xf numFmtId="0" fontId="2" fillId="0" borderId="0" xfId="0" applyFont="1" applyBorder="1" applyAlignment="1" applyProtection="1">
      <alignment vertical="top" wrapText="1"/>
      <protection locked="0"/>
    </xf>
    <xf numFmtId="3" fontId="2" fillId="0" borderId="18" xfId="0" applyNumberFormat="1" applyFont="1" applyFill="1" applyBorder="1" applyProtection="1">
      <protection locked="0"/>
    </xf>
    <xf numFmtId="3" fontId="9" fillId="0" borderId="0" xfId="0" applyNumberFormat="1" applyFont="1" applyFill="1" applyBorder="1" applyProtection="1">
      <protection locked="0"/>
    </xf>
    <xf numFmtId="49" fontId="8" fillId="0" borderId="67" xfId="0" applyNumberFormat="1" applyFont="1" applyFill="1" applyBorder="1" applyAlignment="1" applyProtection="1">
      <alignment horizontal="center"/>
    </xf>
    <xf numFmtId="49" fontId="8" fillId="0" borderId="67" xfId="0" applyNumberFormat="1" applyFont="1" applyFill="1" applyBorder="1" applyAlignment="1" applyProtection="1">
      <alignment horizontal="left"/>
    </xf>
    <xf numFmtId="3" fontId="2" fillId="0" borderId="0" xfId="0" applyNumberFormat="1" applyFont="1" applyFill="1" applyBorder="1" applyAlignment="1" applyProtection="1">
      <alignment horizontal="right"/>
      <protection locked="0"/>
    </xf>
    <xf numFmtId="49" fontId="3" fillId="19" borderId="218" xfId="0" applyNumberFormat="1" applyFont="1" applyFill="1" applyBorder="1" applyAlignment="1" applyProtection="1">
      <alignment horizontal="left"/>
    </xf>
    <xf numFmtId="0" fontId="52" fillId="2" borderId="170" xfId="0" applyFont="1" applyFill="1" applyBorder="1" applyProtection="1"/>
    <xf numFmtId="0" fontId="52" fillId="2" borderId="168" xfId="0" applyFont="1" applyFill="1" applyBorder="1" applyProtection="1"/>
    <xf numFmtId="3" fontId="2" fillId="2" borderId="43" xfId="0" applyNumberFormat="1" applyFont="1" applyFill="1" applyBorder="1" applyAlignment="1" applyProtection="1">
      <alignment horizontal="right"/>
      <protection locked="0"/>
    </xf>
    <xf numFmtId="0" fontId="0" fillId="2" borderId="57" xfId="0" applyFill="1" applyBorder="1" applyProtection="1"/>
    <xf numFmtId="0" fontId="2" fillId="0" borderId="0" xfId="0" applyFont="1" applyBorder="1" applyAlignment="1" applyProtection="1">
      <alignment wrapText="1"/>
      <protection locked="0"/>
    </xf>
    <xf numFmtId="0" fontId="52" fillId="2" borderId="1" xfId="0" applyFont="1" applyFill="1" applyBorder="1" applyProtection="1"/>
    <xf numFmtId="0" fontId="0" fillId="2" borderId="62" xfId="0" applyFill="1" applyBorder="1" applyProtection="1"/>
    <xf numFmtId="49" fontId="3" fillId="0" borderId="209" xfId="0" applyNumberFormat="1" applyFont="1" applyFill="1" applyBorder="1" applyAlignment="1" applyProtection="1">
      <alignment horizontal="center"/>
    </xf>
    <xf numFmtId="3" fontId="2" fillId="2" borderId="14" xfId="0" applyNumberFormat="1" applyFont="1" applyFill="1" applyBorder="1" applyAlignment="1" applyProtection="1">
      <alignment horizontal="right"/>
      <protection locked="0"/>
    </xf>
    <xf numFmtId="0" fontId="52" fillId="2" borderId="43" xfId="0" applyFont="1" applyFill="1" applyBorder="1" applyProtection="1"/>
    <xf numFmtId="3" fontId="2" fillId="9" borderId="85" xfId="0" applyNumberFormat="1" applyFont="1" applyFill="1" applyBorder="1" applyProtection="1"/>
    <xf numFmtId="3" fontId="13" fillId="2" borderId="35" xfId="0" applyNumberFormat="1" applyFont="1" applyFill="1" applyBorder="1" applyAlignment="1" applyProtection="1">
      <alignment horizontal="right"/>
      <protection locked="0"/>
    </xf>
    <xf numFmtId="3" fontId="13" fillId="2" borderId="40" xfId="0" applyNumberFormat="1" applyFont="1" applyFill="1" applyBorder="1" applyAlignment="1" applyProtection="1">
      <alignment horizontal="right"/>
      <protection locked="0"/>
    </xf>
    <xf numFmtId="3" fontId="13" fillId="2" borderId="70" xfId="0" applyNumberFormat="1" applyFont="1" applyFill="1" applyBorder="1" applyAlignment="1" applyProtection="1">
      <alignment horizontal="right"/>
      <protection locked="0"/>
    </xf>
    <xf numFmtId="0" fontId="3" fillId="19" borderId="133" xfId="0" applyFont="1" applyFill="1" applyBorder="1" applyAlignment="1" applyProtection="1">
      <alignment horizontal="center"/>
    </xf>
    <xf numFmtId="3" fontId="13" fillId="2" borderId="69" xfId="0" applyNumberFormat="1" applyFont="1" applyFill="1" applyBorder="1" applyAlignment="1" applyProtection="1">
      <alignment horizontal="right"/>
      <protection locked="0"/>
    </xf>
    <xf numFmtId="3" fontId="2" fillId="0" borderId="36" xfId="0" applyNumberFormat="1" applyFont="1" applyFill="1" applyBorder="1" applyProtection="1"/>
    <xf numFmtId="0" fontId="122" fillId="2" borderId="0" xfId="0" applyFont="1" applyFill="1" applyBorder="1" applyProtection="1"/>
    <xf numFmtId="166" fontId="5" fillId="19" borderId="147" xfId="0" applyNumberFormat="1" applyFont="1" applyFill="1" applyBorder="1" applyAlignment="1" applyProtection="1">
      <alignment horizontal="left"/>
    </xf>
    <xf numFmtId="3" fontId="13" fillId="2" borderId="107" xfId="0" applyNumberFormat="1" applyFont="1" applyFill="1" applyBorder="1" applyAlignment="1" applyProtection="1">
      <alignment horizontal="right"/>
      <protection locked="0"/>
    </xf>
    <xf numFmtId="166" fontId="5" fillId="19" borderId="95" xfId="0" applyNumberFormat="1" applyFont="1" applyFill="1" applyBorder="1" applyAlignment="1" applyProtection="1">
      <alignment horizontal="left"/>
    </xf>
    <xf numFmtId="166" fontId="3" fillId="19" borderId="56" xfId="0" applyNumberFormat="1" applyFont="1" applyFill="1" applyBorder="1" applyAlignment="1" applyProtection="1">
      <alignment horizontal="left"/>
    </xf>
    <xf numFmtId="1" fontId="8" fillId="19" borderId="70" xfId="0" applyNumberFormat="1" applyFont="1" applyFill="1" applyBorder="1" applyAlignment="1" applyProtection="1">
      <alignment horizontal="center"/>
    </xf>
    <xf numFmtId="0" fontId="3" fillId="19" borderId="34" xfId="0" applyNumberFormat="1" applyFont="1" applyFill="1" applyBorder="1" applyAlignment="1" applyProtection="1">
      <alignment horizontal="center"/>
    </xf>
    <xf numFmtId="49" fontId="3" fillId="19" borderId="35" xfId="0" applyNumberFormat="1" applyFont="1" applyFill="1" applyBorder="1" applyAlignment="1" applyProtection="1">
      <alignment horizontal="center" wrapText="1"/>
    </xf>
    <xf numFmtId="0" fontId="9" fillId="0" borderId="0" xfId="0" applyNumberFormat="1" applyFont="1" applyBorder="1" applyAlignment="1" applyProtection="1">
      <alignment vertical="top"/>
    </xf>
    <xf numFmtId="3" fontId="2" fillId="9" borderId="26" xfId="0" applyNumberFormat="1" applyFont="1" applyFill="1" applyBorder="1" applyAlignment="1" applyProtection="1"/>
    <xf numFmtId="1" fontId="133" fillId="19" borderId="90" xfId="0" applyNumberFormat="1" applyFont="1" applyFill="1" applyBorder="1" applyAlignment="1" applyProtection="1">
      <alignment horizontal="left" vertical="top" wrapText="1"/>
    </xf>
    <xf numFmtId="0" fontId="3" fillId="19" borderId="203" xfId="0" applyFont="1" applyFill="1" applyBorder="1" applyAlignment="1" applyProtection="1">
      <alignment wrapText="1"/>
    </xf>
    <xf numFmtId="0" fontId="3" fillId="19" borderId="211" xfId="0" applyFont="1" applyFill="1" applyBorder="1" applyAlignment="1" applyProtection="1">
      <alignment horizontal="left" wrapText="1"/>
    </xf>
    <xf numFmtId="0" fontId="135" fillId="19" borderId="150" xfId="0" applyFont="1" applyFill="1" applyBorder="1" applyProtection="1"/>
    <xf numFmtId="3" fontId="2" fillId="3" borderId="114" xfId="0" applyNumberFormat="1" applyFont="1" applyFill="1" applyBorder="1" applyProtection="1"/>
    <xf numFmtId="3" fontId="2" fillId="3" borderId="7" xfId="0" applyNumberFormat="1" applyFont="1" applyFill="1" applyBorder="1" applyProtection="1"/>
    <xf numFmtId="3" fontId="10" fillId="2" borderId="6" xfId="0" quotePrefix="1" applyNumberFormat="1" applyFont="1" applyFill="1" applyBorder="1" applyAlignment="1" applyProtection="1">
      <alignment horizontal="right"/>
      <protection locked="0"/>
    </xf>
    <xf numFmtId="3" fontId="10" fillId="0" borderId="6" xfId="0" quotePrefix="1" applyNumberFormat="1" applyFont="1" applyFill="1" applyBorder="1" applyAlignment="1" applyProtection="1">
      <alignment horizontal="right"/>
      <protection locked="0"/>
    </xf>
    <xf numFmtId="3" fontId="2" fillId="9" borderId="178" xfId="0" applyNumberFormat="1" applyFont="1" applyFill="1" applyBorder="1" applyAlignment="1" applyProtection="1"/>
    <xf numFmtId="3" fontId="2" fillId="9" borderId="91" xfId="0" applyNumberFormat="1" applyFont="1" applyFill="1" applyBorder="1" applyAlignment="1" applyProtection="1"/>
    <xf numFmtId="0" fontId="3" fillId="0" borderId="0" xfId="0" applyFont="1" applyAlignment="1"/>
    <xf numFmtId="1" fontId="2" fillId="0" borderId="0" xfId="0" applyNumberFormat="1" applyFont="1" applyFill="1" applyBorder="1" applyAlignment="1" applyProtection="1">
      <alignment horizontal="left" vertical="top"/>
    </xf>
    <xf numFmtId="3" fontId="2" fillId="0" borderId="18" xfId="6" applyNumberFormat="1" applyFont="1" applyFill="1" applyBorder="1" applyAlignment="1" applyProtection="1">
      <alignment horizontal="right"/>
      <protection locked="0"/>
    </xf>
    <xf numFmtId="0" fontId="3" fillId="19" borderId="23" xfId="0" applyFont="1" applyFill="1" applyBorder="1" applyAlignment="1" applyProtection="1">
      <alignment horizontal="left" vertical="top" wrapText="1"/>
    </xf>
    <xf numFmtId="0" fontId="5" fillId="19" borderId="9" xfId="0" applyFont="1" applyFill="1" applyBorder="1" applyAlignment="1" applyProtection="1">
      <alignment wrapText="1"/>
    </xf>
    <xf numFmtId="0" fontId="3" fillId="19" borderId="23" xfId="6" applyFont="1" applyFill="1" applyBorder="1" applyAlignment="1" applyProtection="1">
      <alignment horizontal="left" vertical="top" wrapText="1"/>
    </xf>
    <xf numFmtId="0" fontId="5" fillId="19" borderId="9" xfId="6" applyFont="1" applyFill="1" applyBorder="1" applyAlignment="1" applyProtection="1">
      <alignment wrapText="1"/>
    </xf>
    <xf numFmtId="0" fontId="2" fillId="0" borderId="0" xfId="0" quotePrefix="1" applyFont="1" applyFill="1" applyBorder="1" applyAlignment="1" applyProtection="1">
      <alignment vertical="top"/>
    </xf>
    <xf numFmtId="49" fontId="3" fillId="19" borderId="0" xfId="6" applyNumberFormat="1" applyFont="1" applyFill="1" applyBorder="1" applyAlignment="1" applyProtection="1">
      <alignment horizontal="center"/>
    </xf>
    <xf numFmtId="0" fontId="3" fillId="19" borderId="36" xfId="6" applyFont="1" applyFill="1" applyBorder="1" applyAlignment="1" applyProtection="1">
      <alignment horizontal="left" vertical="top" wrapText="1"/>
    </xf>
    <xf numFmtId="0" fontId="5" fillId="19" borderId="15" xfId="6" applyFont="1" applyFill="1" applyBorder="1" applyProtection="1"/>
    <xf numFmtId="0" fontId="3" fillId="19" borderId="42" xfId="6" applyFont="1" applyFill="1" applyBorder="1" applyProtection="1"/>
    <xf numFmtId="3" fontId="2" fillId="3" borderId="63" xfId="6" applyNumberFormat="1" applyFont="1" applyFill="1" applyBorder="1" applyAlignment="1" applyProtection="1">
      <alignment horizontal="right"/>
    </xf>
    <xf numFmtId="0" fontId="35" fillId="2" borderId="0" xfId="6" applyFont="1" applyFill="1" applyBorder="1" applyAlignment="1" applyProtection="1">
      <alignment horizontal="left" vertical="top"/>
    </xf>
    <xf numFmtId="3" fontId="2" fillId="3" borderId="84" xfId="6" applyNumberFormat="1" applyFont="1" applyFill="1" applyBorder="1" applyAlignment="1" applyProtection="1">
      <alignment horizontal="right"/>
    </xf>
    <xf numFmtId="0" fontId="5" fillId="19" borderId="118" xfId="6" applyFont="1" applyFill="1" applyBorder="1" applyAlignment="1" applyProtection="1">
      <alignment horizontal="left"/>
    </xf>
    <xf numFmtId="0" fontId="2" fillId="0" borderId="0" xfId="6" applyFont="1" applyFill="1" applyBorder="1" applyAlignment="1" applyProtection="1">
      <alignment vertical="top"/>
    </xf>
    <xf numFmtId="0" fontId="3" fillId="19" borderId="15" xfId="6" applyFont="1" applyFill="1" applyBorder="1" applyProtection="1"/>
    <xf numFmtId="3" fontId="2" fillId="0" borderId="2" xfId="6" applyNumberFormat="1" applyFont="1" applyFill="1" applyBorder="1" applyAlignment="1" applyProtection="1">
      <alignment horizontal="right"/>
      <protection locked="0"/>
    </xf>
    <xf numFmtId="3" fontId="2" fillId="0" borderId="15" xfId="6" applyNumberFormat="1" applyFont="1" applyFill="1" applyBorder="1" applyAlignment="1" applyProtection="1">
      <alignment horizontal="right"/>
      <protection locked="0"/>
    </xf>
    <xf numFmtId="3" fontId="2" fillId="0" borderId="60" xfId="6" applyNumberFormat="1" applyFont="1" applyFill="1" applyBorder="1" applyAlignment="1" applyProtection="1">
      <alignment horizontal="right"/>
      <protection locked="0"/>
    </xf>
    <xf numFmtId="0" fontId="1" fillId="2" borderId="0" xfId="6" applyFont="1" applyFill="1" applyAlignment="1" applyProtection="1">
      <alignment vertical="top"/>
    </xf>
    <xf numFmtId="3" fontId="35" fillId="2" borderId="0" xfId="6" applyNumberFormat="1" applyFont="1" applyFill="1" applyAlignment="1" applyProtection="1">
      <alignment vertical="top"/>
    </xf>
    <xf numFmtId="0" fontId="71" fillId="2" borderId="0" xfId="6" applyFont="1" applyFill="1" applyAlignment="1" applyProtection="1">
      <alignment vertical="top"/>
    </xf>
    <xf numFmtId="0" fontId="22" fillId="2" borderId="0" xfId="6" applyFill="1" applyBorder="1" applyAlignment="1" applyProtection="1">
      <alignment horizontal="left" vertical="top"/>
    </xf>
    <xf numFmtId="0" fontId="22" fillId="2" borderId="0" xfId="6" applyFill="1" applyAlignment="1" applyProtection="1">
      <alignment vertical="top"/>
    </xf>
    <xf numFmtId="0" fontId="72" fillId="2" borderId="0" xfId="6" applyFont="1" applyFill="1" applyAlignment="1" applyProtection="1">
      <alignment vertical="top"/>
    </xf>
    <xf numFmtId="3" fontId="3" fillId="19" borderId="20" xfId="0" applyNumberFormat="1" applyFont="1" applyFill="1" applyBorder="1" applyAlignment="1" applyProtection="1">
      <alignment horizontal="center"/>
    </xf>
    <xf numFmtId="3" fontId="3" fillId="19" borderId="57" xfId="0" applyNumberFormat="1" applyFont="1" applyFill="1" applyBorder="1" applyAlignment="1" applyProtection="1">
      <alignment vertical="center" wrapText="1"/>
    </xf>
    <xf numFmtId="3" fontId="2" fillId="19" borderId="35" xfId="6" applyNumberFormat="1" applyFont="1" applyFill="1" applyBorder="1" applyProtection="1"/>
    <xf numFmtId="3" fontId="3" fillId="19" borderId="160" xfId="6" applyNumberFormat="1" applyFont="1" applyFill="1" applyBorder="1" applyProtection="1"/>
    <xf numFmtId="0" fontId="7" fillId="19" borderId="177" xfId="6" applyFont="1" applyFill="1" applyBorder="1" applyProtection="1"/>
    <xf numFmtId="3" fontId="2" fillId="19" borderId="5" xfId="6" applyNumberFormat="1" applyFont="1" applyFill="1" applyBorder="1" applyProtection="1"/>
    <xf numFmtId="3" fontId="43" fillId="19" borderId="39" xfId="6" applyNumberFormat="1" applyFont="1" applyFill="1" applyBorder="1" applyAlignment="1" applyProtection="1">
      <alignment horizontal="right"/>
    </xf>
    <xf numFmtId="168" fontId="42" fillId="19" borderId="150" xfId="6" applyNumberFormat="1" applyFont="1" applyFill="1" applyBorder="1" applyProtection="1"/>
    <xf numFmtId="168" fontId="42" fillId="19" borderId="195" xfId="6" applyNumberFormat="1" applyFont="1" applyFill="1" applyBorder="1" applyProtection="1"/>
    <xf numFmtId="0" fontId="3" fillId="19" borderId="158" xfId="6" applyFont="1" applyFill="1" applyBorder="1" applyProtection="1"/>
    <xf numFmtId="3" fontId="5" fillId="19" borderId="111" xfId="6" applyNumberFormat="1" applyFont="1" applyFill="1" applyBorder="1" applyAlignment="1" applyProtection="1">
      <alignment vertical="top"/>
    </xf>
    <xf numFmtId="3" fontId="3" fillId="19" borderId="0" xfId="6" applyNumberFormat="1" applyFont="1" applyFill="1" applyBorder="1" applyAlignment="1" applyProtection="1">
      <alignment vertical="top"/>
    </xf>
    <xf numFmtId="168" fontId="3" fillId="19" borderId="1" xfId="6" applyNumberFormat="1" applyFont="1" applyFill="1" applyBorder="1" applyProtection="1"/>
    <xf numFmtId="3" fontId="2" fillId="19" borderId="68" xfId="6" applyNumberFormat="1" applyFont="1" applyFill="1" applyBorder="1" applyProtection="1"/>
    <xf numFmtId="3" fontId="46" fillId="19" borderId="35" xfId="6" quotePrefix="1" applyNumberFormat="1" applyFont="1" applyFill="1" applyBorder="1" applyAlignment="1" applyProtection="1">
      <alignment horizontal="right"/>
    </xf>
    <xf numFmtId="3" fontId="46" fillId="19" borderId="35" xfId="6" applyNumberFormat="1" applyFont="1" applyFill="1" applyBorder="1" applyProtection="1"/>
    <xf numFmtId="3" fontId="3" fillId="19" borderId="174" xfId="6" applyNumberFormat="1" applyFont="1" applyFill="1" applyBorder="1" applyAlignment="1" applyProtection="1">
      <alignment vertical="top" wrapText="1"/>
    </xf>
    <xf numFmtId="0" fontId="3" fillId="19" borderId="170" xfId="6" applyFont="1" applyFill="1" applyBorder="1" applyAlignment="1" applyProtection="1">
      <alignment vertical="top" wrapText="1"/>
    </xf>
    <xf numFmtId="3" fontId="3" fillId="19" borderId="160" xfId="6" applyNumberFormat="1" applyFont="1" applyFill="1" applyBorder="1" applyAlignment="1" applyProtection="1">
      <alignment vertical="center"/>
    </xf>
    <xf numFmtId="0" fontId="3" fillId="19" borderId="16" xfId="6" applyFont="1" applyFill="1" applyBorder="1" applyAlignment="1" applyProtection="1">
      <alignment horizontal="left" vertical="center"/>
    </xf>
    <xf numFmtId="0" fontId="3" fillId="19" borderId="16" xfId="6" applyFont="1" applyFill="1" applyBorder="1" applyAlignment="1" applyProtection="1">
      <alignment vertical="top"/>
    </xf>
    <xf numFmtId="3" fontId="2" fillId="19" borderId="15" xfId="6" applyNumberFormat="1" applyFont="1" applyFill="1" applyBorder="1" applyProtection="1"/>
    <xf numFmtId="3" fontId="2" fillId="19" borderId="13" xfId="6" applyNumberFormat="1" applyFont="1" applyFill="1" applyBorder="1" applyProtection="1"/>
    <xf numFmtId="0" fontId="3" fillId="19" borderId="194" xfId="0" applyFont="1" applyFill="1" applyBorder="1" applyAlignment="1" applyProtection="1"/>
    <xf numFmtId="3" fontId="3" fillId="19" borderId="158" xfId="0" applyNumberFormat="1" applyFont="1" applyFill="1" applyBorder="1" applyAlignment="1" applyProtection="1"/>
    <xf numFmtId="3" fontId="3" fillId="19" borderId="160" xfId="0" applyNumberFormat="1" applyFont="1" applyFill="1" applyBorder="1" applyAlignment="1" applyProtection="1"/>
    <xf numFmtId="0" fontId="0" fillId="2" borderId="0" xfId="0" applyFill="1" applyAlignment="1" applyProtection="1"/>
    <xf numFmtId="0" fontId="3" fillId="0" borderId="0" xfId="0" applyFont="1" applyFill="1" applyAlignment="1" applyProtection="1"/>
    <xf numFmtId="0" fontId="3" fillId="19" borderId="118" xfId="0" applyFont="1" applyFill="1" applyBorder="1" applyAlignment="1" applyProtection="1"/>
    <xf numFmtId="3" fontId="5" fillId="19" borderId="96" xfId="0" applyNumberFormat="1" applyFont="1" applyFill="1" applyBorder="1" applyAlignment="1" applyProtection="1"/>
    <xf numFmtId="3" fontId="3" fillId="19" borderId="0" xfId="0" applyNumberFormat="1" applyFont="1" applyFill="1" applyBorder="1" applyAlignment="1" applyProtection="1"/>
    <xf numFmtId="3" fontId="3" fillId="19" borderId="57" xfId="0" applyNumberFormat="1" applyFont="1" applyFill="1" applyBorder="1" applyAlignment="1" applyProtection="1"/>
    <xf numFmtId="3" fontId="2" fillId="9" borderId="5" xfId="0" applyNumberFormat="1" applyFont="1" applyFill="1" applyBorder="1" applyAlignment="1" applyProtection="1"/>
    <xf numFmtId="0" fontId="3" fillId="19" borderId="56" xfId="0" applyFont="1" applyFill="1" applyBorder="1" applyAlignment="1" applyProtection="1"/>
    <xf numFmtId="0" fontId="3" fillId="19" borderId="111" xfId="6" applyFont="1" applyFill="1" applyBorder="1" applyAlignment="1" applyProtection="1"/>
    <xf numFmtId="0" fontId="3" fillId="19" borderId="62" xfId="6" applyFont="1" applyFill="1" applyBorder="1" applyAlignment="1" applyProtection="1"/>
    <xf numFmtId="0" fontId="3" fillId="19" borderId="0" xfId="0" applyFont="1" applyFill="1" applyBorder="1" applyAlignment="1" applyProtection="1"/>
    <xf numFmtId="0" fontId="3" fillId="19" borderId="169" xfId="0" applyFont="1" applyFill="1" applyBorder="1" applyAlignment="1" applyProtection="1"/>
    <xf numFmtId="0" fontId="3" fillId="19" borderId="160" xfId="6" applyFont="1" applyFill="1" applyBorder="1" applyAlignment="1" applyProtection="1"/>
    <xf numFmtId="0" fontId="3" fillId="19" borderId="160" xfId="0" applyFont="1" applyFill="1" applyBorder="1" applyAlignment="1" applyProtection="1"/>
    <xf numFmtId="0" fontId="3" fillId="19" borderId="147" xfId="0" applyFont="1" applyFill="1" applyBorder="1" applyAlignment="1" applyProtection="1"/>
    <xf numFmtId="168" fontId="3" fillId="19" borderId="177" xfId="0" applyNumberFormat="1" applyFont="1" applyFill="1" applyBorder="1" applyAlignment="1" applyProtection="1"/>
    <xf numFmtId="0" fontId="5" fillId="19" borderId="54" xfId="0" applyFont="1" applyFill="1" applyBorder="1" applyAlignment="1" applyProtection="1"/>
    <xf numFmtId="3" fontId="2" fillId="9" borderId="35" xfId="0" applyNumberFormat="1" applyFont="1" applyFill="1" applyBorder="1" applyAlignment="1" applyProtection="1"/>
    <xf numFmtId="3" fontId="2" fillId="9" borderId="136" xfId="0" applyNumberFormat="1" applyFont="1" applyFill="1" applyBorder="1" applyAlignment="1" applyProtection="1"/>
    <xf numFmtId="0" fontId="3" fillId="0" borderId="0" xfId="6" applyFont="1" applyBorder="1" applyAlignment="1" applyProtection="1"/>
    <xf numFmtId="0" fontId="22" fillId="0" borderId="0" xfId="6" applyBorder="1" applyAlignment="1" applyProtection="1"/>
    <xf numFmtId="0" fontId="3" fillId="19" borderId="5" xfId="0" applyFont="1" applyFill="1" applyBorder="1" applyAlignment="1" applyProtection="1"/>
    <xf numFmtId="0" fontId="5" fillId="19" borderId="5" xfId="0" applyFont="1" applyFill="1" applyBorder="1" applyAlignment="1" applyProtection="1"/>
    <xf numFmtId="0" fontId="3" fillId="19" borderId="107" xfId="0" applyFont="1" applyFill="1" applyBorder="1" applyAlignment="1" applyProtection="1"/>
    <xf numFmtId="0" fontId="5" fillId="19" borderId="55" xfId="0" applyFont="1" applyFill="1" applyBorder="1" applyAlignment="1" applyProtection="1"/>
    <xf numFmtId="3" fontId="2" fillId="9" borderId="2" xfId="0" applyNumberFormat="1" applyFont="1" applyFill="1" applyBorder="1" applyAlignment="1" applyProtection="1"/>
    <xf numFmtId="3" fontId="2" fillId="9" borderId="54" xfId="0" applyNumberFormat="1" applyFont="1" applyFill="1" applyBorder="1" applyAlignment="1" applyProtection="1"/>
    <xf numFmtId="0" fontId="3" fillId="19" borderId="2" xfId="0" applyFont="1" applyFill="1" applyBorder="1" applyAlignment="1" applyProtection="1"/>
    <xf numFmtId="0" fontId="5" fillId="19" borderId="2" xfId="0" applyFont="1" applyFill="1" applyBorder="1" applyAlignment="1" applyProtection="1"/>
    <xf numFmtId="0" fontId="3" fillId="19" borderId="25" xfId="0" applyFont="1" applyFill="1" applyBorder="1" applyAlignment="1" applyProtection="1"/>
    <xf numFmtId="0" fontId="5" fillId="19" borderId="13" xfId="0" applyFont="1" applyFill="1" applyBorder="1" applyAlignment="1" applyProtection="1"/>
    <xf numFmtId="0" fontId="5" fillId="19" borderId="15" xfId="0" applyFont="1" applyFill="1" applyBorder="1" applyAlignment="1" applyProtection="1"/>
    <xf numFmtId="0" fontId="10" fillId="0" borderId="0" xfId="0" applyFont="1" applyFill="1" applyBorder="1" applyAlignment="1" applyProtection="1"/>
    <xf numFmtId="0" fontId="22" fillId="0" borderId="0" xfId="0" applyFont="1" applyFill="1" applyAlignment="1" applyProtection="1"/>
    <xf numFmtId="0" fontId="22" fillId="0" borderId="0" xfId="0" applyFont="1" applyFill="1" applyBorder="1" applyAlignment="1" applyProtection="1"/>
    <xf numFmtId="1" fontId="3" fillId="19" borderId="89" xfId="0" applyNumberFormat="1" applyFont="1" applyFill="1" applyBorder="1" applyAlignment="1" applyProtection="1">
      <alignment horizontal="center" vertical="top" wrapText="1"/>
    </xf>
    <xf numFmtId="1" fontId="3" fillId="19" borderId="42" xfId="0" applyNumberFormat="1" applyFont="1" applyFill="1" applyBorder="1" applyAlignment="1" applyProtection="1">
      <alignment horizontal="left" wrapText="1"/>
    </xf>
    <xf numFmtId="3" fontId="3" fillId="19" borderId="160" xfId="0" applyNumberFormat="1" applyFont="1" applyFill="1" applyBorder="1" applyAlignment="1" applyProtection="1">
      <alignment vertical="top"/>
    </xf>
    <xf numFmtId="3" fontId="43" fillId="0" borderId="0" xfId="6" applyNumberFormat="1" applyFont="1" applyFill="1" applyBorder="1" applyAlignment="1" applyProtection="1">
      <alignment horizontal="right"/>
    </xf>
    <xf numFmtId="0" fontId="0" fillId="0" borderId="0" xfId="0" applyAlignment="1" applyProtection="1">
      <alignment horizontal="right"/>
    </xf>
    <xf numFmtId="0" fontId="0" fillId="0" borderId="0" xfId="0" applyBorder="1" applyAlignment="1" applyProtection="1">
      <alignment horizontal="right"/>
    </xf>
    <xf numFmtId="3" fontId="43" fillId="0" borderId="0" xfId="6" quotePrefix="1" applyNumberFormat="1" applyFont="1" applyFill="1" applyBorder="1" applyAlignment="1" applyProtection="1"/>
    <xf numFmtId="3" fontId="43" fillId="0" borderId="0" xfId="6" quotePrefix="1" applyNumberFormat="1" applyFont="1" applyFill="1" applyBorder="1" applyAlignment="1" applyProtection="1">
      <alignment horizontal="right"/>
    </xf>
    <xf numFmtId="3" fontId="122" fillId="2" borderId="0" xfId="0" applyNumberFormat="1" applyFont="1" applyFill="1" applyProtection="1"/>
    <xf numFmtId="3" fontId="2" fillId="0" borderId="7" xfId="0" applyNumberFormat="1" applyFont="1" applyFill="1" applyBorder="1" applyAlignment="1" applyProtection="1">
      <alignment horizontal="right"/>
      <protection locked="0"/>
    </xf>
    <xf numFmtId="0" fontId="122" fillId="2" borderId="0" xfId="0" applyFont="1" applyFill="1" applyBorder="1" applyAlignment="1" applyProtection="1">
      <alignment horizontal="left"/>
    </xf>
    <xf numFmtId="0" fontId="122" fillId="2" borderId="0" xfId="0" applyFont="1" applyFill="1" applyBorder="1" applyAlignment="1" applyProtection="1"/>
    <xf numFmtId="49" fontId="7" fillId="2" borderId="0" xfId="0" applyNumberFormat="1" applyFont="1" applyFill="1" applyBorder="1" applyAlignment="1" applyProtection="1">
      <alignment vertical="top"/>
    </xf>
    <xf numFmtId="0" fontId="7" fillId="2" borderId="0" xfId="0" applyFont="1" applyFill="1" applyAlignment="1" applyProtection="1"/>
    <xf numFmtId="3" fontId="43" fillId="0" borderId="124" xfId="6" applyNumberFormat="1" applyFont="1" applyFill="1" applyBorder="1" applyAlignment="1" applyProtection="1">
      <alignment horizontal="right"/>
    </xf>
    <xf numFmtId="3" fontId="35" fillId="0" borderId="124" xfId="6" quotePrefix="1" applyNumberFormat="1" applyFont="1" applyFill="1" applyBorder="1" applyAlignment="1" applyProtection="1">
      <alignment horizontal="left"/>
    </xf>
    <xf numFmtId="49" fontId="3" fillId="19" borderId="130" xfId="0" applyNumberFormat="1" applyFont="1" applyFill="1" applyBorder="1" applyAlignment="1" applyProtection="1">
      <alignment horizontal="left"/>
    </xf>
    <xf numFmtId="49" fontId="3" fillId="19" borderId="172" xfId="0" applyNumberFormat="1" applyFont="1" applyFill="1" applyBorder="1" applyProtection="1"/>
    <xf numFmtId="1" fontId="3" fillId="19" borderId="220" xfId="0" applyNumberFormat="1" applyFont="1" applyFill="1" applyBorder="1" applyAlignment="1" applyProtection="1">
      <alignment horizontal="left"/>
    </xf>
    <xf numFmtId="1" fontId="3" fillId="19" borderId="220" xfId="0" applyNumberFormat="1" applyFont="1" applyFill="1" applyBorder="1" applyProtection="1"/>
    <xf numFmtId="1" fontId="2" fillId="19" borderId="221" xfId="0" applyNumberFormat="1" applyFont="1" applyFill="1" applyBorder="1" applyAlignment="1" applyProtection="1"/>
    <xf numFmtId="1" fontId="137" fillId="19" borderId="222" xfId="0" applyNumberFormat="1" applyFont="1" applyFill="1" applyBorder="1" applyAlignment="1" applyProtection="1"/>
    <xf numFmtId="1" fontId="137" fillId="19" borderId="180" xfId="0" applyNumberFormat="1" applyFont="1" applyFill="1" applyBorder="1" applyAlignment="1" applyProtection="1"/>
    <xf numFmtId="1" fontId="137" fillId="19" borderId="39" xfId="0" applyNumberFormat="1" applyFont="1" applyFill="1" applyBorder="1" applyAlignment="1" applyProtection="1"/>
    <xf numFmtId="1" fontId="137" fillId="19" borderId="59" xfId="0" applyNumberFormat="1" applyFont="1" applyFill="1" applyBorder="1" applyAlignment="1" applyProtection="1"/>
    <xf numFmtId="1" fontId="137" fillId="19" borderId="0" xfId="0" applyNumberFormat="1" applyFont="1" applyFill="1" applyBorder="1" applyAlignment="1" applyProtection="1"/>
    <xf numFmtId="0" fontId="129" fillId="19" borderId="39" xfId="0" applyNumberFormat="1" applyFont="1" applyFill="1" applyBorder="1" applyAlignment="1" applyProtection="1"/>
    <xf numFmtId="0" fontId="129" fillId="19" borderId="66" xfId="0" applyNumberFormat="1" applyFont="1" applyFill="1" applyBorder="1" applyAlignment="1" applyProtection="1"/>
    <xf numFmtId="0" fontId="129" fillId="19" borderId="180" xfId="0" applyNumberFormat="1" applyFont="1" applyFill="1" applyBorder="1" applyAlignment="1" applyProtection="1"/>
    <xf numFmtId="49" fontId="137" fillId="19" borderId="39" xfId="0" applyNumberFormat="1" applyFont="1" applyFill="1" applyBorder="1" applyAlignment="1" applyProtection="1"/>
    <xf numFmtId="0" fontId="129" fillId="19" borderId="59" xfId="0" applyNumberFormat="1" applyFont="1" applyFill="1" applyBorder="1" applyAlignment="1" applyProtection="1"/>
    <xf numFmtId="3" fontId="2" fillId="2" borderId="91" xfId="0" applyNumberFormat="1" applyFont="1" applyFill="1" applyBorder="1" applyAlignment="1" applyProtection="1">
      <alignment horizontal="right"/>
      <protection locked="0"/>
    </xf>
    <xf numFmtId="0" fontId="22" fillId="19" borderId="161" xfId="6" applyFont="1" applyFill="1" applyBorder="1" applyAlignment="1" applyProtection="1">
      <alignment horizontal="left" wrapText="1"/>
    </xf>
    <xf numFmtId="168" fontId="42" fillId="19" borderId="161" xfId="6" applyNumberFormat="1" applyFont="1" applyFill="1" applyBorder="1" applyProtection="1"/>
    <xf numFmtId="0" fontId="22" fillId="19" borderId="161" xfId="6" applyFill="1" applyBorder="1" applyProtection="1"/>
    <xf numFmtId="3" fontId="43" fillId="19" borderId="161" xfId="6" applyNumberFormat="1" applyFont="1" applyFill="1" applyBorder="1" applyProtection="1"/>
    <xf numFmtId="3" fontId="2" fillId="19" borderId="32" xfId="6" applyNumberFormat="1" applyFont="1" applyFill="1" applyBorder="1" applyAlignment="1" applyProtection="1">
      <alignment horizontal="right"/>
    </xf>
    <xf numFmtId="3" fontId="2" fillId="19" borderId="31" xfId="6" applyNumberFormat="1" applyFont="1" applyFill="1" applyBorder="1" applyAlignment="1" applyProtection="1">
      <alignment horizontal="right"/>
    </xf>
    <xf numFmtId="3" fontId="2" fillId="19" borderId="33" xfId="6" applyNumberFormat="1" applyFont="1" applyFill="1" applyBorder="1" applyAlignment="1" applyProtection="1">
      <alignment horizontal="right"/>
    </xf>
    <xf numFmtId="3" fontId="2" fillId="19" borderId="119" xfId="6" applyNumberFormat="1" applyFont="1" applyFill="1" applyBorder="1" applyAlignment="1" applyProtection="1">
      <alignment horizontal="right"/>
    </xf>
    <xf numFmtId="3" fontId="2" fillId="19" borderId="103" xfId="6" applyNumberFormat="1" applyFont="1" applyFill="1" applyBorder="1" applyAlignment="1" applyProtection="1">
      <alignment horizontal="right"/>
    </xf>
    <xf numFmtId="3" fontId="2" fillId="19" borderId="219" xfId="6" applyNumberFormat="1" applyFont="1" applyFill="1" applyBorder="1" applyAlignment="1" applyProtection="1">
      <alignment horizontal="right"/>
    </xf>
    <xf numFmtId="3" fontId="2" fillId="19" borderId="214" xfId="6" applyNumberFormat="1" applyFont="1" applyFill="1" applyBorder="1" applyAlignment="1" applyProtection="1">
      <alignment horizontal="right"/>
    </xf>
    <xf numFmtId="3" fontId="2" fillId="19" borderId="33" xfId="6" applyNumberFormat="1" applyFont="1" applyFill="1" applyBorder="1" applyProtection="1"/>
    <xf numFmtId="0" fontId="22" fillId="19" borderId="182" xfId="6" applyFill="1" applyBorder="1" applyProtection="1"/>
    <xf numFmtId="3" fontId="46" fillId="20" borderId="130" xfId="0" applyNumberFormat="1" applyFont="1" applyFill="1" applyBorder="1" applyProtection="1"/>
    <xf numFmtId="0" fontId="0" fillId="0" borderId="57" xfId="0" applyFill="1" applyBorder="1" applyProtection="1"/>
    <xf numFmtId="3" fontId="122" fillId="0" borderId="124" xfId="6" applyNumberFormat="1" applyFont="1" applyFill="1" applyBorder="1" applyAlignment="1" applyProtection="1">
      <alignment horizontal="right"/>
    </xf>
    <xf numFmtId="0" fontId="0" fillId="0" borderId="0" xfId="0" applyBorder="1" applyAlignment="1" applyProtection="1">
      <alignment wrapText="1"/>
      <protection locked="0"/>
    </xf>
    <xf numFmtId="3" fontId="2" fillId="0" borderId="19" xfId="0" applyNumberFormat="1" applyFont="1" applyFill="1" applyBorder="1" applyAlignment="1" applyProtection="1">
      <alignment horizontal="right"/>
      <protection locked="0"/>
    </xf>
    <xf numFmtId="3" fontId="3" fillId="19" borderId="56" xfId="0" applyNumberFormat="1" applyFont="1" applyFill="1" applyBorder="1" applyAlignment="1" applyProtection="1">
      <alignment horizontal="left" wrapText="1"/>
    </xf>
    <xf numFmtId="3" fontId="3" fillId="19" borderId="56" xfId="0" applyNumberFormat="1" applyFont="1" applyFill="1" applyBorder="1" applyAlignment="1" applyProtection="1">
      <alignment horizontal="left" vertical="top"/>
    </xf>
    <xf numFmtId="3" fontId="3" fillId="19" borderId="147" xfId="0" applyNumberFormat="1" applyFont="1" applyFill="1" applyBorder="1" applyAlignment="1" applyProtection="1">
      <alignment horizontal="left" vertical="top"/>
    </xf>
    <xf numFmtId="170" fontId="3" fillId="19" borderId="225" xfId="0" applyNumberFormat="1" applyFont="1" applyFill="1" applyBorder="1" applyAlignment="1" applyProtection="1">
      <alignment horizontal="left"/>
    </xf>
    <xf numFmtId="3" fontId="13" fillId="2" borderId="147" xfId="0" applyNumberFormat="1" applyFont="1" applyFill="1" applyBorder="1" applyAlignment="1" applyProtection="1">
      <alignment horizontal="right"/>
      <protection locked="0"/>
    </xf>
    <xf numFmtId="3" fontId="2" fillId="3" borderId="226" xfId="0" applyNumberFormat="1" applyFont="1" applyFill="1" applyBorder="1" applyAlignment="1" applyProtection="1">
      <alignment horizontal="right"/>
    </xf>
    <xf numFmtId="3" fontId="13" fillId="6" borderId="147" xfId="0" applyNumberFormat="1" applyFont="1" applyFill="1" applyBorder="1" applyAlignment="1" applyProtection="1">
      <alignment horizontal="right"/>
      <protection locked="0"/>
    </xf>
    <xf numFmtId="3" fontId="2" fillId="19" borderId="225" xfId="0" applyNumberFormat="1" applyFont="1" applyFill="1" applyBorder="1" applyAlignment="1" applyProtection="1">
      <alignment horizontal="right"/>
    </xf>
    <xf numFmtId="3" fontId="2" fillId="3" borderId="147" xfId="0" applyNumberFormat="1" applyFont="1" applyFill="1" applyBorder="1" applyAlignment="1" applyProtection="1">
      <alignment horizontal="right"/>
    </xf>
    <xf numFmtId="3" fontId="2" fillId="3" borderId="218" xfId="0" applyNumberFormat="1" applyFont="1" applyFill="1" applyBorder="1" applyAlignment="1" applyProtection="1">
      <alignment horizontal="right"/>
    </xf>
    <xf numFmtId="3" fontId="13" fillId="2" borderId="86" xfId="0" applyNumberFormat="1" applyFont="1" applyFill="1" applyBorder="1" applyAlignment="1" applyProtection="1">
      <alignment horizontal="right"/>
      <protection locked="0"/>
    </xf>
    <xf numFmtId="3" fontId="2" fillId="3" borderId="206" xfId="0" applyNumberFormat="1" applyFont="1" applyFill="1" applyBorder="1" applyAlignment="1" applyProtection="1">
      <alignment horizontal="right"/>
    </xf>
    <xf numFmtId="3" fontId="5" fillId="0" borderId="58" xfId="0" applyNumberFormat="1" applyFont="1" applyFill="1" applyBorder="1" applyAlignment="1" applyProtection="1">
      <alignment horizontal="left"/>
    </xf>
    <xf numFmtId="3" fontId="3" fillId="0" borderId="0" xfId="0" applyNumberFormat="1" applyFont="1" applyFill="1" applyBorder="1" applyAlignment="1" applyProtection="1">
      <alignment horizontal="left"/>
    </xf>
    <xf numFmtId="3" fontId="5" fillId="0" borderId="58" xfId="0" applyNumberFormat="1" applyFont="1" applyFill="1" applyBorder="1" applyAlignment="1" applyProtection="1">
      <alignment horizontal="left" vertical="top" wrapText="1"/>
    </xf>
    <xf numFmtId="3" fontId="3" fillId="0" borderId="0" xfId="0" applyNumberFormat="1" applyFont="1" applyFill="1" applyBorder="1" applyAlignment="1" applyProtection="1">
      <alignment horizontal="left" wrapText="1"/>
    </xf>
    <xf numFmtId="0" fontId="5" fillId="0" borderId="58" xfId="0" applyFont="1" applyFill="1" applyBorder="1" applyAlignment="1" applyProtection="1">
      <alignment horizontal="left"/>
    </xf>
    <xf numFmtId="3" fontId="3" fillId="0" borderId="0" xfId="0" applyNumberFormat="1" applyFont="1" applyFill="1" applyBorder="1" applyAlignment="1" applyProtection="1">
      <alignment horizontal="left" vertical="top"/>
    </xf>
    <xf numFmtId="3" fontId="3" fillId="0" borderId="58" xfId="0" applyNumberFormat="1" applyFont="1" applyFill="1" applyBorder="1" applyAlignment="1" applyProtection="1">
      <alignment horizontal="left" vertical="top" wrapText="1"/>
    </xf>
    <xf numFmtId="170" fontId="3" fillId="0" borderId="58" xfId="0" applyNumberFormat="1" applyFont="1" applyFill="1" applyBorder="1" applyAlignment="1" applyProtection="1">
      <alignment horizontal="left"/>
    </xf>
    <xf numFmtId="170" fontId="3" fillId="0" borderId="0" xfId="0" applyNumberFormat="1" applyFont="1" applyFill="1" applyBorder="1" applyAlignment="1" applyProtection="1">
      <alignment horizontal="left"/>
    </xf>
    <xf numFmtId="3" fontId="122" fillId="0" borderId="0" xfId="0" applyNumberFormat="1" applyFont="1" applyFill="1" applyBorder="1" applyAlignment="1" applyProtection="1">
      <alignment horizontal="right"/>
    </xf>
    <xf numFmtId="0" fontId="2" fillId="0" borderId="0" xfId="0" applyFont="1" applyBorder="1" applyAlignment="1" applyProtection="1"/>
    <xf numFmtId="0" fontId="0" fillId="0" borderId="0" xfId="0" applyBorder="1" applyAlignment="1">
      <alignment wrapText="1"/>
    </xf>
    <xf numFmtId="0" fontId="0" fillId="0" borderId="0" xfId="0" applyBorder="1" applyAlignment="1" applyProtection="1">
      <alignment vertical="top"/>
    </xf>
    <xf numFmtId="0" fontId="3" fillId="0" borderId="0" xfId="0" applyFont="1" applyBorder="1" applyAlignment="1" applyProtection="1"/>
    <xf numFmtId="49" fontId="8" fillId="19" borderId="10" xfId="0" applyNumberFormat="1" applyFont="1" applyFill="1" applyBorder="1" applyAlignment="1" applyProtection="1">
      <alignment horizontal="left"/>
    </xf>
    <xf numFmtId="49" fontId="8" fillId="19" borderId="106" xfId="0" applyNumberFormat="1" applyFont="1" applyFill="1" applyBorder="1" applyAlignment="1" applyProtection="1">
      <alignment horizontal="center"/>
    </xf>
    <xf numFmtId="49" fontId="3" fillId="19" borderId="70" xfId="0" applyNumberFormat="1" applyFont="1" applyFill="1" applyBorder="1" applyAlignment="1" applyProtection="1">
      <alignment horizontal="center" wrapText="1"/>
    </xf>
    <xf numFmtId="49" fontId="8" fillId="19" borderId="71" xfId="0" applyNumberFormat="1" applyFont="1" applyFill="1" applyBorder="1" applyAlignment="1" applyProtection="1">
      <alignment horizontal="left"/>
    </xf>
    <xf numFmtId="49" fontId="3" fillId="19" borderId="64" xfId="0" applyNumberFormat="1" applyFont="1" applyFill="1" applyBorder="1" applyAlignment="1" applyProtection="1">
      <alignment horizontal="left"/>
    </xf>
    <xf numFmtId="49" fontId="3" fillId="19" borderId="91" xfId="0" applyNumberFormat="1" applyFont="1" applyFill="1" applyBorder="1" applyAlignment="1" applyProtection="1">
      <alignment horizontal="center"/>
    </xf>
    <xf numFmtId="49" fontId="3" fillId="19" borderId="179" xfId="0" applyNumberFormat="1" applyFont="1" applyFill="1" applyBorder="1" applyAlignment="1" applyProtection="1">
      <alignment horizontal="left"/>
    </xf>
    <xf numFmtId="49" fontId="3" fillId="19" borderId="226" xfId="0" applyNumberFormat="1" applyFont="1" applyFill="1" applyBorder="1" applyAlignment="1" applyProtection="1">
      <alignment horizontal="left"/>
    </xf>
    <xf numFmtId="3" fontId="2" fillId="2" borderId="7" xfId="0" applyNumberFormat="1" applyFont="1" applyFill="1" applyBorder="1" applyAlignment="1" applyProtection="1">
      <alignment horizontal="right"/>
      <protection locked="0"/>
    </xf>
    <xf numFmtId="3" fontId="2" fillId="2" borderId="106" xfId="0" applyNumberFormat="1" applyFont="1" applyFill="1" applyBorder="1" applyAlignment="1" applyProtection="1">
      <alignment horizontal="right"/>
      <protection locked="0"/>
    </xf>
    <xf numFmtId="0" fontId="2" fillId="19" borderId="110" xfId="0" applyFont="1" applyFill="1" applyBorder="1" applyProtection="1"/>
    <xf numFmtId="49" fontId="3" fillId="19" borderId="114" xfId="0" applyNumberFormat="1" applyFont="1" applyFill="1" applyBorder="1" applyAlignment="1" applyProtection="1">
      <alignment horizontal="left"/>
    </xf>
    <xf numFmtId="49" fontId="3" fillId="19" borderId="71" xfId="0" applyNumberFormat="1" applyFont="1" applyFill="1" applyBorder="1" applyAlignment="1" applyProtection="1">
      <alignment horizontal="left"/>
    </xf>
    <xf numFmtId="0" fontId="52" fillId="19" borderId="227" xfId="0" applyFont="1" applyFill="1" applyBorder="1" applyProtection="1"/>
    <xf numFmtId="0" fontId="123" fillId="2" borderId="67" xfId="0" applyFont="1" applyFill="1" applyBorder="1" applyProtection="1"/>
    <xf numFmtId="49" fontId="3" fillId="19" borderId="25" xfId="0" applyNumberFormat="1" applyFont="1" applyFill="1" applyBorder="1" applyAlignment="1" applyProtection="1">
      <alignment horizontal="center"/>
    </xf>
    <xf numFmtId="0" fontId="3" fillId="19" borderId="117" xfId="0" applyNumberFormat="1" applyFont="1" applyFill="1" applyBorder="1" applyAlignment="1" applyProtection="1">
      <alignment horizontal="center" vertical="top" wrapText="1"/>
    </xf>
    <xf numFmtId="0" fontId="3" fillId="19" borderId="3" xfId="0" applyNumberFormat="1" applyFont="1" applyFill="1" applyBorder="1" applyAlignment="1" applyProtection="1">
      <alignment horizontal="center" vertical="top" wrapText="1"/>
    </xf>
    <xf numFmtId="0" fontId="122" fillId="0" borderId="58" xfId="0" applyNumberFormat="1" applyFont="1" applyFill="1" applyBorder="1" applyAlignment="1" applyProtection="1">
      <alignment horizontal="left"/>
    </xf>
    <xf numFmtId="167" fontId="122" fillId="2" borderId="0" xfId="0" applyNumberFormat="1" applyFont="1" applyFill="1" applyAlignment="1" applyProtection="1"/>
    <xf numFmtId="0" fontId="122" fillId="2" borderId="0" xfId="0" applyNumberFormat="1" applyFont="1" applyFill="1" applyAlignment="1" applyProtection="1"/>
    <xf numFmtId="0" fontId="2" fillId="19" borderId="98" xfId="0" applyFont="1" applyFill="1" applyBorder="1" applyAlignment="1" applyProtection="1">
      <alignment horizontal="left" vertical="top" wrapText="1"/>
    </xf>
    <xf numFmtId="0" fontId="35" fillId="0" borderId="0" xfId="0" applyFont="1" applyFill="1" applyAlignment="1" applyProtection="1"/>
    <xf numFmtId="0" fontId="3" fillId="19" borderId="111" xfId="6" applyFont="1" applyFill="1" applyBorder="1" applyAlignment="1" applyProtection="1">
      <alignment horizontal="left" vertical="top"/>
    </xf>
    <xf numFmtId="3" fontId="46" fillId="19" borderId="9" xfId="6" applyNumberFormat="1" applyFont="1" applyFill="1" applyBorder="1" applyAlignment="1" applyProtection="1">
      <alignment horizontal="right"/>
    </xf>
    <xf numFmtId="3" fontId="3" fillId="19" borderId="0" xfId="6" applyNumberFormat="1" applyFont="1" applyFill="1" applyBorder="1" applyAlignment="1" applyProtection="1">
      <alignment horizontal="right"/>
    </xf>
    <xf numFmtId="0" fontId="3" fillId="19" borderId="3" xfId="0" applyFont="1" applyFill="1" applyBorder="1" applyAlignment="1" applyProtection="1">
      <alignment vertical="top" wrapText="1"/>
    </xf>
    <xf numFmtId="3" fontId="2" fillId="2" borderId="227" xfId="0" applyNumberFormat="1" applyFont="1" applyFill="1" applyBorder="1" applyProtection="1">
      <protection locked="0"/>
    </xf>
    <xf numFmtId="3" fontId="2" fillId="2" borderId="110" xfId="0" applyNumberFormat="1" applyFont="1" applyFill="1" applyBorder="1" applyProtection="1">
      <protection locked="0"/>
    </xf>
    <xf numFmtId="3" fontId="2" fillId="0" borderId="34" xfId="0" applyNumberFormat="1" applyFont="1" applyFill="1" applyBorder="1" applyProtection="1">
      <protection locked="0"/>
    </xf>
    <xf numFmtId="3" fontId="2" fillId="0" borderId="114" xfId="0" applyNumberFormat="1" applyFont="1" applyFill="1" applyBorder="1" applyProtection="1">
      <protection locked="0"/>
    </xf>
    <xf numFmtId="3" fontId="13" fillId="0" borderId="22" xfId="0" applyNumberFormat="1" applyFont="1" applyFill="1" applyBorder="1" applyAlignment="1" applyProtection="1">
      <alignment horizontal="right"/>
      <protection locked="0"/>
    </xf>
    <xf numFmtId="3" fontId="13" fillId="0" borderId="5" xfId="0" applyNumberFormat="1" applyFont="1" applyFill="1" applyBorder="1" applyAlignment="1" applyProtection="1">
      <alignment horizontal="right"/>
      <protection locked="0"/>
    </xf>
    <xf numFmtId="3" fontId="13" fillId="0" borderId="21" xfId="0" applyNumberFormat="1" applyFont="1" applyFill="1" applyBorder="1" applyAlignment="1" applyProtection="1">
      <alignment horizontal="right"/>
      <protection locked="0"/>
    </xf>
    <xf numFmtId="3" fontId="13" fillId="0" borderId="2" xfId="0" applyNumberFormat="1" applyFont="1" applyFill="1" applyBorder="1" applyAlignment="1" applyProtection="1">
      <alignment horizontal="right"/>
      <protection locked="0"/>
    </xf>
    <xf numFmtId="3" fontId="13" fillId="26" borderId="29" xfId="0" applyNumberFormat="1" applyFont="1" applyFill="1" applyBorder="1" applyAlignment="1" applyProtection="1">
      <alignment horizontal="right"/>
    </xf>
    <xf numFmtId="0" fontId="10" fillId="10" borderId="0" xfId="0" applyFont="1" applyFill="1" applyBorder="1" applyAlignment="1">
      <alignment horizontal="left" wrapText="1"/>
    </xf>
    <xf numFmtId="3" fontId="2" fillId="19" borderId="94" xfId="0" applyNumberFormat="1" applyFont="1" applyFill="1" applyBorder="1" applyAlignment="1" applyProtection="1">
      <alignment horizontal="right"/>
    </xf>
    <xf numFmtId="0" fontId="122" fillId="0" borderId="0" xfId="0" applyNumberFormat="1" applyFont="1" applyFill="1" applyBorder="1" applyAlignment="1" applyProtection="1">
      <alignment horizontal="left"/>
    </xf>
    <xf numFmtId="3" fontId="2" fillId="3" borderId="85" xfId="0" applyNumberFormat="1" applyFont="1" applyFill="1" applyBorder="1" applyAlignment="1" applyProtection="1">
      <alignment horizontal="right"/>
    </xf>
    <xf numFmtId="0" fontId="22" fillId="0" borderId="0" xfId="0" quotePrefix="1" applyFont="1" applyBorder="1" applyAlignment="1" applyProtection="1">
      <alignment vertical="top" wrapText="1"/>
    </xf>
    <xf numFmtId="0" fontId="3" fillId="0" borderId="0" xfId="0" applyFont="1" applyAlignment="1" applyProtection="1"/>
    <xf numFmtId="0" fontId="2" fillId="0" borderId="0" xfId="0" applyFont="1" applyBorder="1" applyAlignment="1" applyProtection="1">
      <alignment wrapText="1"/>
    </xf>
    <xf numFmtId="49" fontId="122" fillId="0" borderId="0" xfId="0" applyNumberFormat="1" applyFont="1" applyFill="1" applyAlignment="1" applyProtection="1"/>
    <xf numFmtId="0" fontId="122" fillId="2" borderId="0" xfId="0" applyNumberFormat="1" applyFont="1" applyFill="1" applyBorder="1" applyAlignment="1" applyProtection="1">
      <alignment vertical="top"/>
    </xf>
    <xf numFmtId="0" fontId="122" fillId="0" borderId="0" xfId="0" applyNumberFormat="1" applyFont="1" applyBorder="1" applyAlignment="1" applyProtection="1">
      <alignment vertical="top"/>
    </xf>
    <xf numFmtId="3" fontId="3" fillId="19" borderId="20" xfId="6" applyNumberFormat="1" applyFont="1" applyFill="1" applyBorder="1" applyAlignment="1" applyProtection="1">
      <alignment horizontal="center"/>
    </xf>
    <xf numFmtId="3" fontId="136" fillId="20" borderId="42" xfId="0" applyNumberFormat="1" applyFont="1" applyFill="1" applyBorder="1" applyAlignment="1" applyProtection="1">
      <alignment horizontal="right"/>
    </xf>
    <xf numFmtId="3" fontId="2" fillId="31" borderId="113" xfId="6" applyNumberFormat="1" applyFont="1" applyFill="1" applyBorder="1" applyProtection="1"/>
    <xf numFmtId="3" fontId="2" fillId="31" borderId="5" xfId="6" applyNumberFormat="1" applyFont="1" applyFill="1" applyBorder="1" applyAlignment="1" applyProtection="1">
      <alignment horizontal="right"/>
    </xf>
    <xf numFmtId="3" fontId="2" fillId="31" borderId="70" xfId="6" applyNumberFormat="1" applyFont="1" applyFill="1" applyBorder="1" applyAlignment="1" applyProtection="1">
      <alignment horizontal="right"/>
    </xf>
    <xf numFmtId="3" fontId="2" fillId="31" borderId="25" xfId="6" applyNumberFormat="1" applyFont="1" applyFill="1" applyBorder="1" applyAlignment="1" applyProtection="1">
      <alignment horizontal="right"/>
    </xf>
    <xf numFmtId="0" fontId="122" fillId="0" borderId="0" xfId="0" applyNumberFormat="1" applyFont="1" applyFill="1" applyBorder="1" applyAlignment="1" applyProtection="1"/>
    <xf numFmtId="0" fontId="0" fillId="0" borderId="0" xfId="0" applyFill="1" applyBorder="1" applyAlignment="1" applyProtection="1">
      <alignment vertical="top" wrapText="1"/>
    </xf>
    <xf numFmtId="3" fontId="35" fillId="19" borderId="5" xfId="6" applyNumberFormat="1" applyFont="1" applyFill="1" applyBorder="1" applyAlignment="1" applyProtection="1">
      <alignment horizontal="left"/>
    </xf>
    <xf numFmtId="3" fontId="35" fillId="19" borderId="0" xfId="6" applyNumberFormat="1" applyFont="1" applyFill="1" applyBorder="1" applyAlignment="1" applyProtection="1">
      <alignment horizontal="right"/>
    </xf>
    <xf numFmtId="3" fontId="3" fillId="19" borderId="15" xfId="6" applyNumberFormat="1" applyFont="1" applyFill="1" applyBorder="1" applyAlignment="1" applyProtection="1">
      <alignment vertical="top" wrapText="1"/>
    </xf>
    <xf numFmtId="3" fontId="3" fillId="19" borderId="160" xfId="6" applyNumberFormat="1" applyFont="1" applyFill="1" applyBorder="1" applyAlignment="1" applyProtection="1">
      <alignment vertical="center" wrapText="1"/>
    </xf>
    <xf numFmtId="49" fontId="5" fillId="19" borderId="21" xfId="0" applyNumberFormat="1" applyFont="1" applyFill="1" applyBorder="1" applyAlignment="1" applyProtection="1">
      <alignment horizontal="center"/>
    </xf>
    <xf numFmtId="49" fontId="3" fillId="19" borderId="70" xfId="0" applyNumberFormat="1" applyFont="1" applyFill="1" applyBorder="1" applyAlignment="1" applyProtection="1">
      <alignment horizontal="center"/>
    </xf>
    <xf numFmtId="166" fontId="5" fillId="19" borderId="88" xfId="0" applyNumberFormat="1" applyFont="1" applyFill="1" applyBorder="1" applyAlignment="1" applyProtection="1">
      <alignment horizontal="left"/>
    </xf>
    <xf numFmtId="166" fontId="3" fillId="19" borderId="60" xfId="0" applyNumberFormat="1" applyFont="1" applyFill="1" applyBorder="1" applyAlignment="1" applyProtection="1">
      <alignment horizontal="left"/>
    </xf>
    <xf numFmtId="0" fontId="5" fillId="19" borderId="88" xfId="0" applyFont="1" applyFill="1" applyBorder="1" applyAlignment="1" applyProtection="1">
      <alignment horizontal="left"/>
    </xf>
    <xf numFmtId="0" fontId="134" fillId="19" borderId="101" xfId="0" applyFont="1" applyFill="1" applyBorder="1" applyAlignment="1" applyProtection="1">
      <alignment vertical="top" wrapText="1"/>
    </xf>
    <xf numFmtId="0" fontId="134" fillId="19" borderId="88" xfId="0" applyFont="1" applyFill="1" applyBorder="1" applyAlignment="1" applyProtection="1">
      <alignment vertical="top" wrapText="1"/>
    </xf>
    <xf numFmtId="0" fontId="107" fillId="19" borderId="5" xfId="0" applyFont="1" applyFill="1" applyBorder="1" applyProtection="1"/>
    <xf numFmtId="0" fontId="107" fillId="19" borderId="25" xfId="0" applyFont="1" applyFill="1" applyBorder="1" applyProtection="1"/>
    <xf numFmtId="49" fontId="3" fillId="19" borderId="22" xfId="6" applyNumberFormat="1" applyFont="1" applyFill="1" applyBorder="1" applyAlignment="1" applyProtection="1">
      <alignment horizontal="center"/>
    </xf>
    <xf numFmtId="49" fontId="3" fillId="19" borderId="24" xfId="6" applyNumberFormat="1" applyFont="1" applyFill="1" applyBorder="1" applyAlignment="1" applyProtection="1">
      <alignment horizontal="center"/>
    </xf>
    <xf numFmtId="0" fontId="5" fillId="19" borderId="84" xfId="6" applyFont="1" applyFill="1" applyBorder="1" applyProtection="1"/>
    <xf numFmtId="3" fontId="5" fillId="19" borderId="118" xfId="6" applyNumberFormat="1" applyFont="1" applyFill="1" applyBorder="1" applyAlignment="1" applyProtection="1">
      <alignment horizontal="left" vertical="top" wrapText="1"/>
    </xf>
    <xf numFmtId="3" fontId="5" fillId="19" borderId="88" xfId="6" applyNumberFormat="1" applyFont="1" applyFill="1" applyBorder="1" applyAlignment="1" applyProtection="1">
      <alignment horizontal="left" vertical="top" wrapText="1"/>
    </xf>
    <xf numFmtId="3" fontId="5" fillId="19" borderId="60" xfId="6" applyNumberFormat="1" applyFont="1" applyFill="1" applyBorder="1" applyAlignment="1" applyProtection="1">
      <alignment horizontal="left"/>
    </xf>
    <xf numFmtId="3" fontId="5" fillId="19" borderId="60" xfId="6" quotePrefix="1" applyNumberFormat="1" applyFont="1" applyFill="1" applyBorder="1" applyAlignment="1" applyProtection="1">
      <alignment horizontal="left" vertical="top"/>
    </xf>
    <xf numFmtId="0" fontId="3" fillId="19" borderId="42" xfId="6" applyFont="1" applyFill="1" applyBorder="1" applyAlignment="1" applyProtection="1">
      <alignment horizontal="center" wrapText="1"/>
    </xf>
    <xf numFmtId="3" fontId="3" fillId="19" borderId="90" xfId="6" applyNumberFormat="1" applyFont="1" applyFill="1" applyBorder="1" applyAlignment="1" applyProtection="1">
      <alignment horizontal="center" wrapText="1"/>
    </xf>
    <xf numFmtId="3" fontId="5" fillId="19" borderId="194" xfId="6" applyNumberFormat="1" applyFont="1" applyFill="1" applyBorder="1" applyProtection="1"/>
    <xf numFmtId="3" fontId="5" fillId="19" borderId="0" xfId="6" applyNumberFormat="1" applyFont="1" applyFill="1" applyBorder="1" applyAlignment="1" applyProtection="1">
      <alignment vertical="center"/>
    </xf>
    <xf numFmtId="3" fontId="3" fillId="19" borderId="194" xfId="0" applyNumberFormat="1" applyFont="1" applyFill="1" applyBorder="1" applyAlignment="1" applyProtection="1"/>
    <xf numFmtId="49" fontId="3" fillId="19" borderId="2" xfId="0" applyNumberFormat="1" applyFont="1" applyFill="1" applyBorder="1" applyAlignment="1" applyProtection="1">
      <alignment horizontal="left" vertical="top" wrapText="1"/>
    </xf>
    <xf numFmtId="0" fontId="138" fillId="0" borderId="0" xfId="0" quotePrefix="1" applyFont="1" applyFill="1" applyProtection="1"/>
    <xf numFmtId="49" fontId="3" fillId="19" borderId="58" xfId="0" applyNumberFormat="1" applyFont="1" applyFill="1" applyBorder="1" applyAlignment="1" applyProtection="1">
      <alignment horizontal="center"/>
    </xf>
    <xf numFmtId="2" fontId="3" fillId="19" borderId="172" xfId="0" applyNumberFormat="1" applyFont="1" applyFill="1" applyBorder="1" applyAlignment="1" applyProtection="1">
      <alignment horizontal="left"/>
    </xf>
    <xf numFmtId="2" fontId="3" fillId="19" borderId="11" xfId="0" applyNumberFormat="1" applyFont="1" applyFill="1" applyBorder="1" applyAlignment="1" applyProtection="1">
      <alignment horizontal="left"/>
    </xf>
    <xf numFmtId="2" fontId="3" fillId="19" borderId="128" xfId="0" applyNumberFormat="1" applyFont="1" applyFill="1" applyBorder="1" applyAlignment="1" applyProtection="1">
      <alignment horizontal="left"/>
    </xf>
    <xf numFmtId="3" fontId="2" fillId="0" borderId="124" xfId="0" applyNumberFormat="1" applyFont="1" applyFill="1" applyBorder="1" applyAlignment="1" applyProtection="1">
      <alignment horizontal="right"/>
      <protection locked="0"/>
    </xf>
    <xf numFmtId="49" fontId="3" fillId="0" borderId="124" xfId="0" applyNumberFormat="1" applyFont="1" applyFill="1" applyBorder="1" applyAlignment="1" applyProtection="1">
      <alignment horizontal="center"/>
    </xf>
    <xf numFmtId="0" fontId="3" fillId="0" borderId="124" xfId="0" applyFont="1" applyFill="1" applyBorder="1" applyProtection="1"/>
    <xf numFmtId="0" fontId="1" fillId="0" borderId="124" xfId="0" applyFont="1" applyFill="1" applyBorder="1" applyProtection="1"/>
    <xf numFmtId="3" fontId="5" fillId="19" borderId="224" xfId="6" applyNumberFormat="1" applyFont="1" applyFill="1" applyBorder="1" applyAlignment="1" applyProtection="1">
      <alignment horizontal="left" vertical="center" wrapText="1"/>
    </xf>
    <xf numFmtId="0" fontId="140" fillId="19" borderId="2" xfId="6" applyFont="1" applyFill="1" applyBorder="1" applyAlignment="1" applyProtection="1">
      <alignment horizontal="left"/>
    </xf>
    <xf numFmtId="49" fontId="107" fillId="19" borderId="22" xfId="0" applyNumberFormat="1" applyFont="1" applyFill="1" applyBorder="1" applyAlignment="1" applyProtection="1">
      <alignment horizontal="center"/>
    </xf>
    <xf numFmtId="0" fontId="107" fillId="19" borderId="24" xfId="0" applyFont="1" applyFill="1" applyBorder="1" applyAlignment="1" applyProtection="1">
      <alignment horizontal="center"/>
    </xf>
    <xf numFmtId="49" fontId="140" fillId="19" borderId="22" xfId="6" applyNumberFormat="1" applyFont="1" applyFill="1" applyBorder="1" applyAlignment="1" applyProtection="1">
      <alignment horizontal="center"/>
    </xf>
    <xf numFmtId="49" fontId="140" fillId="19" borderId="24" xfId="6" applyNumberFormat="1" applyFont="1" applyFill="1" applyBorder="1" applyAlignment="1" applyProtection="1">
      <alignment horizontal="center"/>
    </xf>
    <xf numFmtId="49" fontId="140" fillId="19" borderId="142" xfId="0" applyNumberFormat="1" applyFont="1" applyFill="1" applyBorder="1" applyAlignment="1" applyProtection="1">
      <alignment horizontal="center"/>
    </xf>
    <xf numFmtId="49" fontId="140" fillId="19" borderId="146" xfId="6" applyNumberFormat="1" applyFont="1" applyFill="1" applyBorder="1" applyAlignment="1" applyProtection="1">
      <alignment horizontal="center"/>
    </xf>
    <xf numFmtId="0" fontId="3" fillId="19" borderId="8" xfId="0" applyFont="1" applyFill="1" applyBorder="1" applyAlignment="1" applyProtection="1">
      <alignment horizontal="left" wrapText="1"/>
    </xf>
    <xf numFmtId="0" fontId="130" fillId="19" borderId="57" xfId="0" applyFont="1" applyFill="1" applyBorder="1" applyAlignment="1"/>
    <xf numFmtId="0" fontId="130" fillId="19" borderId="57" xfId="0" applyFont="1" applyFill="1" applyBorder="1" applyAlignment="1">
      <alignment horizontal="left" vertical="top"/>
    </xf>
    <xf numFmtId="3" fontId="129" fillId="19" borderId="0" xfId="0" applyNumberFormat="1" applyFont="1" applyFill="1" applyBorder="1" applyAlignment="1" applyProtection="1">
      <alignment horizontal="left" vertical="top"/>
    </xf>
    <xf numFmtId="0" fontId="130" fillId="19" borderId="0" xfId="0" applyFont="1" applyFill="1" applyAlignment="1">
      <alignment horizontal="left" vertical="top"/>
    </xf>
    <xf numFmtId="0" fontId="130" fillId="19" borderId="59" xfId="0" applyFont="1" applyFill="1" applyBorder="1" applyAlignment="1">
      <alignment horizontal="left" vertical="top"/>
    </xf>
    <xf numFmtId="0" fontId="141" fillId="19" borderId="9" xfId="0" applyFont="1" applyFill="1" applyBorder="1" applyAlignment="1" applyProtection="1">
      <alignment horizontal="left"/>
    </xf>
    <xf numFmtId="0" fontId="140" fillId="19" borderId="5" xfId="0" applyFont="1" applyFill="1" applyBorder="1" applyAlignment="1" applyProtection="1">
      <alignment horizontal="left"/>
    </xf>
    <xf numFmtId="3" fontId="2" fillId="20" borderId="20" xfId="0" applyNumberFormat="1" applyFont="1" applyFill="1" applyBorder="1" applyProtection="1"/>
    <xf numFmtId="0" fontId="140" fillId="19" borderId="25" xfId="0" applyFont="1" applyFill="1" applyBorder="1" applyAlignment="1" applyProtection="1">
      <alignment horizontal="left"/>
    </xf>
    <xf numFmtId="0" fontId="35" fillId="2" borderId="0" xfId="0" applyFont="1" applyFill="1" applyAlignment="1" applyProtection="1">
      <alignment horizontal="right"/>
    </xf>
    <xf numFmtId="3" fontId="2" fillId="9" borderId="182" xfId="0" applyNumberFormat="1" applyFont="1" applyFill="1" applyBorder="1" applyProtection="1"/>
    <xf numFmtId="3" fontId="2" fillId="19" borderId="32" xfId="0" applyNumberFormat="1" applyFont="1" applyFill="1" applyBorder="1" applyAlignment="1" applyProtection="1">
      <alignment horizontal="right"/>
    </xf>
    <xf numFmtId="0" fontId="7" fillId="19" borderId="79" xfId="0" applyFont="1" applyFill="1" applyBorder="1" applyAlignment="1" applyProtection="1">
      <alignment wrapText="1"/>
    </xf>
    <xf numFmtId="0" fontId="12" fillId="19" borderId="73" xfId="0" applyFont="1" applyFill="1" applyBorder="1" applyProtection="1"/>
    <xf numFmtId="3" fontId="2" fillId="0" borderId="19" xfId="0" applyNumberFormat="1" applyFont="1" applyFill="1" applyBorder="1" applyProtection="1">
      <protection locked="0"/>
    </xf>
    <xf numFmtId="3" fontId="2" fillId="0" borderId="26" xfId="0" applyNumberFormat="1" applyFont="1" applyFill="1" applyBorder="1" applyProtection="1">
      <protection locked="0"/>
    </xf>
    <xf numFmtId="3" fontId="2" fillId="2" borderId="83" xfId="0" applyNumberFormat="1" applyFont="1" applyFill="1" applyBorder="1" applyProtection="1">
      <protection locked="0"/>
    </xf>
    <xf numFmtId="0" fontId="129" fillId="19" borderId="27" xfId="0" applyFont="1" applyFill="1" applyBorder="1" applyAlignment="1" applyProtection="1"/>
    <xf numFmtId="0" fontId="0" fillId="19" borderId="0" xfId="0" applyFill="1" applyAlignment="1"/>
    <xf numFmtId="0" fontId="0" fillId="19" borderId="57" xfId="0" applyFill="1" applyBorder="1" applyAlignment="1"/>
    <xf numFmtId="0" fontId="140" fillId="19" borderId="0" xfId="0" applyFont="1" applyFill="1" applyAlignment="1">
      <alignment wrapText="1"/>
    </xf>
    <xf numFmtId="0" fontId="140" fillId="19" borderId="57" xfId="0" applyFont="1" applyFill="1" applyBorder="1" applyAlignment="1">
      <alignment wrapText="1"/>
    </xf>
    <xf numFmtId="0" fontId="140" fillId="19" borderId="222" xfId="0" applyFont="1" applyFill="1" applyBorder="1" applyAlignment="1">
      <alignment wrapText="1"/>
    </xf>
    <xf numFmtId="0" fontId="140" fillId="19" borderId="223" xfId="0" applyFont="1" applyFill="1" applyBorder="1" applyAlignment="1">
      <alignment wrapText="1"/>
    </xf>
    <xf numFmtId="0" fontId="130" fillId="19" borderId="56" xfId="0" applyFont="1" applyFill="1" applyBorder="1" applyAlignment="1"/>
    <xf numFmtId="0" fontId="143" fillId="19" borderId="0" xfId="0" applyFont="1" applyFill="1" applyBorder="1" applyAlignment="1">
      <alignment vertical="top" wrapText="1"/>
    </xf>
    <xf numFmtId="0" fontId="142" fillId="19" borderId="0" xfId="0" applyFont="1" applyFill="1" applyAlignment="1">
      <alignment vertical="top" wrapText="1"/>
    </xf>
    <xf numFmtId="0" fontId="142" fillId="19" borderId="57" xfId="0" applyFont="1" applyFill="1" applyBorder="1" applyAlignment="1">
      <alignment vertical="top" wrapText="1"/>
    </xf>
    <xf numFmtId="0" fontId="142" fillId="19" borderId="0" xfId="0" applyFont="1" applyFill="1" applyAlignment="1">
      <alignment wrapText="1"/>
    </xf>
    <xf numFmtId="0" fontId="142" fillId="19" borderId="57" xfId="0" applyFont="1" applyFill="1" applyBorder="1" applyAlignment="1">
      <alignment wrapText="1"/>
    </xf>
    <xf numFmtId="0" fontId="141" fillId="19" borderId="0" xfId="0" applyFont="1" applyFill="1" applyAlignment="1">
      <alignment wrapText="1"/>
    </xf>
    <xf numFmtId="0" fontId="141" fillId="19" borderId="57" xfId="0" applyFont="1" applyFill="1" applyBorder="1" applyAlignment="1">
      <alignment wrapText="1"/>
    </xf>
    <xf numFmtId="0" fontId="122" fillId="19" borderId="0" xfId="0" applyFont="1" applyFill="1" applyBorder="1" applyAlignment="1" applyProtection="1">
      <alignment wrapText="1"/>
    </xf>
    <xf numFmtId="0" fontId="0" fillId="19" borderId="0" xfId="0" applyFill="1" applyAlignment="1">
      <alignment wrapText="1"/>
    </xf>
    <xf numFmtId="3" fontId="129" fillId="19" borderId="56" xfId="6" applyNumberFormat="1" applyFont="1" applyFill="1" applyBorder="1" applyAlignment="1" applyProtection="1">
      <alignment horizontal="left" vertical="top"/>
    </xf>
    <xf numFmtId="0" fontId="143" fillId="19" borderId="0" xfId="0" applyFont="1" applyFill="1" applyAlignment="1">
      <alignment vertical="top" wrapText="1"/>
    </xf>
    <xf numFmtId="0" fontId="144" fillId="19" borderId="39" xfId="0" applyFont="1" applyFill="1" applyBorder="1" applyAlignment="1">
      <alignment horizontal="left" vertical="top"/>
    </xf>
    <xf numFmtId="3" fontId="3" fillId="19" borderId="124" xfId="6" applyNumberFormat="1" applyFont="1" applyFill="1" applyBorder="1" applyAlignment="1" applyProtection="1">
      <alignment horizontal="right"/>
    </xf>
    <xf numFmtId="3" fontId="3" fillId="19" borderId="56" xfId="6" applyNumberFormat="1" applyFont="1" applyFill="1" applyBorder="1" applyAlignment="1" applyProtection="1">
      <alignment horizontal="right"/>
    </xf>
    <xf numFmtId="3" fontId="129" fillId="19" borderId="0" xfId="6" applyNumberFormat="1" applyFont="1" applyFill="1" applyBorder="1" applyAlignment="1" applyProtection="1">
      <alignment horizontal="left" vertical="top"/>
    </xf>
    <xf numFmtId="0" fontId="144" fillId="19" borderId="0" xfId="0" applyFont="1" applyFill="1" applyBorder="1" applyAlignment="1">
      <alignment horizontal="left" vertical="top"/>
    </xf>
    <xf numFmtId="0" fontId="0" fillId="19" borderId="57" xfId="0" applyFill="1" applyBorder="1" applyAlignment="1">
      <alignment wrapText="1"/>
    </xf>
    <xf numFmtId="0" fontId="0" fillId="19" borderId="0" xfId="0" applyFill="1" applyAlignment="1">
      <alignment horizontal="left" vertical="top" wrapText="1"/>
    </xf>
    <xf numFmtId="0" fontId="140" fillId="19" borderId="39" xfId="0" applyFont="1" applyFill="1" applyBorder="1" applyAlignment="1">
      <alignment wrapText="1"/>
    </xf>
    <xf numFmtId="0" fontId="140" fillId="19" borderId="59" xfId="0" applyFont="1" applyFill="1" applyBorder="1" applyAlignment="1">
      <alignment wrapText="1"/>
    </xf>
    <xf numFmtId="0" fontId="7" fillId="19" borderId="0" xfId="0" applyFont="1" applyFill="1" applyAlignment="1">
      <alignment wrapText="1"/>
    </xf>
    <xf numFmtId="0" fontId="7" fillId="19" borderId="57" xfId="0" applyFont="1" applyFill="1" applyBorder="1" applyAlignment="1">
      <alignment wrapText="1"/>
    </xf>
    <xf numFmtId="0" fontId="0" fillId="19" borderId="57" xfId="0" applyFill="1" applyBorder="1" applyAlignment="1">
      <alignment horizontal="left" vertical="top" wrapText="1"/>
    </xf>
    <xf numFmtId="0" fontId="35" fillId="0" borderId="0" xfId="0" quotePrefix="1" applyFont="1" applyFill="1" applyProtection="1"/>
    <xf numFmtId="0" fontId="104" fillId="0" borderId="0" xfId="0" applyFont="1" applyFill="1" applyAlignment="1" applyProtection="1">
      <alignment wrapText="1"/>
    </xf>
    <xf numFmtId="0" fontId="123" fillId="0" borderId="0" xfId="0" applyFont="1" applyFill="1" applyAlignment="1" applyProtection="1">
      <alignment vertical="top" wrapText="1"/>
    </xf>
    <xf numFmtId="1" fontId="122" fillId="0" borderId="58" xfId="0" applyNumberFormat="1" applyFont="1" applyFill="1" applyBorder="1" applyAlignment="1" applyProtection="1">
      <alignment horizontal="left"/>
    </xf>
    <xf numFmtId="0" fontId="122" fillId="0" borderId="0" xfId="0" applyNumberFormat="1" applyFont="1" applyFill="1" applyBorder="1" applyAlignment="1" applyProtection="1">
      <alignment horizontal="left" wrapText="1"/>
    </xf>
    <xf numFmtId="0" fontId="122" fillId="0" borderId="0" xfId="0" applyFont="1" applyFill="1" applyBorder="1" applyAlignment="1" applyProtection="1"/>
    <xf numFmtId="0" fontId="138" fillId="0" borderId="0" xfId="0" applyFont="1" applyFill="1" applyBorder="1" applyProtection="1"/>
    <xf numFmtId="3" fontId="35" fillId="19" borderId="5" xfId="6" quotePrefix="1" applyNumberFormat="1" applyFont="1" applyFill="1" applyBorder="1" applyAlignment="1" applyProtection="1">
      <alignment horizontal="left"/>
    </xf>
    <xf numFmtId="3" fontId="35" fillId="19" borderId="2" xfId="6" applyNumberFormat="1" applyFont="1" applyFill="1" applyBorder="1" applyAlignment="1" applyProtection="1">
      <alignment horizontal="left"/>
    </xf>
    <xf numFmtId="3" fontId="35" fillId="0" borderId="56" xfId="6" quotePrefix="1" applyNumberFormat="1" applyFont="1" applyFill="1" applyBorder="1" applyAlignment="1" applyProtection="1">
      <alignment horizontal="left"/>
    </xf>
    <xf numFmtId="3" fontId="139" fillId="0" borderId="73" xfId="6" quotePrefix="1" applyNumberFormat="1" applyFont="1" applyFill="1" applyBorder="1" applyAlignment="1" applyProtection="1">
      <alignment horizontal="left"/>
    </xf>
    <xf numFmtId="3" fontId="139" fillId="0" borderId="75" xfId="6" quotePrefix="1" applyNumberFormat="1" applyFont="1" applyFill="1" applyBorder="1" applyAlignment="1" applyProtection="1">
      <alignment horizontal="left"/>
    </xf>
    <xf numFmtId="0" fontId="51" fillId="0" borderId="75" xfId="6" applyFont="1" applyFill="1" applyBorder="1" applyProtection="1"/>
    <xf numFmtId="0" fontId="51" fillId="0" borderId="123" xfId="6" applyFont="1" applyFill="1" applyBorder="1" applyProtection="1"/>
    <xf numFmtId="3" fontId="35" fillId="0" borderId="73" xfId="6" quotePrefix="1" applyNumberFormat="1" applyFont="1" applyFill="1" applyBorder="1" applyAlignment="1" applyProtection="1">
      <alignment horizontal="left"/>
    </xf>
    <xf numFmtId="0" fontId="37" fillId="0" borderId="75" xfId="6" applyFont="1" applyFill="1" applyBorder="1" applyProtection="1"/>
    <xf numFmtId="0" fontId="37" fillId="0" borderId="73" xfId="6" applyFont="1" applyFill="1" applyBorder="1" applyProtection="1"/>
    <xf numFmtId="3" fontId="35" fillId="0" borderId="77" xfId="6" quotePrefix="1" applyNumberFormat="1" applyFont="1" applyFill="1" applyBorder="1" applyAlignment="1" applyProtection="1">
      <alignment horizontal="left"/>
    </xf>
    <xf numFmtId="0" fontId="122" fillId="0" borderId="0" xfId="0" applyFont="1" applyFill="1" applyAlignment="1" applyProtection="1"/>
    <xf numFmtId="49" fontId="140" fillId="19" borderId="7" xfId="0" applyNumberFormat="1" applyFont="1" applyFill="1" applyBorder="1" applyAlignment="1" applyProtection="1">
      <alignment horizontal="center"/>
    </xf>
    <xf numFmtId="0" fontId="123" fillId="0" borderId="0" xfId="0" applyFont="1" applyFill="1" applyAlignment="1" applyProtection="1">
      <alignment horizontal="right" vertical="top" wrapText="1"/>
    </xf>
    <xf numFmtId="3" fontId="2" fillId="0" borderId="32" xfId="0" applyNumberFormat="1" applyFont="1" applyFill="1" applyBorder="1" applyProtection="1">
      <protection locked="0"/>
    </xf>
    <xf numFmtId="49" fontId="3" fillId="19" borderId="42" xfId="0" applyNumberFormat="1" applyFont="1" applyFill="1" applyBorder="1" applyAlignment="1" applyProtection="1">
      <alignment horizontal="center"/>
    </xf>
    <xf numFmtId="49" fontId="140" fillId="19" borderId="2" xfId="0" applyNumberFormat="1" applyFont="1" applyFill="1" applyBorder="1" applyAlignment="1" applyProtection="1">
      <alignment horizontal="center" vertical="top" wrapText="1"/>
    </xf>
    <xf numFmtId="0" fontId="3" fillId="19" borderId="60" xfId="6" applyFont="1" applyFill="1" applyBorder="1" applyAlignment="1" applyProtection="1">
      <alignment horizontal="left" wrapText="1"/>
    </xf>
    <xf numFmtId="0" fontId="147" fillId="0" borderId="0" xfId="0" applyFont="1" applyFill="1" applyBorder="1" applyAlignment="1" applyProtection="1">
      <alignment horizontal="left" vertical="top"/>
    </xf>
    <xf numFmtId="0" fontId="0" fillId="0" borderId="57" xfId="0" applyFill="1" applyBorder="1" applyAlignment="1"/>
    <xf numFmtId="0" fontId="0" fillId="0" borderId="0" xfId="0" applyFill="1" applyAlignment="1"/>
    <xf numFmtId="49" fontId="8" fillId="19" borderId="16" xfId="0" applyNumberFormat="1" applyFont="1" applyFill="1" applyBorder="1" applyAlignment="1" applyProtection="1">
      <alignment horizontal="center"/>
    </xf>
    <xf numFmtId="1" fontId="8" fillId="19" borderId="15" xfId="0" applyNumberFormat="1" applyFont="1" applyFill="1" applyBorder="1" applyAlignment="1" applyProtection="1">
      <alignment horizontal="center"/>
    </xf>
    <xf numFmtId="1" fontId="8" fillId="19" borderId="68" xfId="0" applyNumberFormat="1" applyFont="1" applyFill="1" applyBorder="1" applyAlignment="1" applyProtection="1">
      <alignment horizontal="left"/>
    </xf>
    <xf numFmtId="3" fontId="13" fillId="0" borderId="44" xfId="0" applyNumberFormat="1" applyFont="1" applyFill="1" applyBorder="1" applyAlignment="1" applyProtection="1">
      <alignment horizontal="right"/>
      <protection locked="0"/>
    </xf>
    <xf numFmtId="0" fontId="0" fillId="0" borderId="0" xfId="0" applyAlignment="1">
      <alignment vertical="top" wrapText="1"/>
    </xf>
    <xf numFmtId="0" fontId="138" fillId="2" borderId="0" xfId="0" applyFont="1" applyFill="1" applyProtection="1"/>
    <xf numFmtId="0" fontId="149" fillId="0" borderId="0" xfId="0" applyFont="1" applyFill="1" applyAlignment="1">
      <alignment wrapText="1"/>
    </xf>
    <xf numFmtId="0" fontId="0" fillId="0" borderId="0" xfId="0" applyAlignment="1">
      <alignment wrapText="1"/>
    </xf>
    <xf numFmtId="0" fontId="9" fillId="0" borderId="0" xfId="0" applyFont="1" applyAlignment="1">
      <alignment wrapText="1"/>
    </xf>
    <xf numFmtId="3" fontId="122" fillId="0" borderId="0" xfId="0" applyNumberFormat="1" applyFont="1" applyFill="1" applyBorder="1" applyProtection="1"/>
    <xf numFmtId="0" fontId="35" fillId="0" borderId="0" xfId="0" applyFont="1" applyFill="1" applyAlignment="1" applyProtection="1">
      <alignment horizontal="left" vertical="top"/>
    </xf>
    <xf numFmtId="0" fontId="123" fillId="0" borderId="0" xfId="0" applyFont="1" applyFill="1" applyAlignment="1" applyProtection="1">
      <alignment horizontal="right"/>
    </xf>
    <xf numFmtId="0" fontId="123" fillId="0" borderId="0" xfId="0" applyFont="1" applyFill="1" applyAlignment="1" applyProtection="1">
      <alignment horizontal="left" vertical="top" wrapText="1"/>
    </xf>
    <xf numFmtId="3" fontId="5" fillId="19" borderId="15" xfId="6" applyNumberFormat="1" applyFont="1" applyFill="1" applyBorder="1" applyAlignment="1" applyProtection="1">
      <alignment horizontal="left"/>
    </xf>
    <xf numFmtId="3" fontId="5" fillId="19" borderId="15" xfId="6" applyNumberFormat="1" applyFont="1" applyFill="1" applyBorder="1" applyAlignment="1" applyProtection="1">
      <alignment horizontal="left" vertical="center"/>
    </xf>
    <xf numFmtId="3" fontId="141" fillId="19" borderId="15" xfId="6" applyNumberFormat="1" applyFont="1" applyFill="1" applyBorder="1" applyAlignment="1" applyProtection="1">
      <alignment horizontal="left" vertical="top" wrapText="1"/>
    </xf>
    <xf numFmtId="0" fontId="122" fillId="0" borderId="0" xfId="0" applyFont="1" applyFill="1" applyBorder="1" applyAlignment="1" applyProtection="1">
      <alignment vertical="top"/>
    </xf>
    <xf numFmtId="0" fontId="138" fillId="0" borderId="0" xfId="0" applyFont="1" applyFill="1" applyBorder="1" applyAlignment="1" applyProtection="1">
      <alignment vertical="top"/>
    </xf>
    <xf numFmtId="0" fontId="149" fillId="0" borderId="0" xfId="0" applyFont="1" applyAlignment="1">
      <alignment wrapText="1"/>
    </xf>
    <xf numFmtId="3" fontId="150" fillId="0" borderId="0" xfId="0" applyNumberFormat="1" applyFont="1" applyFill="1" applyBorder="1" applyProtection="1"/>
    <xf numFmtId="0" fontId="78" fillId="10" borderId="0" xfId="0" applyFont="1" applyFill="1" applyBorder="1" applyAlignment="1">
      <alignment wrapText="1"/>
    </xf>
    <xf numFmtId="0" fontId="7" fillId="0" borderId="0" xfId="0" applyFont="1" applyFill="1" applyBorder="1" applyAlignment="1" applyProtection="1">
      <alignment vertical="top" wrapText="1"/>
    </xf>
    <xf numFmtId="0" fontId="0" fillId="0" borderId="0" xfId="0" applyFill="1" applyAlignment="1">
      <alignment vertical="top" wrapText="1"/>
    </xf>
    <xf numFmtId="0" fontId="0" fillId="19" borderId="0" xfId="0" applyFill="1" applyAlignment="1">
      <alignment wrapText="1"/>
    </xf>
    <xf numFmtId="0" fontId="0" fillId="0" borderId="0" xfId="0" applyBorder="1" applyAlignment="1">
      <alignment wrapText="1"/>
    </xf>
    <xf numFmtId="2" fontId="77" fillId="10" borderId="0" xfId="5" applyNumberFormat="1" applyFill="1" applyBorder="1" applyAlignment="1" applyProtection="1">
      <alignment horizontal="left"/>
    </xf>
    <xf numFmtId="0" fontId="77" fillId="10" borderId="27" xfId="5" applyFill="1" applyBorder="1" applyAlignment="1" applyProtection="1"/>
    <xf numFmtId="0" fontId="2" fillId="32" borderId="0" xfId="0" applyFont="1" applyFill="1" applyBorder="1" applyAlignment="1">
      <alignment wrapText="1"/>
    </xf>
    <xf numFmtId="49" fontId="2" fillId="32" borderId="0" xfId="0" applyNumberFormat="1" applyFont="1" applyFill="1" applyBorder="1"/>
    <xf numFmtId="49" fontId="2" fillId="32" borderId="0" xfId="0" applyNumberFormat="1" applyFont="1" applyFill="1" applyBorder="1" applyProtection="1"/>
    <xf numFmtId="0" fontId="2" fillId="32" borderId="0" xfId="0" applyFont="1" applyFill="1" applyBorder="1"/>
    <xf numFmtId="0" fontId="75" fillId="32" borderId="0" xfId="0" applyFont="1" applyFill="1" applyBorder="1" applyAlignment="1">
      <alignment wrapText="1"/>
    </xf>
    <xf numFmtId="49" fontId="81" fillId="32" borderId="0" xfId="5" applyNumberFormat="1" applyFont="1" applyFill="1" applyBorder="1" applyAlignment="1" applyProtection="1"/>
    <xf numFmtId="0" fontId="0" fillId="32" borderId="27" xfId="0" applyFill="1" applyBorder="1"/>
    <xf numFmtId="0" fontId="0" fillId="32" borderId="0" xfId="0" applyFill="1" applyBorder="1"/>
    <xf numFmtId="0" fontId="66" fillId="32" borderId="27" xfId="0" applyFont="1" applyFill="1" applyBorder="1" applyAlignment="1">
      <alignment horizontal="right" wrapText="1"/>
    </xf>
    <xf numFmtId="0" fontId="153" fillId="10" borderId="0" xfId="0" applyFont="1" applyFill="1" applyBorder="1" applyAlignment="1">
      <alignment horizontal="left" wrapText="1"/>
    </xf>
    <xf numFmtId="0" fontId="79" fillId="10" borderId="0" xfId="0" applyFont="1" applyFill="1" applyBorder="1" applyAlignment="1">
      <alignment horizontal="left" wrapText="1"/>
    </xf>
    <xf numFmtId="0" fontId="3" fillId="2" borderId="0" xfId="0" applyFont="1" applyFill="1" applyBorder="1" applyAlignment="1" applyProtection="1"/>
    <xf numFmtId="0" fontId="0" fillId="0" borderId="0" xfId="0" applyBorder="1" applyProtection="1"/>
    <xf numFmtId="0" fontId="140" fillId="2" borderId="0" xfId="0" applyFont="1" applyFill="1" applyBorder="1" applyProtection="1"/>
    <xf numFmtId="0" fontId="18" fillId="0" borderId="0" xfId="0" applyFont="1" applyFill="1" applyBorder="1" applyAlignment="1" applyProtection="1">
      <alignment horizontal="left"/>
    </xf>
    <xf numFmtId="0" fontId="30" fillId="0" borderId="0" xfId="0" applyFont="1" applyFill="1" applyBorder="1" applyProtection="1"/>
    <xf numFmtId="3" fontId="5" fillId="19" borderId="118" xfId="0" applyNumberFormat="1" applyFont="1" applyFill="1" applyBorder="1" applyProtection="1"/>
    <xf numFmtId="1" fontId="4" fillId="19" borderId="118" xfId="0" applyNumberFormat="1" applyFont="1" applyFill="1" applyBorder="1" applyAlignment="1" applyProtection="1">
      <alignment horizontal="center"/>
    </xf>
    <xf numFmtId="49" fontId="5" fillId="19" borderId="36" xfId="0" applyNumberFormat="1" applyFont="1" applyFill="1" applyBorder="1" applyAlignment="1" applyProtection="1">
      <alignment horizontal="left"/>
    </xf>
    <xf numFmtId="49" fontId="5" fillId="19" borderId="58" xfId="0" applyNumberFormat="1" applyFont="1" applyFill="1" applyBorder="1" applyAlignment="1" applyProtection="1">
      <alignment horizontal="left" vertical="top"/>
    </xf>
    <xf numFmtId="49" fontId="5" fillId="19" borderId="142" xfId="0" applyNumberFormat="1" applyFont="1" applyFill="1" applyBorder="1" applyAlignment="1" applyProtection="1">
      <alignment horizontal="left" vertical="top"/>
    </xf>
    <xf numFmtId="3" fontId="10" fillId="0" borderId="0" xfId="0" applyNumberFormat="1" applyFont="1" applyFill="1" applyBorder="1" applyAlignment="1" applyProtection="1">
      <alignment horizontal="right"/>
      <protection locked="0"/>
    </xf>
    <xf numFmtId="0" fontId="5" fillId="19" borderId="98" xfId="0" applyFont="1" applyFill="1" applyBorder="1" applyAlignment="1" applyProtection="1">
      <alignment horizontal="left"/>
    </xf>
    <xf numFmtId="0" fontId="4" fillId="19" borderId="118" xfId="0" applyFont="1" applyFill="1" applyBorder="1" applyAlignment="1" applyProtection="1">
      <alignment horizontal="center"/>
    </xf>
    <xf numFmtId="0" fontId="5" fillId="19" borderId="127" xfId="0" applyFont="1" applyFill="1" applyBorder="1" applyAlignment="1" applyProtection="1">
      <alignment vertical="top"/>
    </xf>
    <xf numFmtId="0" fontId="99" fillId="0" borderId="0" xfId="0" applyFont="1" applyFill="1" applyBorder="1" applyProtection="1"/>
    <xf numFmtId="9" fontId="3" fillId="19" borderId="199" xfId="0" applyNumberFormat="1" applyFont="1" applyFill="1" applyBorder="1" applyAlignment="1" applyProtection="1">
      <alignment horizontal="right"/>
    </xf>
    <xf numFmtId="9" fontId="3" fillId="19" borderId="88" xfId="0" applyNumberFormat="1" applyFont="1" applyFill="1" applyBorder="1" applyAlignment="1" applyProtection="1">
      <alignment horizontal="right"/>
    </xf>
    <xf numFmtId="9" fontId="3" fillId="19" borderId="60" xfId="0" applyNumberFormat="1" applyFont="1" applyFill="1" applyBorder="1" applyAlignment="1" applyProtection="1">
      <alignment horizontal="right"/>
    </xf>
    <xf numFmtId="9" fontId="3" fillId="19" borderId="18" xfId="0" applyNumberFormat="1" applyFont="1" applyFill="1" applyBorder="1" applyAlignment="1" applyProtection="1">
      <alignment horizontal="right"/>
    </xf>
    <xf numFmtId="9" fontId="3" fillId="19" borderId="26" xfId="0" applyNumberFormat="1" applyFont="1" applyFill="1" applyBorder="1" applyAlignment="1" applyProtection="1">
      <alignment horizontal="right"/>
    </xf>
    <xf numFmtId="9" fontId="3" fillId="19" borderId="69" xfId="0" applyNumberFormat="1" applyFont="1" applyFill="1" applyBorder="1" applyAlignment="1" applyProtection="1">
      <alignment horizontal="right"/>
    </xf>
    <xf numFmtId="9" fontId="3" fillId="19" borderId="85" xfId="0" applyNumberFormat="1" applyFont="1" applyFill="1" applyBorder="1" applyAlignment="1" applyProtection="1">
      <alignment horizontal="right"/>
    </xf>
    <xf numFmtId="9" fontId="3" fillId="19" borderId="19" xfId="0" applyNumberFormat="1" applyFont="1" applyFill="1" applyBorder="1" applyAlignment="1" applyProtection="1">
      <alignment horizontal="right"/>
    </xf>
    <xf numFmtId="0" fontId="5" fillId="19" borderId="47" xfId="0" applyFont="1" applyFill="1" applyBorder="1" applyAlignment="1" applyProtection="1">
      <alignment horizontal="left"/>
    </xf>
    <xf numFmtId="0" fontId="5" fillId="19" borderId="159" xfId="0" applyFont="1" applyFill="1" applyBorder="1" applyAlignment="1" applyProtection="1">
      <alignment horizontal="left" vertical="top"/>
    </xf>
    <xf numFmtId="0" fontId="5" fillId="19" borderId="127" xfId="0" applyFont="1" applyFill="1" applyBorder="1" applyAlignment="1" applyProtection="1">
      <alignment horizontal="left"/>
    </xf>
    <xf numFmtId="0" fontId="5" fillId="19" borderId="142" xfId="0" applyFont="1" applyFill="1" applyBorder="1" applyAlignment="1" applyProtection="1">
      <alignment horizontal="left"/>
    </xf>
    <xf numFmtId="0" fontId="3" fillId="19" borderId="42" xfId="0" applyFont="1" applyFill="1" applyBorder="1" applyAlignment="1" applyProtection="1">
      <alignment horizontal="left"/>
    </xf>
    <xf numFmtId="0" fontId="8" fillId="19" borderId="42" xfId="0" applyFont="1" applyFill="1" applyBorder="1" applyProtection="1"/>
    <xf numFmtId="0" fontId="88" fillId="0" borderId="0" xfId="0" applyFont="1" applyFill="1" applyBorder="1" applyProtection="1"/>
    <xf numFmtId="0" fontId="9" fillId="29" borderId="209" xfId="0" applyFont="1" applyFill="1" applyBorder="1" applyAlignment="1" applyProtection="1">
      <alignment horizontal="left" vertical="center"/>
    </xf>
    <xf numFmtId="0" fontId="9" fillId="29" borderId="61" xfId="0" applyFont="1" applyFill="1" applyBorder="1" applyAlignment="1" applyProtection="1">
      <alignment horizontal="left" vertical="center"/>
    </xf>
    <xf numFmtId="3" fontId="2" fillId="0" borderId="39" xfId="0" applyNumberFormat="1" applyFont="1" applyFill="1" applyBorder="1" applyProtection="1"/>
    <xf numFmtId="0" fontId="3" fillId="0" borderId="39" xfId="0" applyFont="1" applyFill="1" applyBorder="1" applyProtection="1"/>
    <xf numFmtId="0" fontId="39" fillId="0" borderId="39" xfId="0" applyFont="1" applyFill="1" applyBorder="1" applyProtection="1"/>
    <xf numFmtId="49" fontId="121" fillId="0" borderId="39" xfId="0" applyNumberFormat="1" applyFont="1" applyFill="1" applyBorder="1" applyAlignment="1" applyProtection="1">
      <alignment horizontal="right"/>
    </xf>
    <xf numFmtId="0" fontId="40" fillId="0" borderId="39" xfId="0" applyFont="1" applyFill="1" applyBorder="1" applyAlignment="1" applyProtection="1">
      <alignment horizontal="center"/>
    </xf>
    <xf numFmtId="3" fontId="3" fillId="19" borderId="107" xfId="0" applyNumberFormat="1" applyFont="1" applyFill="1" applyBorder="1" applyProtection="1"/>
    <xf numFmtId="3" fontId="8" fillId="19" borderId="115" xfId="0" applyNumberFormat="1" applyFont="1" applyFill="1" applyBorder="1" applyProtection="1"/>
    <xf numFmtId="3" fontId="8" fillId="19" borderId="106" xfId="0" applyNumberFormat="1" applyFont="1" applyFill="1" applyBorder="1" applyProtection="1"/>
    <xf numFmtId="3" fontId="3" fillId="19" borderId="70" xfId="0" applyNumberFormat="1" applyFont="1" applyFill="1" applyBorder="1" applyAlignment="1" applyProtection="1">
      <alignment vertical="top" wrapText="1"/>
    </xf>
    <xf numFmtId="3" fontId="5" fillId="19" borderId="186" xfId="0" applyNumberFormat="1" applyFont="1" applyFill="1" applyBorder="1" applyAlignment="1" applyProtection="1">
      <alignment vertical="top" wrapText="1"/>
    </xf>
    <xf numFmtId="3" fontId="5" fillId="19" borderId="173" xfId="0" applyNumberFormat="1" applyFont="1" applyFill="1" applyBorder="1" applyProtection="1"/>
    <xf numFmtId="0" fontId="8" fillId="19" borderId="16" xfId="0" applyFont="1" applyFill="1" applyBorder="1" applyProtection="1"/>
    <xf numFmtId="0" fontId="3" fillId="19" borderId="56" xfId="0" applyFont="1" applyFill="1" applyBorder="1" applyProtection="1"/>
    <xf numFmtId="0" fontId="11" fillId="19" borderId="161" xfId="0" applyFont="1" applyFill="1" applyBorder="1" applyProtection="1"/>
    <xf numFmtId="49" fontId="11" fillId="19" borderId="190" xfId="0" applyNumberFormat="1" applyFont="1" applyFill="1" applyBorder="1" applyProtection="1"/>
    <xf numFmtId="49" fontId="11" fillId="0" borderId="198" xfId="0" applyNumberFormat="1" applyFont="1" applyFill="1" applyBorder="1" applyProtection="1"/>
    <xf numFmtId="3" fontId="5" fillId="0" borderId="124" xfId="0" applyNumberFormat="1" applyFont="1" applyFill="1" applyBorder="1" applyAlignment="1" applyProtection="1">
      <alignment horizontal="left" vertical="top" wrapText="1"/>
    </xf>
    <xf numFmtId="0" fontId="3" fillId="0" borderId="0" xfId="0" applyFont="1" applyFill="1" applyBorder="1" applyAlignment="1" applyProtection="1">
      <alignment vertical="top" wrapText="1"/>
    </xf>
    <xf numFmtId="0" fontId="35" fillId="0" borderId="0" xfId="0" applyFont="1" applyFill="1" applyBorder="1" applyAlignment="1" applyProtection="1">
      <alignment wrapText="1"/>
    </xf>
    <xf numFmtId="0" fontId="0" fillId="0" borderId="177" xfId="0" applyFill="1" applyBorder="1" applyProtection="1"/>
    <xf numFmtId="0" fontId="35" fillId="0" borderId="176" xfId="0" applyFont="1" applyFill="1" applyBorder="1" applyAlignment="1" applyProtection="1">
      <alignment wrapText="1"/>
    </xf>
    <xf numFmtId="3" fontId="35" fillId="0" borderId="44" xfId="0" applyNumberFormat="1" applyFont="1" applyFill="1" applyBorder="1" applyAlignment="1" applyProtection="1">
      <alignment horizontal="left"/>
    </xf>
    <xf numFmtId="3" fontId="35" fillId="0" borderId="181" xfId="6" quotePrefix="1" applyNumberFormat="1" applyFont="1" applyFill="1" applyBorder="1" applyAlignment="1" applyProtection="1">
      <alignment horizontal="left"/>
    </xf>
    <xf numFmtId="3" fontId="35" fillId="0" borderId="160" xfId="0" applyNumberFormat="1" applyFont="1" applyFill="1" applyBorder="1" applyAlignment="1" applyProtection="1">
      <alignment horizontal="left"/>
    </xf>
    <xf numFmtId="0" fontId="35" fillId="0" borderId="160" xfId="0" applyFont="1" applyFill="1" applyBorder="1" applyProtection="1"/>
    <xf numFmtId="3" fontId="35" fillId="0" borderId="160" xfId="6" quotePrefix="1" applyNumberFormat="1" applyFont="1" applyFill="1" applyBorder="1" applyAlignment="1" applyProtection="1">
      <alignment horizontal="left"/>
    </xf>
    <xf numFmtId="0" fontId="35" fillId="0" borderId="180" xfId="0" applyFont="1" applyFill="1" applyBorder="1" applyProtection="1"/>
    <xf numFmtId="0" fontId="35" fillId="0" borderId="0" xfId="0" applyFont="1" applyFill="1" applyAlignment="1" applyProtection="1">
      <alignment horizontal="left"/>
    </xf>
    <xf numFmtId="0" fontId="35" fillId="0" borderId="0" xfId="0" applyFont="1" applyFill="1" applyBorder="1" applyAlignment="1" applyProtection="1">
      <alignment horizontal="right"/>
    </xf>
    <xf numFmtId="3" fontId="35" fillId="0" borderId="0" xfId="0" applyNumberFormat="1" applyFont="1" applyFill="1" applyBorder="1" applyAlignment="1" applyProtection="1"/>
    <xf numFmtId="3" fontId="122" fillId="0" borderId="160" xfId="6" quotePrefix="1" applyNumberFormat="1" applyFont="1" applyFill="1" applyBorder="1" applyAlignment="1" applyProtection="1">
      <alignment horizontal="left"/>
    </xf>
    <xf numFmtId="3" fontId="139" fillId="0" borderId="0" xfId="0" applyNumberFormat="1" applyFont="1" applyFill="1" applyBorder="1" applyAlignment="1" applyProtection="1"/>
    <xf numFmtId="3" fontId="35" fillId="0" borderId="105" xfId="6" quotePrefix="1" applyNumberFormat="1" applyFont="1" applyFill="1" applyBorder="1" applyAlignment="1" applyProtection="1">
      <alignment horizontal="left"/>
    </xf>
    <xf numFmtId="0" fontId="109" fillId="0" borderId="0" xfId="0" applyFont="1" applyFill="1" applyBorder="1" applyProtection="1"/>
    <xf numFmtId="0" fontId="35" fillId="0" borderId="181" xfId="0" applyFont="1" applyFill="1" applyBorder="1" applyProtection="1"/>
    <xf numFmtId="0" fontId="2" fillId="19" borderId="4" xfId="0" applyFont="1" applyFill="1" applyBorder="1" applyAlignment="1" applyProtection="1">
      <alignment vertical="top"/>
    </xf>
    <xf numFmtId="0" fontId="2" fillId="19" borderId="2" xfId="0" applyFont="1" applyFill="1" applyBorder="1" applyAlignment="1" applyProtection="1">
      <alignment vertical="top"/>
    </xf>
    <xf numFmtId="3" fontId="95" fillId="19" borderId="0" xfId="0" applyNumberFormat="1" applyFont="1" applyFill="1" applyBorder="1" applyProtection="1"/>
    <xf numFmtId="0" fontId="2" fillId="19" borderId="0" xfId="0" applyFont="1" applyFill="1" applyBorder="1" applyAlignment="1" applyProtection="1">
      <alignment vertical="top"/>
    </xf>
    <xf numFmtId="3" fontId="43" fillId="19" borderId="58" xfId="0" applyNumberFormat="1" applyFont="1" applyFill="1" applyBorder="1" applyProtection="1"/>
    <xf numFmtId="0" fontId="35" fillId="0" borderId="57" xfId="0" applyFont="1" applyFill="1" applyBorder="1" applyProtection="1"/>
    <xf numFmtId="0" fontId="35" fillId="0" borderId="44" xfId="0" applyFont="1" applyFill="1" applyBorder="1" applyProtection="1"/>
    <xf numFmtId="3" fontId="35" fillId="0" borderId="44" xfId="6" quotePrefix="1" applyNumberFormat="1" applyFont="1" applyFill="1" applyBorder="1" applyAlignment="1" applyProtection="1">
      <alignment horizontal="left"/>
    </xf>
    <xf numFmtId="0" fontId="35" fillId="0" borderId="39" xfId="0" applyFont="1" applyFill="1" applyBorder="1" applyProtection="1"/>
    <xf numFmtId="3" fontId="43" fillId="19" borderId="196" xfId="0" applyNumberFormat="1" applyFont="1" applyFill="1" applyBorder="1" applyAlignment="1" applyProtection="1">
      <alignment horizontal="right"/>
    </xf>
    <xf numFmtId="3" fontId="43" fillId="19" borderId="131" xfId="0" applyNumberFormat="1" applyFont="1" applyFill="1" applyBorder="1" applyAlignment="1" applyProtection="1">
      <alignment horizontal="right"/>
    </xf>
    <xf numFmtId="0" fontId="1" fillId="19" borderId="0" xfId="0" applyFont="1" applyFill="1" applyBorder="1" applyProtection="1"/>
    <xf numFmtId="3" fontId="43" fillId="19" borderId="101" xfId="0" applyNumberFormat="1" applyFont="1" applyFill="1" applyBorder="1" applyAlignment="1" applyProtection="1">
      <alignment vertical="top" wrapText="1"/>
    </xf>
    <xf numFmtId="3" fontId="43" fillId="19" borderId="118" xfId="0" applyNumberFormat="1" applyFont="1" applyFill="1" applyBorder="1" applyAlignment="1" applyProtection="1">
      <alignment vertical="top" wrapText="1"/>
    </xf>
    <xf numFmtId="3" fontId="43" fillId="19" borderId="96" xfId="0" applyNumberFormat="1" applyFont="1" applyFill="1" applyBorder="1" applyAlignment="1" applyProtection="1">
      <alignment vertical="top" wrapText="1"/>
    </xf>
    <xf numFmtId="0" fontId="22" fillId="19" borderId="16" xfId="0" applyFont="1" applyFill="1" applyBorder="1" applyProtection="1"/>
    <xf numFmtId="0" fontId="1" fillId="19" borderId="15" xfId="0" applyFont="1" applyFill="1" applyBorder="1" applyProtection="1"/>
    <xf numFmtId="0" fontId="1" fillId="19" borderId="44" xfId="0" applyFont="1" applyFill="1" applyBorder="1" applyProtection="1"/>
    <xf numFmtId="3" fontId="45" fillId="19" borderId="15" xfId="0" applyNumberFormat="1" applyFont="1" applyFill="1" applyBorder="1" applyProtection="1"/>
    <xf numFmtId="3" fontId="95" fillId="19" borderId="15" xfId="0" applyNumberFormat="1" applyFont="1" applyFill="1" applyBorder="1" applyProtection="1"/>
    <xf numFmtId="0" fontId="2" fillId="19" borderId="16" xfId="0" applyFont="1" applyFill="1" applyBorder="1" applyAlignment="1" applyProtection="1">
      <alignment vertical="top"/>
    </xf>
    <xf numFmtId="0" fontId="2" fillId="19" borderId="15" xfId="0" applyFont="1" applyFill="1" applyBorder="1" applyAlignment="1" applyProtection="1">
      <alignment vertical="top"/>
    </xf>
    <xf numFmtId="0" fontId="2" fillId="19" borderId="44" xfId="0" applyFont="1" applyFill="1" applyBorder="1" applyAlignment="1" applyProtection="1">
      <alignment vertical="top"/>
    </xf>
    <xf numFmtId="0" fontId="2" fillId="19" borderId="65" xfId="0" applyFont="1" applyFill="1" applyBorder="1" applyAlignment="1" applyProtection="1">
      <alignment vertical="top"/>
    </xf>
    <xf numFmtId="0" fontId="22" fillId="19" borderId="15" xfId="0" applyFont="1" applyFill="1" applyBorder="1" applyProtection="1"/>
    <xf numFmtId="3" fontId="16" fillId="19" borderId="16" xfId="0" applyNumberFormat="1" applyFont="1" applyFill="1" applyBorder="1" applyProtection="1"/>
    <xf numFmtId="0" fontId="2" fillId="19" borderId="169" xfId="0" applyFont="1" applyFill="1" applyBorder="1" applyAlignment="1" applyProtection="1">
      <alignment vertical="top"/>
    </xf>
    <xf numFmtId="3" fontId="43" fillId="19" borderId="47" xfId="0" applyNumberFormat="1" applyFont="1" applyFill="1" applyBorder="1" applyAlignment="1" applyProtection="1">
      <alignment vertical="top" wrapText="1"/>
    </xf>
    <xf numFmtId="3" fontId="16" fillId="19" borderId="169" xfId="0" applyNumberFormat="1" applyFont="1" applyFill="1" applyBorder="1" applyProtection="1"/>
    <xf numFmtId="3" fontId="16" fillId="19" borderId="3" xfId="0" applyNumberFormat="1" applyFont="1" applyFill="1" applyBorder="1" applyProtection="1"/>
    <xf numFmtId="3" fontId="16" fillId="19" borderId="101" xfId="0" applyNumberFormat="1" applyFont="1" applyFill="1" applyBorder="1" applyProtection="1"/>
    <xf numFmtId="3" fontId="45" fillId="19" borderId="120" xfId="0" applyNumberFormat="1" applyFont="1" applyFill="1" applyBorder="1" applyProtection="1"/>
    <xf numFmtId="3" fontId="95" fillId="19" borderId="120" xfId="0" applyNumberFormat="1" applyFont="1" applyFill="1" applyBorder="1" applyProtection="1"/>
    <xf numFmtId="3" fontId="95" fillId="19" borderId="96" xfId="0" applyNumberFormat="1" applyFont="1" applyFill="1" applyBorder="1" applyProtection="1"/>
    <xf numFmtId="0" fontId="2" fillId="19" borderId="27" xfId="0" applyFont="1" applyFill="1" applyBorder="1" applyAlignment="1" applyProtection="1">
      <alignment vertical="top"/>
    </xf>
    <xf numFmtId="0" fontId="2" fillId="19" borderId="16" xfId="0" applyFont="1" applyFill="1" applyBorder="1" applyAlignment="1" applyProtection="1">
      <alignment vertical="top"/>
      <protection locked="0"/>
    </xf>
    <xf numFmtId="0" fontId="2" fillId="19" borderId="13" xfId="0" applyFont="1" applyFill="1" applyBorder="1" applyAlignment="1" applyProtection="1">
      <alignment vertical="top"/>
      <protection locked="0"/>
    </xf>
    <xf numFmtId="0" fontId="2" fillId="19" borderId="178" xfId="0" applyFont="1" applyFill="1" applyBorder="1" applyAlignment="1" applyProtection="1">
      <alignment vertical="top"/>
      <protection locked="0"/>
    </xf>
    <xf numFmtId="3" fontId="43" fillId="19" borderId="14" xfId="0" applyNumberFormat="1" applyFont="1" applyFill="1" applyBorder="1" applyAlignment="1" applyProtection="1">
      <alignment vertical="top" wrapText="1"/>
    </xf>
    <xf numFmtId="3" fontId="43" fillId="19" borderId="9" xfId="0" applyNumberFormat="1" applyFont="1" applyFill="1" applyBorder="1" applyAlignment="1" applyProtection="1">
      <alignment vertical="top" wrapText="1"/>
    </xf>
    <xf numFmtId="3" fontId="43" fillId="19" borderId="166" xfId="0" applyNumberFormat="1" applyFont="1" applyFill="1" applyBorder="1" applyAlignment="1" applyProtection="1">
      <alignment vertical="top" wrapText="1"/>
    </xf>
    <xf numFmtId="9" fontId="132" fillId="19" borderId="12" xfId="0" applyNumberFormat="1" applyFont="1" applyFill="1" applyBorder="1" applyAlignment="1" applyProtection="1"/>
    <xf numFmtId="0" fontId="47" fillId="0" borderId="160" xfId="0" applyFont="1" applyFill="1" applyBorder="1" applyAlignment="1" applyProtection="1">
      <alignment vertical="center"/>
    </xf>
    <xf numFmtId="3" fontId="46" fillId="19" borderId="8" xfId="0" applyNumberFormat="1" applyFont="1" applyFill="1" applyBorder="1" applyProtection="1"/>
    <xf numFmtId="0" fontId="2" fillId="19" borderId="55" xfId="0" applyFont="1" applyFill="1" applyBorder="1" applyAlignment="1" applyProtection="1">
      <alignment vertical="top"/>
    </xf>
    <xf numFmtId="9" fontId="46" fillId="19" borderId="12" xfId="0" applyNumberFormat="1" applyFont="1" applyFill="1" applyBorder="1" applyProtection="1"/>
    <xf numFmtId="3" fontId="111" fillId="19" borderId="155" xfId="0" applyNumberFormat="1" applyFont="1" applyFill="1" applyBorder="1" applyProtection="1"/>
    <xf numFmtId="3" fontId="49" fillId="19" borderId="155" xfId="0" applyNumberFormat="1" applyFont="1" applyFill="1" applyBorder="1" applyProtection="1"/>
    <xf numFmtId="3" fontId="2" fillId="19" borderId="155" xfId="0" applyNumberFormat="1" applyFont="1" applyFill="1" applyBorder="1" applyAlignment="1" applyProtection="1">
      <alignment vertical="top"/>
    </xf>
    <xf numFmtId="0" fontId="2" fillId="19" borderId="155" xfId="0" applyFont="1" applyFill="1" applyBorder="1" applyAlignment="1" applyProtection="1">
      <alignment vertical="top"/>
    </xf>
    <xf numFmtId="0" fontId="2" fillId="19" borderId="82" xfId="0" applyFont="1" applyFill="1" applyBorder="1" applyAlignment="1" applyProtection="1">
      <alignment vertical="top"/>
    </xf>
    <xf numFmtId="3" fontId="111" fillId="19" borderId="15" xfId="0" applyNumberFormat="1" applyFont="1" applyFill="1" applyBorder="1" applyProtection="1"/>
    <xf numFmtId="3" fontId="46" fillId="19" borderId="101" xfId="0" applyNumberFormat="1" applyFont="1" applyFill="1" applyBorder="1" applyProtection="1"/>
    <xf numFmtId="3" fontId="46" fillId="19" borderId="118" xfId="0" applyNumberFormat="1" applyFont="1" applyFill="1" applyBorder="1" applyProtection="1"/>
    <xf numFmtId="9" fontId="46" fillId="19" borderId="88" xfId="0" applyNumberFormat="1" applyFont="1" applyFill="1" applyBorder="1" applyProtection="1"/>
    <xf numFmtId="3" fontId="43" fillId="19" borderId="36" xfId="0" applyNumberFormat="1" applyFont="1" applyFill="1" applyBorder="1" applyAlignment="1" applyProtection="1">
      <alignment vertical="top" wrapText="1"/>
    </xf>
    <xf numFmtId="3" fontId="2" fillId="20" borderId="192" xfId="0" applyNumberFormat="1" applyFont="1" applyFill="1" applyBorder="1" applyAlignment="1" applyProtection="1">
      <alignment horizontal="right"/>
    </xf>
    <xf numFmtId="3" fontId="95" fillId="19" borderId="169" xfId="0" applyNumberFormat="1" applyFont="1" applyFill="1" applyBorder="1" applyProtection="1"/>
    <xf numFmtId="3" fontId="111" fillId="19" borderId="169" xfId="0" applyNumberFormat="1" applyFont="1" applyFill="1" applyBorder="1" applyProtection="1"/>
    <xf numFmtId="4" fontId="35" fillId="0" borderId="57" xfId="10" applyNumberFormat="1" applyFont="1" applyFill="1" applyBorder="1" applyProtection="1"/>
    <xf numFmtId="0" fontId="35" fillId="0" borderId="174" xfId="0" applyFont="1" applyFill="1" applyBorder="1" applyProtection="1"/>
    <xf numFmtId="3" fontId="35" fillId="0" borderId="160" xfId="0" applyNumberFormat="1" applyFont="1" applyFill="1" applyBorder="1" applyAlignment="1" applyProtection="1"/>
    <xf numFmtId="0" fontId="35" fillId="0" borderId="177" xfId="0" applyFont="1" applyFill="1" applyBorder="1" applyProtection="1"/>
    <xf numFmtId="3" fontId="46" fillId="19" borderId="25" xfId="0" applyNumberFormat="1" applyFont="1" applyFill="1" applyBorder="1" applyProtection="1"/>
    <xf numFmtId="0" fontId="19" fillId="0" borderId="0" xfId="0" applyFont="1" applyFill="1" applyAlignment="1" applyProtection="1">
      <alignment horizontal="right"/>
    </xf>
    <xf numFmtId="0" fontId="124" fillId="0" borderId="0" xfId="0" applyNumberFormat="1" applyFont="1" applyFill="1" applyProtection="1"/>
    <xf numFmtId="0" fontId="83" fillId="0" borderId="0" xfId="0" applyFont="1" applyFill="1" applyBorder="1" applyAlignment="1" applyProtection="1">
      <alignment horizontal="left"/>
    </xf>
    <xf numFmtId="0" fontId="7" fillId="0" borderId="0" xfId="0" applyFont="1" applyFill="1" applyBorder="1" applyAlignment="1" applyProtection="1">
      <alignment wrapText="1"/>
    </xf>
    <xf numFmtId="9" fontId="35" fillId="0" borderId="0" xfId="12" applyFont="1" applyFill="1" applyBorder="1" applyProtection="1"/>
    <xf numFmtId="9" fontId="35" fillId="0" borderId="0" xfId="12" quotePrefix="1" applyFont="1" applyFill="1" applyBorder="1" applyProtection="1"/>
    <xf numFmtId="0" fontId="84" fillId="0" borderId="0" xfId="0" applyFont="1" applyFill="1" applyProtection="1"/>
    <xf numFmtId="3" fontId="3" fillId="19" borderId="122" xfId="0" applyNumberFormat="1" applyFont="1" applyFill="1" applyBorder="1" applyProtection="1"/>
    <xf numFmtId="3" fontId="3" fillId="19" borderId="137" xfId="0" applyNumberFormat="1" applyFont="1" applyFill="1" applyBorder="1" applyProtection="1"/>
    <xf numFmtId="3" fontId="3" fillId="19" borderId="154" xfId="0" applyNumberFormat="1" applyFont="1" applyFill="1" applyBorder="1" applyProtection="1"/>
    <xf numFmtId="3" fontId="35" fillId="19" borderId="122" xfId="0" applyNumberFormat="1" applyFont="1" applyFill="1" applyBorder="1" applyProtection="1"/>
    <xf numFmtId="1" fontId="3" fillId="19" borderId="233" xfId="0" applyNumberFormat="1" applyFont="1" applyFill="1" applyBorder="1" applyProtection="1"/>
    <xf numFmtId="0" fontId="12" fillId="0" borderId="0" xfId="0" applyFont="1" applyFill="1" applyBorder="1" applyAlignment="1" applyProtection="1">
      <alignment vertical="top" wrapText="1"/>
    </xf>
    <xf numFmtId="0" fontId="3" fillId="0" borderId="0" xfId="0" applyFont="1" applyFill="1" applyBorder="1" applyAlignment="1" applyProtection="1">
      <alignment wrapText="1"/>
    </xf>
    <xf numFmtId="0" fontId="5" fillId="0" borderId="0" xfId="0" applyFont="1" applyFill="1" applyBorder="1" applyAlignment="1" applyProtection="1">
      <alignment wrapText="1"/>
    </xf>
    <xf numFmtId="0" fontId="12" fillId="0" borderId="0" xfId="0" applyFont="1" applyFill="1" applyBorder="1" applyAlignment="1" applyProtection="1"/>
    <xf numFmtId="9" fontId="46" fillId="0" borderId="0" xfId="12" applyNumberFormat="1" applyFont="1" applyFill="1" applyBorder="1" applyProtection="1"/>
    <xf numFmtId="9" fontId="46" fillId="0" borderId="0" xfId="0" applyNumberFormat="1" applyFont="1" applyFill="1" applyBorder="1" applyProtection="1"/>
    <xf numFmtId="1" fontId="46" fillId="0" borderId="0" xfId="0" applyNumberFormat="1" applyFont="1" applyFill="1" applyBorder="1" applyProtection="1"/>
    <xf numFmtId="1" fontId="35" fillId="0" borderId="0" xfId="0" applyNumberFormat="1" applyFont="1" applyFill="1" applyBorder="1" applyProtection="1"/>
    <xf numFmtId="0" fontId="5" fillId="19" borderId="153" xfId="0" applyFont="1" applyFill="1" applyBorder="1" applyAlignment="1" applyProtection="1">
      <alignment horizontal="center"/>
    </xf>
    <xf numFmtId="3" fontId="46" fillId="20" borderId="234" xfId="0" applyNumberFormat="1" applyFont="1" applyFill="1" applyBorder="1" applyProtection="1"/>
    <xf numFmtId="3" fontId="46" fillId="20" borderId="235" xfId="0" applyNumberFormat="1" applyFont="1" applyFill="1" applyBorder="1" applyProtection="1"/>
    <xf numFmtId="3" fontId="46" fillId="20" borderId="154" xfId="0" applyNumberFormat="1" applyFont="1" applyFill="1" applyBorder="1" applyProtection="1"/>
    <xf numFmtId="3" fontId="46" fillId="20" borderId="139" xfId="0" applyNumberFormat="1" applyFont="1" applyFill="1" applyBorder="1" applyProtection="1"/>
    <xf numFmtId="3" fontId="46" fillId="20" borderId="137" xfId="0" applyNumberFormat="1" applyFont="1" applyFill="1" applyBorder="1" applyProtection="1"/>
    <xf numFmtId="3" fontId="46" fillId="19" borderId="139" xfId="0" applyNumberFormat="1" applyFont="1" applyFill="1" applyBorder="1" applyProtection="1"/>
    <xf numFmtId="3" fontId="46" fillId="19" borderId="141" xfId="0" applyNumberFormat="1" applyFont="1" applyFill="1" applyBorder="1" applyProtection="1"/>
    <xf numFmtId="1" fontId="46" fillId="19" borderId="221" xfId="0" applyNumberFormat="1" applyFont="1" applyFill="1" applyBorder="1" applyProtection="1"/>
    <xf numFmtId="3" fontId="136" fillId="20" borderId="0" xfId="0" applyNumberFormat="1" applyFont="1" applyFill="1" applyBorder="1" applyAlignment="1" applyProtection="1">
      <alignment horizontal="right"/>
    </xf>
    <xf numFmtId="0" fontId="137" fillId="19" borderId="0" xfId="0" applyFont="1" applyFill="1" applyAlignment="1">
      <alignment vertical="top" wrapText="1"/>
    </xf>
    <xf numFmtId="0" fontId="137" fillId="19" borderId="0" xfId="0" applyFont="1" applyFill="1" applyAlignment="1">
      <alignment wrapText="1"/>
    </xf>
    <xf numFmtId="0" fontId="5" fillId="19" borderId="0" xfId="0" applyFont="1" applyFill="1" applyAlignment="1">
      <alignment wrapText="1"/>
    </xf>
    <xf numFmtId="0" fontId="3" fillId="19" borderId="0" xfId="0" applyFont="1" applyFill="1" applyAlignment="1">
      <alignment wrapText="1"/>
    </xf>
    <xf numFmtId="0" fontId="3" fillId="19" borderId="39" xfId="0" applyFont="1" applyFill="1" applyBorder="1" applyAlignment="1">
      <alignment wrapText="1"/>
    </xf>
    <xf numFmtId="0" fontId="3" fillId="19" borderId="222" xfId="0" applyFont="1" applyFill="1" applyBorder="1" applyAlignment="1">
      <alignment wrapText="1"/>
    </xf>
    <xf numFmtId="49" fontId="2" fillId="10" borderId="167" xfId="0" applyNumberFormat="1" applyFont="1" applyFill="1" applyBorder="1" applyAlignment="1" applyProtection="1"/>
    <xf numFmtId="3" fontId="10" fillId="20" borderId="0" xfId="0" applyNumberFormat="1" applyFont="1" applyFill="1" applyBorder="1" applyProtection="1"/>
    <xf numFmtId="1" fontId="136" fillId="19" borderId="236" xfId="0" applyNumberFormat="1" applyFont="1" applyFill="1" applyBorder="1" applyProtection="1"/>
    <xf numFmtId="1" fontId="136" fillId="19" borderId="222" xfId="0" applyNumberFormat="1" applyFont="1" applyFill="1" applyBorder="1" applyProtection="1"/>
    <xf numFmtId="1" fontId="136" fillId="19" borderId="223" xfId="0" applyNumberFormat="1" applyFont="1" applyFill="1" applyBorder="1" applyProtection="1"/>
    <xf numFmtId="3" fontId="3" fillId="19" borderId="122" xfId="0" applyNumberFormat="1" applyFont="1" applyFill="1" applyBorder="1" applyAlignment="1" applyProtection="1">
      <alignment wrapText="1"/>
    </xf>
    <xf numFmtId="1" fontId="22" fillId="0" borderId="0" xfId="6" applyNumberFormat="1" applyFill="1" applyProtection="1"/>
    <xf numFmtId="1" fontId="54" fillId="0" borderId="0" xfId="6" applyNumberFormat="1" applyFont="1" applyFill="1" applyAlignment="1" applyProtection="1">
      <alignment horizontal="left"/>
    </xf>
    <xf numFmtId="1" fontId="54" fillId="0" borderId="0" xfId="11" applyNumberFormat="1" applyFont="1" applyFill="1" applyBorder="1" applyAlignment="1" applyProtection="1">
      <alignment horizontal="left"/>
    </xf>
    <xf numFmtId="0" fontId="3" fillId="0" borderId="0" xfId="6" applyFont="1" applyFill="1" applyBorder="1" applyProtection="1"/>
    <xf numFmtId="0" fontId="2" fillId="0" borderId="0" xfId="6" applyFont="1" applyFill="1" applyBorder="1" applyAlignment="1" applyProtection="1">
      <alignment vertical="top" wrapText="1"/>
    </xf>
    <xf numFmtId="1" fontId="55" fillId="0" borderId="0" xfId="6" applyNumberFormat="1" applyFont="1" applyFill="1" applyBorder="1" applyAlignment="1" applyProtection="1">
      <alignment horizontal="center"/>
    </xf>
    <xf numFmtId="0" fontId="3" fillId="19" borderId="169" xfId="6" applyFont="1" applyFill="1" applyBorder="1" applyAlignment="1" applyProtection="1">
      <alignment wrapText="1"/>
    </xf>
    <xf numFmtId="3" fontId="36" fillId="20" borderId="35" xfId="6" applyNumberFormat="1" applyFont="1" applyFill="1" applyBorder="1" applyProtection="1"/>
    <xf numFmtId="3" fontId="36" fillId="20" borderId="2" xfId="6" applyNumberFormat="1" applyFont="1" applyFill="1" applyBorder="1" applyProtection="1"/>
    <xf numFmtId="3" fontId="36" fillId="20" borderId="5" xfId="6" applyNumberFormat="1" applyFont="1" applyFill="1" applyBorder="1" applyProtection="1"/>
    <xf numFmtId="3" fontId="36" fillId="20" borderId="42" xfId="6" applyNumberFormat="1" applyFont="1" applyFill="1" applyBorder="1" applyProtection="1"/>
    <xf numFmtId="3" fontId="36" fillId="20" borderId="68" xfId="6" applyNumberFormat="1" applyFont="1" applyFill="1" applyBorder="1" applyProtection="1"/>
    <xf numFmtId="3" fontId="36" fillId="20" borderId="25" xfId="6" applyNumberFormat="1" applyFont="1" applyFill="1" applyBorder="1" applyProtection="1"/>
    <xf numFmtId="3" fontId="3" fillId="19" borderId="124" xfId="0" applyNumberFormat="1" applyFont="1" applyFill="1" applyBorder="1" applyAlignment="1" applyProtection="1">
      <alignment wrapText="1"/>
    </xf>
    <xf numFmtId="3" fontId="3" fillId="19" borderId="0" xfId="0" applyNumberFormat="1" applyFont="1" applyFill="1" applyBorder="1" applyAlignment="1" applyProtection="1">
      <alignment vertical="center" wrapText="1"/>
    </xf>
    <xf numFmtId="0" fontId="130" fillId="19" borderId="0" xfId="0" applyFont="1" applyFill="1" applyBorder="1" applyAlignment="1">
      <alignment horizontal="left" vertical="top"/>
    </xf>
    <xf numFmtId="0" fontId="130" fillId="19" borderId="0" xfId="0" applyFont="1" applyFill="1" applyBorder="1" applyAlignment="1"/>
    <xf numFmtId="0" fontId="130" fillId="19" borderId="39" xfId="0" applyFont="1" applyFill="1" applyBorder="1" applyAlignment="1">
      <alignment horizontal="left" vertical="top"/>
    </xf>
    <xf numFmtId="3" fontId="2" fillId="0" borderId="0" xfId="0" applyNumberFormat="1" applyFont="1" applyFill="1" applyBorder="1" applyAlignment="1" applyProtection="1"/>
    <xf numFmtId="0" fontId="9" fillId="19" borderId="231" xfId="0" applyFont="1" applyFill="1" applyBorder="1" applyAlignment="1" applyProtection="1">
      <alignment horizontal="left" wrapText="1"/>
    </xf>
    <xf numFmtId="3" fontId="3" fillId="19" borderId="230" xfId="0" applyNumberFormat="1" applyFont="1" applyFill="1" applyBorder="1" applyAlignment="1" applyProtection="1">
      <alignment horizontal="right"/>
    </xf>
    <xf numFmtId="3" fontId="3" fillId="19" borderId="0" xfId="0" applyNumberFormat="1" applyFont="1" applyFill="1" applyBorder="1" applyAlignment="1" applyProtection="1">
      <alignment horizontal="right"/>
    </xf>
    <xf numFmtId="3" fontId="42" fillId="19" borderId="55" xfId="0" applyNumberFormat="1" applyFont="1" applyFill="1" applyBorder="1" applyAlignment="1" applyProtection="1">
      <alignment horizontal="right"/>
    </xf>
    <xf numFmtId="3" fontId="3" fillId="19" borderId="55" xfId="0" applyNumberFormat="1" applyFont="1" applyFill="1" applyBorder="1" applyAlignment="1" applyProtection="1">
      <alignment horizontal="right"/>
    </xf>
    <xf numFmtId="3" fontId="73" fillId="20" borderId="25" xfId="0" applyNumberFormat="1" applyFont="1" applyFill="1" applyBorder="1" applyAlignment="1" applyProtection="1">
      <alignment horizontal="right"/>
    </xf>
    <xf numFmtId="3" fontId="2" fillId="19" borderId="39" xfId="0" applyNumberFormat="1" applyFont="1" applyFill="1" applyBorder="1" applyAlignment="1" applyProtection="1">
      <alignment horizontal="right"/>
    </xf>
    <xf numFmtId="3" fontId="2" fillId="8" borderId="68" xfId="0" applyNumberFormat="1" applyFont="1" applyFill="1" applyBorder="1" applyAlignment="1" applyProtection="1">
      <alignment horizontal="right"/>
    </xf>
    <xf numFmtId="0" fontId="5" fillId="0" borderId="122" xfId="6" applyFont="1" applyFill="1" applyBorder="1" applyAlignment="1" applyProtection="1"/>
    <xf numFmtId="3" fontId="3" fillId="0" borderId="122" xfId="6" applyNumberFormat="1" applyFont="1" applyFill="1" applyBorder="1" applyAlignment="1" applyProtection="1">
      <alignment vertical="top"/>
    </xf>
    <xf numFmtId="0" fontId="1" fillId="0" borderId="122" xfId="0" applyFont="1" applyFill="1" applyBorder="1" applyAlignment="1">
      <alignment wrapText="1"/>
    </xf>
    <xf numFmtId="3" fontId="35" fillId="0" borderId="122" xfId="0" applyNumberFormat="1" applyFont="1" applyFill="1" applyBorder="1" applyAlignment="1" applyProtection="1">
      <alignment horizontal="left"/>
    </xf>
    <xf numFmtId="3" fontId="122" fillId="0" borderId="122" xfId="0" quotePrefix="1" applyNumberFormat="1" applyFont="1" applyFill="1" applyBorder="1" applyAlignment="1" applyProtection="1">
      <alignment horizontal="left"/>
    </xf>
    <xf numFmtId="3" fontId="122" fillId="0" borderId="122" xfId="0" applyNumberFormat="1" applyFont="1" applyFill="1" applyBorder="1" applyAlignment="1" applyProtection="1">
      <alignment horizontal="left"/>
    </xf>
    <xf numFmtId="3" fontId="35" fillId="0" borderId="122" xfId="0" quotePrefix="1" applyNumberFormat="1" applyFont="1" applyFill="1" applyBorder="1" applyAlignment="1" applyProtection="1">
      <alignment horizontal="left"/>
    </xf>
    <xf numFmtId="0" fontId="151" fillId="32" borderId="0" xfId="0" applyFont="1" applyFill="1" applyBorder="1" applyAlignment="1">
      <alignment horizontal="left" wrapText="1"/>
    </xf>
    <xf numFmtId="0" fontId="152" fillId="32" borderId="0" xfId="0" applyFont="1" applyFill="1" applyBorder="1" applyAlignment="1">
      <alignment horizontal="left" wrapText="1"/>
    </xf>
    <xf numFmtId="0" fontId="80" fillId="10" borderId="112" xfId="0" applyFont="1" applyFill="1" applyBorder="1" applyAlignment="1">
      <alignment wrapText="1"/>
    </xf>
    <xf numFmtId="0" fontId="80" fillId="10" borderId="67" xfId="0" applyFont="1" applyFill="1" applyBorder="1" applyAlignment="1">
      <alignment wrapText="1"/>
    </xf>
    <xf numFmtId="0" fontId="78" fillId="10" borderId="0" xfId="0" applyFont="1" applyFill="1" applyBorder="1" applyAlignment="1">
      <alignment wrapText="1"/>
    </xf>
    <xf numFmtId="0" fontId="105" fillId="10" borderId="0" xfId="0" applyFont="1" applyFill="1" applyBorder="1" applyAlignment="1">
      <alignment wrapText="1"/>
    </xf>
    <xf numFmtId="0" fontId="106" fillId="10" borderId="0" xfId="0" applyFont="1" applyFill="1" applyBorder="1" applyAlignment="1"/>
    <xf numFmtId="0" fontId="10" fillId="32" borderId="0" xfId="0" applyFont="1" applyFill="1" applyBorder="1" applyAlignment="1">
      <alignment wrapText="1"/>
    </xf>
    <xf numFmtId="0" fontId="79" fillId="32" borderId="0" xfId="0" applyFont="1" applyFill="1" applyBorder="1" applyAlignment="1">
      <alignment wrapText="1"/>
    </xf>
    <xf numFmtId="0" fontId="10" fillId="32" borderId="0" xfId="0" applyFont="1" applyFill="1" applyBorder="1" applyAlignment="1">
      <alignment horizontal="left" wrapText="1"/>
    </xf>
    <xf numFmtId="0" fontId="2" fillId="32" borderId="0" xfId="0" applyFont="1" applyFill="1" applyBorder="1" applyAlignment="1">
      <alignment wrapText="1"/>
    </xf>
    <xf numFmtId="0" fontId="2" fillId="0" borderId="0" xfId="0" applyFont="1" applyFill="1" applyBorder="1" applyAlignment="1" applyProtection="1">
      <alignment vertical="top" wrapText="1"/>
      <protection locked="0"/>
    </xf>
    <xf numFmtId="0" fontId="2" fillId="0" borderId="0" xfId="0" applyFont="1" applyBorder="1" applyAlignment="1" applyProtection="1">
      <alignment vertical="top" wrapText="1"/>
      <protection locked="0"/>
    </xf>
    <xf numFmtId="0" fontId="3" fillId="19" borderId="125" xfId="0" applyFont="1" applyFill="1" applyBorder="1" applyAlignment="1" applyProtection="1">
      <alignment wrapText="1"/>
    </xf>
    <xf numFmtId="0" fontId="0" fillId="19" borderId="79" xfId="0" applyFill="1" applyBorder="1" applyAlignment="1">
      <alignment wrapText="1"/>
    </xf>
    <xf numFmtId="0" fontId="3" fillId="19" borderId="50" xfId="0" applyFont="1" applyFill="1" applyBorder="1" applyAlignment="1" applyProtection="1">
      <alignment wrapText="1"/>
    </xf>
    <xf numFmtId="0" fontId="0" fillId="19" borderId="52" xfId="0" applyFill="1" applyBorder="1" applyAlignment="1">
      <alignment wrapText="1"/>
    </xf>
    <xf numFmtId="0" fontId="5" fillId="19" borderId="36" xfId="0" applyFont="1" applyFill="1" applyBorder="1" applyAlignment="1" applyProtection="1">
      <alignment horizontal="center" vertical="center"/>
    </xf>
    <xf numFmtId="0" fontId="1" fillId="19" borderId="121" xfId="0" applyFont="1" applyFill="1" applyBorder="1" applyAlignment="1" applyProtection="1"/>
    <xf numFmtId="0" fontId="0" fillId="19" borderId="121" xfId="0" applyFill="1" applyBorder="1" applyProtection="1"/>
    <xf numFmtId="3" fontId="46" fillId="20" borderId="130" xfId="0" applyNumberFormat="1" applyFont="1" applyFill="1" applyBorder="1" applyAlignment="1" applyProtection="1"/>
    <xf numFmtId="3" fontId="46" fillId="20" borderId="21" xfId="0" applyNumberFormat="1" applyFont="1" applyFill="1" applyBorder="1" applyAlignment="1" applyProtection="1"/>
    <xf numFmtId="3" fontId="46" fillId="20" borderId="69" xfId="0" applyNumberFormat="1" applyFont="1" applyFill="1" applyBorder="1" applyAlignment="1" applyProtection="1"/>
    <xf numFmtId="3" fontId="46" fillId="20" borderId="18" xfId="0" applyNumberFormat="1" applyFont="1" applyFill="1" applyBorder="1" applyAlignment="1" applyProtection="1"/>
    <xf numFmtId="0" fontId="9" fillId="2" borderId="0" xfId="0" applyFont="1" applyFill="1" applyBorder="1" applyAlignment="1" applyProtection="1">
      <alignment vertical="top" wrapText="1"/>
      <protection locked="0"/>
    </xf>
    <xf numFmtId="0" fontId="0" fillId="0" borderId="0" xfId="0" applyBorder="1" applyAlignment="1" applyProtection="1">
      <alignment vertical="top" wrapText="1"/>
      <protection locked="0"/>
    </xf>
    <xf numFmtId="0" fontId="5" fillId="19" borderId="121" xfId="0" applyFont="1" applyFill="1" applyBorder="1" applyAlignment="1" applyProtection="1"/>
    <xf numFmtId="3" fontId="5" fillId="19" borderId="36" xfId="0" applyNumberFormat="1" applyFont="1" applyFill="1" applyBorder="1" applyAlignment="1" applyProtection="1">
      <alignment horizontal="center" vertical="center"/>
    </xf>
    <xf numFmtId="0" fontId="7" fillId="19" borderId="121" xfId="0" applyFont="1" applyFill="1" applyBorder="1" applyAlignment="1" applyProtection="1"/>
    <xf numFmtId="0" fontId="3" fillId="19" borderId="184" xfId="0" applyFont="1" applyFill="1" applyBorder="1" applyAlignment="1" applyProtection="1">
      <alignment horizontal="left" wrapText="1"/>
    </xf>
    <xf numFmtId="0" fontId="0" fillId="19" borderId="185" xfId="0" applyFill="1" applyBorder="1" applyAlignment="1" applyProtection="1"/>
    <xf numFmtId="0" fontId="0" fillId="19" borderId="186" xfId="0" applyFill="1" applyBorder="1" applyAlignment="1" applyProtection="1"/>
    <xf numFmtId="1" fontId="5" fillId="0" borderId="0" xfId="0" applyNumberFormat="1" applyFont="1" applyFill="1" applyBorder="1" applyAlignment="1" applyProtection="1">
      <alignment horizontal="left" wrapText="1"/>
    </xf>
    <xf numFmtId="0" fontId="0" fillId="0" borderId="0" xfId="0" applyFill="1" applyBorder="1" applyAlignment="1">
      <alignment horizontal="left" wrapText="1"/>
    </xf>
    <xf numFmtId="1" fontId="3" fillId="0" borderId="0" xfId="0" applyNumberFormat="1" applyFont="1" applyFill="1" applyBorder="1" applyAlignment="1" applyProtection="1">
      <alignment horizontal="center" wrapText="1"/>
    </xf>
    <xf numFmtId="0" fontId="7" fillId="0" borderId="0" xfId="0" applyFont="1" applyFill="1" applyBorder="1" applyAlignment="1" applyProtection="1">
      <alignment vertical="top" wrapText="1"/>
    </xf>
    <xf numFmtId="1" fontId="15" fillId="19" borderId="15" xfId="0" applyNumberFormat="1" applyFont="1" applyFill="1" applyBorder="1" applyAlignment="1" applyProtection="1">
      <alignment horizontal="left" vertical="top" wrapText="1"/>
    </xf>
    <xf numFmtId="0" fontId="52" fillId="19" borderId="42" xfId="0" applyFont="1" applyFill="1" applyBorder="1" applyAlignment="1">
      <alignment horizontal="left" vertical="top" wrapText="1"/>
    </xf>
    <xf numFmtId="0" fontId="9" fillId="0" borderId="0" xfId="0" applyFont="1" applyFill="1" applyAlignment="1" applyProtection="1">
      <alignment wrapText="1"/>
    </xf>
    <xf numFmtId="0" fontId="0" fillId="0" borderId="0" xfId="0" applyFill="1" applyAlignment="1">
      <alignment wrapText="1"/>
    </xf>
    <xf numFmtId="0" fontId="7" fillId="0" borderId="0" xfId="0" applyFont="1" applyFill="1" applyBorder="1" applyAlignment="1">
      <alignment wrapText="1"/>
    </xf>
    <xf numFmtId="0" fontId="8" fillId="2" borderId="67" xfId="0" applyFont="1" applyFill="1" applyBorder="1" applyAlignment="1" applyProtection="1"/>
    <xf numFmtId="0" fontId="0" fillId="0" borderId="67" xfId="0" applyBorder="1" applyAlignment="1" applyProtection="1"/>
    <xf numFmtId="0" fontId="2" fillId="2" borderId="0" xfId="0" applyFont="1" applyFill="1" applyBorder="1" applyAlignment="1" applyProtection="1">
      <alignment vertical="top" wrapText="1"/>
      <protection locked="0"/>
    </xf>
    <xf numFmtId="1" fontId="2" fillId="19" borderId="15" xfId="0" applyNumberFormat="1" applyFont="1" applyFill="1" applyBorder="1" applyAlignment="1" applyProtection="1">
      <alignment horizontal="left" wrapText="1"/>
    </xf>
    <xf numFmtId="0" fontId="9" fillId="19" borderId="15" xfId="0" applyFont="1" applyFill="1" applyBorder="1" applyAlignment="1">
      <alignment wrapText="1"/>
    </xf>
    <xf numFmtId="0" fontId="0" fillId="0" borderId="0" xfId="0" applyBorder="1" applyAlignment="1">
      <alignment vertical="top" wrapText="1"/>
    </xf>
    <xf numFmtId="0" fontId="19" fillId="2" borderId="0" xfId="0" applyFont="1" applyFill="1" applyAlignment="1" applyProtection="1">
      <alignment vertical="top" wrapText="1"/>
    </xf>
    <xf numFmtId="0" fontId="9" fillId="0" borderId="0" xfId="0" applyFont="1" applyBorder="1" applyAlignment="1">
      <alignment wrapText="1"/>
    </xf>
    <xf numFmtId="0" fontId="9" fillId="0" borderId="0" xfId="0" applyFont="1" applyAlignment="1">
      <alignment vertical="top" wrapText="1"/>
    </xf>
    <xf numFmtId="0" fontId="147" fillId="0" borderId="230" xfId="0" applyFont="1" applyFill="1" applyBorder="1" applyAlignment="1" applyProtection="1">
      <alignment horizontal="left" vertical="top" wrapText="1"/>
    </xf>
    <xf numFmtId="0" fontId="0" fillId="0" borderId="230" xfId="0" applyFill="1" applyBorder="1" applyAlignment="1">
      <alignment wrapText="1"/>
    </xf>
    <xf numFmtId="0" fontId="147" fillId="0" borderId="0" xfId="0" applyFont="1" applyFill="1" applyBorder="1" applyAlignment="1">
      <alignment horizontal="left" vertical="top" wrapText="1"/>
    </xf>
    <xf numFmtId="0" fontId="147" fillId="0" borderId="57" xfId="0" applyFont="1" applyBorder="1" applyAlignment="1">
      <alignment horizontal="left" vertical="top" wrapText="1"/>
    </xf>
    <xf numFmtId="0" fontId="147" fillId="0" borderId="0" xfId="0" applyFont="1" applyAlignment="1">
      <alignment horizontal="left" vertical="top" wrapText="1"/>
    </xf>
    <xf numFmtId="0" fontId="147" fillId="0" borderId="231" xfId="0" applyFont="1" applyBorder="1" applyAlignment="1">
      <alignment horizontal="left" vertical="top" wrapText="1"/>
    </xf>
    <xf numFmtId="0" fontId="147" fillId="0" borderId="232" xfId="0" applyFont="1" applyBorder="1" applyAlignment="1">
      <alignment horizontal="left" vertical="top" wrapText="1"/>
    </xf>
    <xf numFmtId="0" fontId="3" fillId="19" borderId="118" xfId="0" applyFont="1" applyFill="1" applyBorder="1" applyAlignment="1" applyProtection="1">
      <alignment horizontal="left" vertical="top" wrapText="1"/>
    </xf>
    <xf numFmtId="0" fontId="0" fillId="0" borderId="42" xfId="0" applyBorder="1"/>
    <xf numFmtId="0" fontId="9" fillId="0" borderId="0" xfId="0" applyFont="1" applyBorder="1" applyAlignment="1" applyProtection="1">
      <alignment vertical="top" wrapText="1"/>
      <protection locked="0"/>
    </xf>
    <xf numFmtId="0" fontId="2" fillId="0" borderId="0" xfId="0" applyFont="1" applyFill="1" applyBorder="1" applyAlignment="1" applyProtection="1">
      <alignment wrapText="1"/>
      <protection locked="0"/>
    </xf>
    <xf numFmtId="3" fontId="2" fillId="0" borderId="0" xfId="0" applyNumberFormat="1" applyFont="1" applyFill="1" applyBorder="1" applyAlignment="1" applyProtection="1">
      <alignment vertical="top" wrapText="1"/>
      <protection locked="0"/>
    </xf>
    <xf numFmtId="0" fontId="2" fillId="0" borderId="0" xfId="0" applyFont="1" applyBorder="1" applyAlignment="1" applyProtection="1">
      <alignment wrapText="1"/>
      <protection locked="0"/>
    </xf>
    <xf numFmtId="49" fontId="18" fillId="0" borderId="0" xfId="0" applyNumberFormat="1" applyFont="1" applyFill="1" applyBorder="1" applyAlignment="1" applyProtection="1">
      <alignment horizontal="left" wrapText="1"/>
    </xf>
    <xf numFmtId="0" fontId="58" fillId="0" borderId="0" xfId="0" applyFont="1" applyAlignment="1">
      <alignment horizontal="left" wrapText="1"/>
    </xf>
    <xf numFmtId="0" fontId="0" fillId="0" borderId="0" xfId="0" applyAlignment="1"/>
    <xf numFmtId="0" fontId="58" fillId="0" borderId="0" xfId="0" applyFont="1" applyAlignment="1" applyProtection="1">
      <alignment horizontal="left" wrapText="1"/>
    </xf>
    <xf numFmtId="0" fontId="0" fillId="0" borderId="0" xfId="0" applyAlignment="1" applyProtection="1">
      <alignment wrapText="1"/>
    </xf>
    <xf numFmtId="0" fontId="147" fillId="0" borderId="124" xfId="0" applyFont="1" applyFill="1" applyBorder="1" applyAlignment="1" applyProtection="1">
      <alignment vertical="top" wrapText="1"/>
    </xf>
    <xf numFmtId="0" fontId="0" fillId="0" borderId="124" xfId="0" applyFill="1" applyBorder="1" applyAlignment="1">
      <alignment vertical="top" wrapText="1"/>
    </xf>
    <xf numFmtId="0" fontId="0" fillId="0" borderId="0" xfId="0" applyFill="1" applyAlignment="1">
      <alignment vertical="top" wrapText="1"/>
    </xf>
    <xf numFmtId="0" fontId="2" fillId="19" borderId="188" xfId="0" applyFont="1" applyFill="1" applyBorder="1" applyAlignment="1" applyProtection="1">
      <alignment horizontal="center" vertical="top"/>
    </xf>
    <xf numFmtId="0" fontId="2" fillId="19" borderId="65" xfId="0" applyFont="1" applyFill="1" applyBorder="1" applyAlignment="1" applyProtection="1">
      <alignment horizontal="center" vertical="top"/>
    </xf>
    <xf numFmtId="3" fontId="2" fillId="19" borderId="188" xfId="0" applyNumberFormat="1" applyFont="1" applyFill="1" applyBorder="1" applyAlignment="1" applyProtection="1">
      <alignment horizontal="center" vertical="top"/>
    </xf>
    <xf numFmtId="3" fontId="2" fillId="19" borderId="55" xfId="0" applyNumberFormat="1" applyFont="1" applyFill="1" applyBorder="1" applyAlignment="1" applyProtection="1">
      <alignment horizontal="center" vertical="top"/>
    </xf>
    <xf numFmtId="3" fontId="2" fillId="19" borderId="65" xfId="0" applyNumberFormat="1" applyFont="1" applyFill="1" applyBorder="1" applyAlignment="1" applyProtection="1">
      <alignment horizontal="center" vertical="top"/>
    </xf>
    <xf numFmtId="0" fontId="2" fillId="19" borderId="131" xfId="0" applyFont="1" applyFill="1" applyBorder="1" applyAlignment="1" applyProtection="1">
      <alignment horizontal="center" vertical="top"/>
    </xf>
    <xf numFmtId="0" fontId="2" fillId="19" borderId="55" xfId="0" applyFont="1" applyFill="1" applyBorder="1" applyAlignment="1" applyProtection="1">
      <alignment horizontal="center" vertical="top"/>
    </xf>
    <xf numFmtId="3" fontId="2" fillId="19" borderId="188" xfId="0" applyNumberFormat="1" applyFont="1" applyFill="1" applyBorder="1" applyAlignment="1" applyProtection="1">
      <alignment horizontal="left" vertical="top" wrapText="1"/>
    </xf>
    <xf numFmtId="0" fontId="9" fillId="19" borderId="53" xfId="0" applyFont="1" applyFill="1" applyBorder="1" applyAlignment="1" applyProtection="1">
      <alignment vertical="top" wrapText="1"/>
    </xf>
    <xf numFmtId="3" fontId="3" fillId="19" borderId="161" xfId="6" applyNumberFormat="1" applyFont="1" applyFill="1" applyBorder="1" applyAlignment="1" applyProtection="1">
      <alignment horizontal="left" vertical="top" wrapText="1"/>
    </xf>
    <xf numFmtId="0" fontId="22" fillId="19" borderId="161" xfId="6" applyFill="1" applyBorder="1" applyAlignment="1">
      <alignment horizontal="left" wrapText="1"/>
    </xf>
    <xf numFmtId="3" fontId="3" fillId="19" borderId="174" xfId="0" applyNumberFormat="1" applyFont="1" applyFill="1" applyBorder="1" applyAlignment="1" applyProtection="1">
      <alignment horizontal="left" vertical="top" wrapText="1"/>
    </xf>
    <xf numFmtId="0" fontId="0" fillId="0" borderId="160" xfId="0" applyBorder="1" applyAlignment="1">
      <alignment horizontal="left" wrapText="1"/>
    </xf>
    <xf numFmtId="3" fontId="3" fillId="19" borderId="175" xfId="0" applyNumberFormat="1" applyFont="1" applyFill="1" applyBorder="1" applyAlignment="1" applyProtection="1">
      <alignment horizontal="left" vertical="top" wrapText="1"/>
    </xf>
    <xf numFmtId="0" fontId="0" fillId="0" borderId="159" xfId="0" applyBorder="1" applyAlignment="1">
      <alignment horizontal="left" wrapText="1"/>
    </xf>
    <xf numFmtId="0" fontId="3" fillId="2" borderId="205" xfId="0" applyFont="1" applyFill="1" applyBorder="1" applyAlignment="1" applyProtection="1">
      <alignment horizontal="right"/>
    </xf>
    <xf numFmtId="0" fontId="0" fillId="0" borderId="165" xfId="0" applyBorder="1" applyAlignment="1">
      <alignment horizontal="right"/>
    </xf>
    <xf numFmtId="0" fontId="0" fillId="0" borderId="102" xfId="0" applyBorder="1" applyAlignment="1">
      <alignment horizontal="right"/>
    </xf>
    <xf numFmtId="3" fontId="3" fillId="19" borderId="75" xfId="0" applyNumberFormat="1" applyFont="1" applyFill="1" applyBorder="1" applyAlignment="1" applyProtection="1">
      <alignment wrapText="1"/>
    </xf>
    <xf numFmtId="0" fontId="0" fillId="19" borderId="76" xfId="0" applyFill="1" applyBorder="1" applyAlignment="1">
      <alignment wrapText="1"/>
    </xf>
    <xf numFmtId="0" fontId="0" fillId="19" borderId="92" xfId="0" applyFill="1" applyBorder="1" applyAlignment="1">
      <alignment wrapText="1"/>
    </xf>
    <xf numFmtId="0" fontId="147" fillId="0" borderId="0" xfId="0" applyFont="1" applyFill="1" applyBorder="1" applyAlignment="1" applyProtection="1">
      <alignment vertical="top" wrapText="1"/>
    </xf>
    <xf numFmtId="0" fontId="149" fillId="0" borderId="0" xfId="0" applyFont="1" applyFill="1" applyAlignment="1">
      <alignment vertical="top" wrapText="1"/>
    </xf>
    <xf numFmtId="3" fontId="3" fillId="0" borderId="58" xfId="0" applyNumberFormat="1" applyFont="1" applyFill="1" applyBorder="1" applyAlignment="1" applyProtection="1"/>
    <xf numFmtId="0" fontId="7" fillId="0" borderId="57" xfId="0" applyFont="1" applyFill="1" applyBorder="1" applyAlignment="1"/>
    <xf numFmtId="0" fontId="2" fillId="19" borderId="196" xfId="0" applyFont="1" applyFill="1" applyBorder="1" applyAlignment="1" applyProtection="1">
      <alignment horizontal="center" vertical="top"/>
    </xf>
    <xf numFmtId="0" fontId="9" fillId="19" borderId="48" xfId="0" applyFont="1" applyFill="1" applyBorder="1" applyAlignment="1" applyProtection="1">
      <alignment horizontal="center" vertical="top"/>
    </xf>
    <xf numFmtId="0" fontId="9" fillId="19" borderId="41" xfId="0" applyFont="1" applyFill="1" applyBorder="1" applyAlignment="1" applyProtection="1">
      <alignment horizontal="center" vertical="top"/>
    </xf>
    <xf numFmtId="0" fontId="5" fillId="19" borderId="205" xfId="0" applyFont="1" applyFill="1" applyBorder="1" applyAlignment="1" applyProtection="1">
      <alignment horizontal="center" vertical="center" wrapText="1"/>
    </xf>
    <xf numFmtId="0" fontId="5" fillId="19" borderId="165" xfId="0" applyFont="1" applyFill="1" applyBorder="1" applyAlignment="1" applyProtection="1">
      <alignment horizontal="center" vertical="center" wrapText="1"/>
    </xf>
    <xf numFmtId="0" fontId="5" fillId="19" borderId="228" xfId="0" applyFont="1" applyFill="1" applyBorder="1" applyAlignment="1" applyProtection="1">
      <alignment horizontal="center" vertical="center" wrapText="1"/>
    </xf>
    <xf numFmtId="3" fontId="3" fillId="19" borderId="75" xfId="0" applyNumberFormat="1" applyFont="1" applyFill="1" applyBorder="1" applyAlignment="1" applyProtection="1">
      <alignment horizontal="left" wrapText="1"/>
    </xf>
    <xf numFmtId="0" fontId="0" fillId="19" borderId="76" xfId="0" applyFill="1" applyBorder="1" applyAlignment="1" applyProtection="1">
      <alignment horizontal="left" wrapText="1"/>
    </xf>
    <xf numFmtId="0" fontId="0" fillId="19" borderId="92" xfId="0" applyFill="1" applyBorder="1" applyAlignment="1" applyProtection="1">
      <alignment horizontal="left" wrapText="1"/>
    </xf>
    <xf numFmtId="3" fontId="3" fillId="19" borderId="75" xfId="0" applyNumberFormat="1" applyFont="1" applyFill="1" applyBorder="1" applyAlignment="1" applyProtection="1">
      <alignment horizontal="left" vertical="top" wrapText="1"/>
    </xf>
    <xf numFmtId="0" fontId="0" fillId="19" borderId="76" xfId="0" applyFill="1" applyBorder="1" applyAlignment="1" applyProtection="1">
      <alignment horizontal="left" vertical="top" wrapText="1"/>
    </xf>
    <xf numFmtId="0" fontId="0" fillId="19" borderId="92" xfId="0" applyFill="1" applyBorder="1" applyAlignment="1" applyProtection="1">
      <alignment horizontal="left" vertical="top" wrapText="1"/>
    </xf>
    <xf numFmtId="3" fontId="3" fillId="19" borderId="75" xfId="0" applyNumberFormat="1" applyFont="1" applyFill="1" applyBorder="1" applyAlignment="1" applyProtection="1">
      <alignment vertical="center" wrapText="1"/>
    </xf>
    <xf numFmtId="0" fontId="0" fillId="19" borderId="76" xfId="0" applyFill="1" applyBorder="1" applyAlignment="1" applyProtection="1">
      <alignment vertical="center"/>
    </xf>
    <xf numFmtId="0" fontId="0" fillId="19" borderId="92" xfId="0" applyFill="1" applyBorder="1" applyAlignment="1" applyProtection="1">
      <alignment vertical="center"/>
    </xf>
    <xf numFmtId="3" fontId="3" fillId="19" borderId="159" xfId="0" applyNumberFormat="1" applyFont="1" applyFill="1" applyBorder="1" applyAlignment="1" applyProtection="1">
      <alignment horizontal="left" vertical="top" wrapText="1"/>
    </xf>
    <xf numFmtId="0" fontId="3" fillId="19" borderId="12" xfId="0" applyFont="1" applyFill="1" applyBorder="1" applyAlignment="1" applyProtection="1">
      <alignment horizontal="left" vertical="top" wrapText="1"/>
    </xf>
    <xf numFmtId="0" fontId="0" fillId="0" borderId="92" xfId="0" applyBorder="1" applyAlignment="1"/>
    <xf numFmtId="0" fontId="59" fillId="0" borderId="0" xfId="0" applyFont="1" applyFill="1" applyBorder="1" applyAlignment="1" applyProtection="1">
      <alignment horizontal="left" wrapText="1"/>
    </xf>
    <xf numFmtId="0" fontId="5" fillId="19" borderId="137" xfId="0" applyFont="1" applyFill="1" applyBorder="1" applyAlignment="1" applyProtection="1">
      <alignment vertical="top" wrapText="1"/>
    </xf>
    <xf numFmtId="0" fontId="52" fillId="19" borderId="122" xfId="0" applyFont="1" applyFill="1" applyBorder="1" applyAlignment="1" applyProtection="1">
      <alignment vertical="top" wrapText="1"/>
    </xf>
    <xf numFmtId="0" fontId="5" fillId="19" borderId="137" xfId="0" applyFont="1" applyFill="1" applyBorder="1" applyAlignment="1" applyProtection="1">
      <alignment horizontal="center" vertical="top" wrapText="1"/>
    </xf>
    <xf numFmtId="0" fontId="5" fillId="19" borderId="122" xfId="0" applyFont="1" applyFill="1" applyBorder="1" applyAlignment="1" applyProtection="1">
      <alignment horizontal="center" vertical="top" wrapText="1"/>
    </xf>
    <xf numFmtId="0" fontId="5" fillId="19" borderId="153" xfId="0" applyFont="1" applyFill="1" applyBorder="1" applyAlignment="1" applyProtection="1">
      <alignment horizontal="center" vertical="top" wrapText="1"/>
    </xf>
    <xf numFmtId="0" fontId="3" fillId="19" borderId="15" xfId="0" applyFont="1" applyFill="1" applyBorder="1" applyAlignment="1" applyProtection="1">
      <alignment vertical="top" wrapText="1"/>
    </xf>
    <xf numFmtId="0" fontId="0" fillId="19" borderId="15" xfId="0" applyFill="1" applyBorder="1" applyAlignment="1" applyProtection="1">
      <alignment vertical="top" wrapText="1"/>
    </xf>
    <xf numFmtId="0" fontId="0" fillId="19" borderId="42" xfId="0" applyFill="1" applyBorder="1" applyAlignment="1" applyProtection="1">
      <alignment vertical="top" wrapText="1"/>
    </xf>
    <xf numFmtId="0" fontId="3" fillId="19" borderId="60" xfId="0" applyFont="1" applyFill="1" applyBorder="1" applyAlignment="1" applyProtection="1">
      <alignment vertical="top" wrapText="1"/>
    </xf>
    <xf numFmtId="0" fontId="0" fillId="19" borderId="60" xfId="0" applyFill="1" applyBorder="1" applyAlignment="1" applyProtection="1">
      <alignment vertical="top" wrapText="1"/>
    </xf>
    <xf numFmtId="0" fontId="0" fillId="19" borderId="90" xfId="0" applyFill="1" applyBorder="1" applyAlignment="1" applyProtection="1">
      <alignment vertical="top" wrapText="1"/>
    </xf>
    <xf numFmtId="0" fontId="5" fillId="19" borderId="194" xfId="0" applyFont="1" applyFill="1" applyBorder="1" applyAlignment="1" applyProtection="1">
      <alignment horizontal="left" vertical="top" wrapText="1"/>
    </xf>
    <xf numFmtId="0" fontId="0" fillId="19" borderId="124" xfId="0" applyFill="1" applyBorder="1" applyAlignment="1">
      <alignment vertical="top"/>
    </xf>
    <xf numFmtId="0" fontId="0" fillId="19" borderId="121" xfId="0" applyFill="1" applyBorder="1" applyAlignment="1">
      <alignment vertical="top"/>
    </xf>
    <xf numFmtId="0" fontId="0" fillId="19" borderId="111" xfId="0" applyFill="1" applyBorder="1" applyAlignment="1">
      <alignment vertical="top"/>
    </xf>
    <xf numFmtId="0" fontId="0" fillId="19" borderId="1" xfId="0" applyFill="1" applyBorder="1" applyAlignment="1">
      <alignment vertical="top"/>
    </xf>
    <xf numFmtId="0" fontId="0" fillId="19" borderId="143" xfId="0" applyFill="1" applyBorder="1" applyAlignment="1">
      <alignment vertical="top"/>
    </xf>
    <xf numFmtId="0" fontId="3" fillId="19" borderId="0" xfId="0" applyFont="1" applyFill="1" applyBorder="1" applyAlignment="1" applyProtection="1">
      <alignment wrapText="1"/>
    </xf>
    <xf numFmtId="0" fontId="22" fillId="19" borderId="0" xfId="0" applyFont="1" applyFill="1" applyAlignment="1">
      <alignment wrapText="1"/>
    </xf>
    <xf numFmtId="0" fontId="3" fillId="19" borderId="27" xfId="0" applyFont="1" applyFill="1" applyBorder="1" applyAlignment="1" applyProtection="1">
      <alignment wrapText="1"/>
    </xf>
    <xf numFmtId="0" fontId="0" fillId="19" borderId="27" xfId="0" applyFill="1" applyBorder="1" applyAlignment="1">
      <alignment wrapText="1"/>
    </xf>
    <xf numFmtId="0" fontId="3" fillId="19" borderId="27" xfId="0" applyFont="1" applyFill="1" applyBorder="1" applyAlignment="1" applyProtection="1">
      <alignment horizontal="left" vertical="top" wrapText="1"/>
    </xf>
    <xf numFmtId="0" fontId="0" fillId="19" borderId="27" xfId="0" applyFill="1" applyBorder="1" applyAlignment="1">
      <alignment horizontal="left" vertical="top" wrapText="1"/>
    </xf>
    <xf numFmtId="0" fontId="0" fillId="19" borderId="0" xfId="0" applyFill="1" applyAlignment="1">
      <alignment wrapText="1"/>
    </xf>
    <xf numFmtId="0" fontId="140" fillId="19" borderId="0" xfId="0" applyFont="1" applyFill="1" applyBorder="1" applyAlignment="1" applyProtection="1">
      <alignment wrapText="1"/>
    </xf>
    <xf numFmtId="0" fontId="0" fillId="19" borderId="39" xfId="0" applyFill="1" applyBorder="1" applyAlignment="1">
      <alignment wrapText="1"/>
    </xf>
    <xf numFmtId="0" fontId="140" fillId="19" borderId="27" xfId="0" applyFont="1" applyFill="1" applyBorder="1" applyAlignment="1" applyProtection="1">
      <alignment wrapText="1"/>
    </xf>
    <xf numFmtId="0" fontId="52" fillId="19" borderId="36" xfId="6" applyFont="1" applyFill="1" applyBorder="1" applyAlignment="1" applyProtection="1">
      <alignment vertical="center" wrapText="1"/>
    </xf>
    <xf numFmtId="0" fontId="0" fillId="0" borderId="96" xfId="0" applyBorder="1" applyAlignment="1">
      <alignment wrapText="1"/>
    </xf>
    <xf numFmtId="0" fontId="0" fillId="0" borderId="58" xfId="0" applyBorder="1" applyAlignment="1">
      <alignment wrapText="1"/>
    </xf>
    <xf numFmtId="0" fontId="0" fillId="0" borderId="44" xfId="0" applyBorder="1" applyAlignment="1">
      <alignment wrapText="1"/>
    </xf>
    <xf numFmtId="0" fontId="3" fillId="19" borderId="118" xfId="6" applyFont="1" applyFill="1" applyBorder="1" applyAlignment="1" applyProtection="1">
      <alignment vertical="top" wrapText="1"/>
    </xf>
    <xf numFmtId="0" fontId="0" fillId="0" borderId="2" xfId="0" applyBorder="1" applyAlignment="1">
      <alignment vertical="top" wrapText="1"/>
    </xf>
    <xf numFmtId="3" fontId="3" fillId="19" borderId="16" xfId="6" applyNumberFormat="1" applyFont="1" applyFill="1" applyBorder="1" applyAlignment="1" applyProtection="1">
      <alignment vertical="top" wrapText="1"/>
    </xf>
    <xf numFmtId="0" fontId="0" fillId="19" borderId="16" xfId="0" applyFill="1" applyBorder="1" applyAlignment="1">
      <alignment wrapText="1"/>
    </xf>
    <xf numFmtId="3" fontId="3" fillId="19" borderId="15" xfId="6" applyNumberFormat="1" applyFont="1" applyFill="1" applyBorder="1" applyAlignment="1" applyProtection="1">
      <alignment vertical="top" wrapText="1"/>
    </xf>
    <xf numFmtId="0" fontId="0" fillId="19" borderId="15" xfId="0" applyFill="1" applyBorder="1" applyAlignment="1">
      <alignment vertical="top" wrapText="1"/>
    </xf>
    <xf numFmtId="0" fontId="0" fillId="19" borderId="15" xfId="0" applyFill="1" applyBorder="1" applyAlignment="1">
      <alignment wrapText="1"/>
    </xf>
    <xf numFmtId="0" fontId="3" fillId="19" borderId="15" xfId="6" applyFont="1" applyFill="1" applyBorder="1" applyAlignment="1" applyProtection="1">
      <alignment vertical="top" wrapText="1"/>
    </xf>
    <xf numFmtId="0" fontId="0" fillId="19" borderId="42" xfId="0" applyFill="1" applyBorder="1" applyAlignment="1">
      <alignment vertical="top" wrapText="1"/>
    </xf>
    <xf numFmtId="3" fontId="3" fillId="19" borderId="160" xfId="6" applyNumberFormat="1" applyFont="1" applyFill="1" applyBorder="1" applyAlignment="1" applyProtection="1">
      <alignment vertical="center" wrapText="1"/>
    </xf>
    <xf numFmtId="0" fontId="0" fillId="19" borderId="160" xfId="0" applyFill="1" applyBorder="1" applyAlignment="1">
      <alignment vertical="center" wrapText="1"/>
    </xf>
    <xf numFmtId="3" fontId="3" fillId="19" borderId="169" xfId="6" applyNumberFormat="1" applyFont="1" applyFill="1" applyBorder="1" applyAlignment="1" applyProtection="1">
      <alignment wrapText="1"/>
    </xf>
    <xf numFmtId="0" fontId="0" fillId="19" borderId="3" xfId="0" applyFill="1" applyBorder="1" applyAlignment="1">
      <alignment wrapText="1"/>
    </xf>
    <xf numFmtId="0" fontId="0" fillId="19" borderId="160" xfId="0" applyFill="1" applyBorder="1" applyAlignment="1">
      <alignment vertical="center"/>
    </xf>
    <xf numFmtId="3" fontId="3" fillId="19" borderId="160" xfId="6" applyNumberFormat="1" applyFont="1" applyFill="1" applyBorder="1" applyAlignment="1" applyProtection="1">
      <alignment vertical="top" wrapText="1"/>
    </xf>
    <xf numFmtId="0" fontId="0" fillId="19" borderId="160" xfId="0" applyFill="1" applyBorder="1" applyAlignment="1">
      <alignment vertical="top" wrapText="1"/>
    </xf>
    <xf numFmtId="0" fontId="3" fillId="19" borderId="158" xfId="6" applyFont="1" applyFill="1" applyBorder="1" applyAlignment="1" applyProtection="1">
      <alignment wrapText="1"/>
    </xf>
    <xf numFmtId="0" fontId="0" fillId="0" borderId="160" xfId="0" applyBorder="1" applyAlignment="1">
      <alignment wrapText="1"/>
    </xf>
    <xf numFmtId="0" fontId="2" fillId="0" borderId="0" xfId="6" applyFont="1" applyFill="1" applyBorder="1" applyAlignment="1" applyProtection="1">
      <alignment vertical="top" wrapText="1"/>
      <protection locked="0"/>
    </xf>
    <xf numFmtId="0" fontId="0" fillId="0" borderId="0" xfId="0" applyFill="1" applyBorder="1" applyAlignment="1">
      <alignment vertical="top" wrapText="1"/>
    </xf>
    <xf numFmtId="3" fontId="3" fillId="19" borderId="27" xfId="6" applyNumberFormat="1" applyFont="1" applyFill="1" applyBorder="1" applyAlignment="1" applyProtection="1">
      <alignment vertical="top" wrapText="1"/>
    </xf>
    <xf numFmtId="0" fontId="22" fillId="19" borderId="57" xfId="6" applyFill="1" applyBorder="1" applyAlignment="1" applyProtection="1"/>
    <xf numFmtId="0" fontId="22" fillId="19" borderId="27" xfId="6" applyFill="1" applyBorder="1" applyAlignment="1" applyProtection="1"/>
    <xf numFmtId="0" fontId="0" fillId="0" borderId="160" xfId="0" applyBorder="1" applyAlignment="1">
      <alignment vertical="top" wrapText="1"/>
    </xf>
    <xf numFmtId="0" fontId="3" fillId="19" borderId="160" xfId="6" applyFont="1" applyFill="1" applyBorder="1" applyAlignment="1" applyProtection="1">
      <alignment horizontal="left" wrapText="1"/>
    </xf>
    <xf numFmtId="0" fontId="1" fillId="0" borderId="160" xfId="0" applyFont="1" applyBorder="1" applyAlignment="1">
      <alignment wrapText="1"/>
    </xf>
    <xf numFmtId="0" fontId="1" fillId="0" borderId="177" xfId="0" applyFont="1" applyBorder="1" applyAlignment="1">
      <alignment wrapText="1"/>
    </xf>
    <xf numFmtId="0" fontId="143" fillId="19" borderId="57" xfId="0" applyFont="1" applyFill="1" applyBorder="1" applyAlignment="1">
      <alignment vertical="top" wrapText="1"/>
    </xf>
    <xf numFmtId="0" fontId="0" fillId="19" borderId="57" xfId="0" applyFill="1" applyBorder="1" applyAlignment="1">
      <alignment vertical="top" wrapText="1"/>
    </xf>
    <xf numFmtId="0" fontId="145" fillId="19" borderId="57" xfId="0" applyFont="1" applyFill="1" applyBorder="1" applyAlignment="1">
      <alignment wrapText="1"/>
    </xf>
    <xf numFmtId="0" fontId="146" fillId="0" borderId="57" xfId="0" applyFont="1" applyBorder="1" applyAlignment="1">
      <alignment wrapText="1"/>
    </xf>
    <xf numFmtId="0" fontId="144" fillId="19" borderId="87" xfId="0" applyFont="1" applyFill="1" applyBorder="1" applyAlignment="1">
      <alignment horizontal="left" vertical="top" wrapText="1"/>
    </xf>
    <xf numFmtId="0" fontId="0" fillId="19" borderId="57" xfId="0" applyFill="1" applyBorder="1" applyAlignment="1">
      <alignment horizontal="left" vertical="top" wrapText="1"/>
    </xf>
    <xf numFmtId="0" fontId="0" fillId="19" borderId="59" xfId="0" applyFill="1" applyBorder="1" applyAlignment="1">
      <alignment horizontal="left" vertical="top" wrapText="1"/>
    </xf>
    <xf numFmtId="3" fontId="3" fillId="0" borderId="122" xfId="6" applyNumberFormat="1" applyFont="1" applyFill="1" applyBorder="1" applyAlignment="1" applyProtection="1">
      <alignment wrapText="1"/>
    </xf>
    <xf numFmtId="0" fontId="0" fillId="0" borderId="122" xfId="0" applyFill="1" applyBorder="1" applyAlignment="1">
      <alignment wrapText="1"/>
    </xf>
    <xf numFmtId="3" fontId="3" fillId="19" borderId="160" xfId="0" applyNumberFormat="1" applyFont="1" applyFill="1" applyBorder="1" applyAlignment="1" applyProtection="1">
      <alignment wrapText="1"/>
    </xf>
    <xf numFmtId="0" fontId="0" fillId="19" borderId="160" xfId="0" applyFill="1" applyBorder="1" applyAlignment="1">
      <alignment wrapText="1"/>
    </xf>
    <xf numFmtId="0" fontId="3" fillId="19" borderId="160" xfId="0" applyFont="1" applyFill="1" applyBorder="1" applyAlignment="1" applyProtection="1">
      <alignment vertical="top" wrapText="1"/>
    </xf>
    <xf numFmtId="3" fontId="3" fillId="19" borderId="160" xfId="0" applyNumberFormat="1" applyFont="1" applyFill="1" applyBorder="1" applyAlignment="1" applyProtection="1">
      <alignment vertical="top" wrapText="1"/>
    </xf>
    <xf numFmtId="3" fontId="3" fillId="19" borderId="108" xfId="0" applyNumberFormat="1" applyFont="1" applyFill="1" applyBorder="1" applyAlignment="1" applyProtection="1">
      <alignment vertical="top" wrapText="1"/>
    </xf>
    <xf numFmtId="0" fontId="3" fillId="19" borderId="158" xfId="0" applyFont="1" applyFill="1" applyBorder="1" applyAlignment="1" applyProtection="1">
      <alignment vertical="top" wrapText="1"/>
    </xf>
    <xf numFmtId="0" fontId="0" fillId="0" borderId="177" xfId="0" applyBorder="1" applyAlignment="1">
      <alignment vertical="top" wrapText="1"/>
    </xf>
    <xf numFmtId="0" fontId="52" fillId="10" borderId="111" xfId="0" applyFont="1" applyFill="1" applyBorder="1"/>
  </cellXfs>
  <cellStyles count="16">
    <cellStyle name="Anteckning 2" xfId="1"/>
    <cellStyle name="Anteckning 2 2" xfId="2"/>
    <cellStyle name="Dålig 2" xfId="3"/>
    <cellStyle name="Följde hyperlänken" xfId="4"/>
    <cellStyle name="Hyperlänk" xfId="5" builtinId="8"/>
    <cellStyle name="Normal" xfId="0" builtinId="0"/>
    <cellStyle name="Normal 2" xfId="6"/>
    <cellStyle name="Normal 3" xfId="7"/>
    <cellStyle name="Normal 4" xfId="8"/>
    <cellStyle name="Normal 4 2" xfId="9"/>
    <cellStyle name="Normal_Kontrollblad" xfId="10"/>
    <cellStyle name="Normal_skolkostn 2" xfId="11"/>
    <cellStyle name="Procent" xfId="12" builtinId="5"/>
    <cellStyle name="Procent 2" xfId="13"/>
    <cellStyle name="Tusental (0)_Kommunägda företag" xfId="14"/>
    <cellStyle name="Valuta (0)_Kommunägda företag" xfId="15"/>
  </cellStyles>
  <dxfs count="136">
    <dxf>
      <font>
        <color rgb="FFFF0000"/>
      </font>
    </dxf>
    <dxf>
      <font>
        <color rgb="FFFF0000"/>
      </font>
    </dxf>
    <dxf>
      <font>
        <color rgb="FFFF0000"/>
      </font>
    </dxf>
    <dxf>
      <fill>
        <patternFill>
          <bgColor indexed="10"/>
        </patternFill>
      </fill>
    </dxf>
    <dxf>
      <fill>
        <patternFill>
          <bgColor rgb="FFFF0000"/>
        </patternFill>
      </fill>
    </dxf>
    <dxf>
      <font>
        <b val="0"/>
        <i val="0"/>
        <color auto="1"/>
      </font>
      <fill>
        <patternFill>
          <bgColor theme="9" tint="0.59996337778862885"/>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color rgb="FFFF0000"/>
      </font>
    </dxf>
    <dxf>
      <font>
        <b val="0"/>
        <i val="0"/>
        <condense val="0"/>
        <extend val="0"/>
        <color auto="1"/>
      </font>
      <fill>
        <patternFill>
          <bgColor indexed="10"/>
        </patternFill>
      </fill>
    </dxf>
    <dxf>
      <font>
        <b val="0"/>
        <i val="0"/>
        <condense val="0"/>
        <extend val="0"/>
        <color indexed="10"/>
      </font>
    </dxf>
    <dxf>
      <font>
        <b val="0"/>
        <i val="0"/>
        <condense val="0"/>
        <extend val="0"/>
        <color auto="1"/>
      </font>
      <fill>
        <patternFill>
          <bgColor indexed="10"/>
        </patternFill>
      </fill>
    </dxf>
    <dxf>
      <font>
        <b val="0"/>
        <i val="0"/>
        <condense val="0"/>
        <extend val="0"/>
        <color indexed="10"/>
      </font>
    </dxf>
    <dxf>
      <font>
        <b val="0"/>
        <i val="0"/>
        <condense val="0"/>
        <extend val="0"/>
        <color auto="1"/>
      </font>
      <fill>
        <patternFill>
          <bgColor indexed="10"/>
        </patternFill>
      </fill>
    </dxf>
    <dxf>
      <fill>
        <patternFill>
          <bgColor theme="9" tint="0.59996337778862885"/>
        </patternFill>
      </fill>
    </dxf>
    <dxf>
      <font>
        <color auto="1"/>
      </font>
      <fill>
        <patternFill>
          <bgColor theme="9" tint="0.59996337778862885"/>
        </patternFill>
      </fill>
    </dxf>
    <dxf>
      <font>
        <b val="0"/>
        <i val="0"/>
        <color auto="1"/>
      </font>
      <fill>
        <patternFill>
          <bgColor theme="9" tint="0.59996337778862885"/>
        </patternFill>
      </fill>
    </dxf>
    <dxf>
      <font>
        <b val="0"/>
        <i val="0"/>
        <color auto="1"/>
      </font>
      <fill>
        <patternFill>
          <bgColor theme="9" tint="0.59996337778862885"/>
        </patternFill>
      </fill>
    </dxf>
    <dxf>
      <font>
        <b val="0"/>
        <i val="0"/>
        <color auto="1"/>
      </font>
      <fill>
        <patternFill>
          <bgColor theme="9" tint="0.59996337778862885"/>
        </patternFill>
      </fill>
    </dxf>
    <dxf>
      <font>
        <b val="0"/>
        <i val="0"/>
        <color auto="1"/>
      </font>
      <fill>
        <patternFill>
          <bgColor theme="9" tint="0.59996337778862885"/>
        </patternFill>
      </fill>
    </dxf>
    <dxf>
      <fill>
        <patternFill>
          <bgColor rgb="FFFF0000"/>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ill>
        <patternFill>
          <bgColor rgb="FFFF0000"/>
        </patternFill>
      </fill>
    </dxf>
    <dxf>
      <font>
        <color rgb="FFFF0000"/>
      </font>
    </dxf>
    <dxf>
      <font>
        <b/>
        <i val="0"/>
        <color rgb="FFFF0000"/>
      </font>
    </dxf>
    <dxf>
      <font>
        <b/>
        <i val="0"/>
        <color rgb="FFFF0000"/>
      </font>
    </dxf>
    <dxf>
      <font>
        <b/>
        <i val="0"/>
        <color rgb="FFFF0000"/>
      </font>
    </dxf>
    <dxf>
      <font>
        <b/>
        <i val="0"/>
        <color rgb="FFFF0000"/>
      </font>
    </dxf>
    <dxf>
      <font>
        <b val="0"/>
        <i val="0"/>
        <color auto="1"/>
        <name val="Cambria"/>
        <scheme val="none"/>
      </font>
      <fill>
        <patternFill>
          <bgColor theme="9" tint="0.39994506668294322"/>
        </patternFill>
      </fill>
    </dxf>
    <dxf>
      <font>
        <b val="0"/>
        <i val="0"/>
        <color auto="1"/>
      </font>
      <fill>
        <patternFill>
          <bgColor theme="9" tint="0.39994506668294322"/>
        </patternFill>
      </fill>
    </dxf>
    <dxf>
      <font>
        <b val="0"/>
        <i val="0"/>
        <color auto="1"/>
        <name val="Cambria"/>
        <scheme val="none"/>
      </font>
      <fill>
        <patternFill>
          <bgColor theme="9" tint="0.39994506668294322"/>
        </patternFill>
      </fill>
    </dxf>
    <dxf>
      <font>
        <b val="0"/>
        <i val="0"/>
        <color auto="1"/>
      </font>
      <fill>
        <patternFill>
          <bgColor theme="9" tint="0.39994506668294322"/>
        </patternFill>
      </fill>
    </dxf>
    <dxf>
      <font>
        <b val="0"/>
        <i val="0"/>
        <color auto="1"/>
        <name val="Cambria"/>
        <scheme val="none"/>
      </font>
      <fill>
        <patternFill>
          <bgColor theme="9" tint="0.39994506668294322"/>
        </patternFill>
      </fill>
    </dxf>
    <dxf>
      <font>
        <b val="0"/>
        <i val="0"/>
        <color auto="1"/>
        <name val="Cambria"/>
        <scheme val="none"/>
      </font>
      <fill>
        <patternFill>
          <bgColor theme="9" tint="0.39994506668294322"/>
        </patternFill>
      </fill>
    </dxf>
    <dxf>
      <font>
        <b val="0"/>
        <i val="0"/>
        <color auto="1"/>
        <name val="Cambria"/>
        <scheme val="none"/>
      </font>
      <fill>
        <patternFill patternType="solid">
          <bgColor theme="9" tint="0.39994506668294322"/>
        </patternFill>
      </fill>
    </dxf>
    <dxf>
      <font>
        <color rgb="FFFF0000"/>
      </font>
    </dxf>
    <dxf>
      <font>
        <color rgb="FFFF0000"/>
      </font>
    </dxf>
    <dxf>
      <font>
        <color rgb="FFFF0000"/>
      </font>
    </dxf>
    <dxf>
      <font>
        <condense val="0"/>
        <extend val="0"/>
        <color indexed="10"/>
      </font>
    </dxf>
    <dxf>
      <font>
        <condense val="0"/>
        <extend val="0"/>
        <color indexed="10"/>
      </font>
    </dxf>
    <dxf>
      <fill>
        <patternFill>
          <bgColor indexed="10"/>
        </patternFill>
      </fill>
    </dxf>
    <dxf>
      <font>
        <color auto="1"/>
      </font>
      <fill>
        <patternFill>
          <bgColor theme="9" tint="0.59996337778862885"/>
        </patternFill>
      </fill>
    </dxf>
    <dxf>
      <font>
        <color auto="1"/>
      </font>
      <fill>
        <patternFill>
          <bgColor theme="9" tint="0.39994506668294322"/>
        </patternFill>
      </fill>
    </dxf>
    <dxf>
      <font>
        <color auto="1"/>
      </font>
      <fill>
        <patternFill>
          <bgColor theme="9" tint="0.59996337778862885"/>
        </patternFill>
      </fill>
    </dxf>
    <dxf>
      <font>
        <color auto="1"/>
      </font>
      <fill>
        <patternFill>
          <bgColor theme="9" tint="0.59996337778862885"/>
        </patternFill>
      </fill>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i val="0"/>
        <color rgb="FFFF0000"/>
      </font>
    </dxf>
    <dxf>
      <font>
        <b/>
        <i val="0"/>
        <color rgb="FFFF0000"/>
      </font>
    </dxf>
    <dxf>
      <font>
        <b/>
        <i val="0"/>
        <color rgb="FFFF0000"/>
      </font>
    </dxf>
    <dxf>
      <fill>
        <patternFill>
          <bgColor rgb="FFFF0000"/>
        </patternFill>
      </fill>
    </dxf>
    <dxf>
      <fill>
        <patternFill>
          <bgColor rgb="FFFF0000"/>
        </patternFill>
      </fill>
    </dxf>
    <dxf>
      <font>
        <b/>
        <i val="0"/>
        <condense val="0"/>
        <extend val="0"/>
        <color indexed="10"/>
      </font>
    </dxf>
    <dxf>
      <font>
        <b val="0"/>
        <i val="0"/>
        <condense val="0"/>
        <extend val="0"/>
        <color auto="1"/>
      </font>
    </dxf>
    <dxf>
      <font>
        <b/>
        <i val="0"/>
        <condense val="0"/>
        <extend val="0"/>
        <color indexed="10"/>
      </font>
    </dxf>
    <dxf>
      <font>
        <b val="0"/>
        <i val="0"/>
        <condense val="0"/>
        <extend val="0"/>
        <color auto="1"/>
      </font>
    </dxf>
    <dxf>
      <font>
        <b/>
        <i val="0"/>
        <condense val="0"/>
        <extend val="0"/>
        <color indexed="10"/>
      </font>
    </dxf>
    <dxf>
      <font>
        <b val="0"/>
        <i val="0"/>
        <condense val="0"/>
        <extend val="0"/>
        <color auto="1"/>
      </font>
    </dxf>
    <dxf>
      <font>
        <b/>
        <i val="0"/>
        <condense val="0"/>
        <extend val="0"/>
        <color indexed="10"/>
      </font>
    </dxf>
    <dxf>
      <font>
        <b val="0"/>
        <i val="0"/>
        <condense val="0"/>
        <extend val="0"/>
        <color auto="1"/>
      </font>
    </dxf>
    <dxf>
      <font>
        <b/>
        <i val="0"/>
        <condense val="0"/>
        <extend val="0"/>
        <color indexed="10"/>
      </font>
    </dxf>
    <dxf>
      <font>
        <b val="0"/>
        <i val="0"/>
        <condense val="0"/>
        <extend val="0"/>
        <color auto="1"/>
      </font>
    </dxf>
    <dxf>
      <font>
        <b/>
        <i val="0"/>
        <condense val="0"/>
        <extend val="0"/>
        <color indexed="10"/>
      </font>
    </dxf>
    <dxf>
      <font>
        <b/>
        <i val="0"/>
        <condense val="0"/>
        <extend val="0"/>
        <color indexed="10"/>
      </font>
    </dxf>
    <dxf>
      <font>
        <b/>
        <i val="0"/>
        <condense val="0"/>
        <extend val="0"/>
        <color indexed="10"/>
      </font>
    </dxf>
    <dxf>
      <font>
        <condense val="0"/>
        <extend val="0"/>
        <color auto="1"/>
      </font>
    </dxf>
    <dxf>
      <fill>
        <patternFill>
          <bgColor indexed="10"/>
        </patternFill>
      </fill>
    </dxf>
    <dxf>
      <font>
        <b/>
        <i val="0"/>
        <condense val="0"/>
        <extend val="0"/>
        <color indexed="10"/>
      </font>
      <fill>
        <patternFill patternType="none">
          <bgColor indexed="65"/>
        </patternFill>
      </fill>
    </dxf>
    <dxf>
      <font>
        <b/>
        <i val="0"/>
        <condense val="0"/>
        <extend val="0"/>
        <color indexed="10"/>
      </font>
    </dxf>
    <dxf>
      <fill>
        <patternFill>
          <bgColor indexed="10"/>
        </patternFill>
      </fill>
    </dxf>
    <dxf>
      <font>
        <color auto="1"/>
      </font>
      <fill>
        <patternFill>
          <bgColor theme="9" tint="0.59996337778862885"/>
        </patternFill>
      </fill>
    </dxf>
    <dxf>
      <font>
        <b val="0"/>
        <i val="0"/>
        <color auto="1"/>
      </font>
      <fill>
        <patternFill>
          <bgColor theme="9" tint="0.39994506668294322"/>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ont>
        <color auto="1"/>
      </font>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C0"/>
      <color rgb="FFFFFF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83820</xdr:colOff>
      <xdr:row>28</xdr:row>
      <xdr:rowOff>11430</xdr:rowOff>
    </xdr:from>
    <xdr:ext cx="184731" cy="262400"/>
    <xdr:sp macro="" textlink="">
      <xdr:nvSpPr>
        <xdr:cNvPr id="4" name="textruta 3"/>
        <xdr:cNvSpPr txBox="1"/>
      </xdr:nvSpPr>
      <xdr:spPr>
        <a:xfrm>
          <a:off x="46863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v-SE"/>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76200</xdr:rowOff>
    </xdr:from>
    <xdr:to>
      <xdr:col>6</xdr:col>
      <xdr:colOff>28575</xdr:colOff>
      <xdr:row>12</xdr:row>
      <xdr:rowOff>76200</xdr:rowOff>
    </xdr:to>
    <xdr:cxnSp macro="">
      <xdr:nvCxnSpPr>
        <xdr:cNvPr id="186129" name="AutoShape 242"/>
        <xdr:cNvCxnSpPr>
          <a:cxnSpLocks noChangeShapeType="1"/>
        </xdr:cNvCxnSpPr>
      </xdr:nvCxnSpPr>
      <xdr:spPr bwMode="auto">
        <a:xfrm>
          <a:off x="4086225" y="2428875"/>
          <a:ext cx="194310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9525</xdr:colOff>
      <xdr:row>14</xdr:row>
      <xdr:rowOff>95250</xdr:rowOff>
    </xdr:from>
    <xdr:to>
      <xdr:col>6</xdr:col>
      <xdr:colOff>0</xdr:colOff>
      <xdr:row>14</xdr:row>
      <xdr:rowOff>95250</xdr:rowOff>
    </xdr:to>
    <xdr:cxnSp macro="">
      <xdr:nvCxnSpPr>
        <xdr:cNvPr id="186130" name="AutoShape 243"/>
        <xdr:cNvCxnSpPr>
          <a:cxnSpLocks noChangeShapeType="1"/>
        </xdr:cNvCxnSpPr>
      </xdr:nvCxnSpPr>
      <xdr:spPr bwMode="auto">
        <a:xfrm>
          <a:off x="4095750" y="2809875"/>
          <a:ext cx="190500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9525</xdr:colOff>
      <xdr:row>21</xdr:row>
      <xdr:rowOff>123825</xdr:rowOff>
    </xdr:from>
    <xdr:to>
      <xdr:col>6</xdr:col>
      <xdr:colOff>9525</xdr:colOff>
      <xdr:row>21</xdr:row>
      <xdr:rowOff>123825</xdr:rowOff>
    </xdr:to>
    <xdr:cxnSp macro="">
      <xdr:nvCxnSpPr>
        <xdr:cNvPr id="186131" name="AutoShape 244"/>
        <xdr:cNvCxnSpPr>
          <a:cxnSpLocks noChangeShapeType="1"/>
        </xdr:cNvCxnSpPr>
      </xdr:nvCxnSpPr>
      <xdr:spPr bwMode="auto">
        <a:xfrm flipV="1">
          <a:off x="4095750" y="4105275"/>
          <a:ext cx="1914525"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19050</xdr:colOff>
      <xdr:row>47</xdr:row>
      <xdr:rowOff>85725</xdr:rowOff>
    </xdr:from>
    <xdr:to>
      <xdr:col>6</xdr:col>
      <xdr:colOff>0</xdr:colOff>
      <xdr:row>47</xdr:row>
      <xdr:rowOff>85725</xdr:rowOff>
    </xdr:to>
    <xdr:cxnSp macro="">
      <xdr:nvCxnSpPr>
        <xdr:cNvPr id="186132" name="AutoShape 245"/>
        <xdr:cNvCxnSpPr>
          <a:cxnSpLocks noChangeShapeType="1"/>
        </xdr:cNvCxnSpPr>
      </xdr:nvCxnSpPr>
      <xdr:spPr bwMode="auto">
        <a:xfrm>
          <a:off x="4105275" y="8772525"/>
          <a:ext cx="1895475"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9525</xdr:colOff>
      <xdr:row>56</xdr:row>
      <xdr:rowOff>104775</xdr:rowOff>
    </xdr:from>
    <xdr:to>
      <xdr:col>6</xdr:col>
      <xdr:colOff>0</xdr:colOff>
      <xdr:row>56</xdr:row>
      <xdr:rowOff>114300</xdr:rowOff>
    </xdr:to>
    <xdr:cxnSp macro="">
      <xdr:nvCxnSpPr>
        <xdr:cNvPr id="186133" name="AutoShape 246"/>
        <xdr:cNvCxnSpPr>
          <a:cxnSpLocks noChangeShapeType="1"/>
        </xdr:cNvCxnSpPr>
      </xdr:nvCxnSpPr>
      <xdr:spPr bwMode="auto">
        <a:xfrm>
          <a:off x="4095750" y="10420350"/>
          <a:ext cx="1905000" cy="9525"/>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19050</xdr:colOff>
      <xdr:row>22</xdr:row>
      <xdr:rowOff>104775</xdr:rowOff>
    </xdr:from>
    <xdr:to>
      <xdr:col>6</xdr:col>
      <xdr:colOff>9525</xdr:colOff>
      <xdr:row>23</xdr:row>
      <xdr:rowOff>104775</xdr:rowOff>
    </xdr:to>
    <xdr:cxnSp macro="">
      <xdr:nvCxnSpPr>
        <xdr:cNvPr id="186134" name="AutoShape 249"/>
        <xdr:cNvCxnSpPr>
          <a:cxnSpLocks noChangeShapeType="1"/>
        </xdr:cNvCxnSpPr>
      </xdr:nvCxnSpPr>
      <xdr:spPr bwMode="auto">
        <a:xfrm>
          <a:off x="4105275" y="4267200"/>
          <a:ext cx="2200275" cy="180975"/>
        </a:xfrm>
        <a:prstGeom prst="bentConnector3">
          <a:avLst>
            <a:gd name="adj1" fmla="val 50000"/>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0</xdr:colOff>
      <xdr:row>52</xdr:row>
      <xdr:rowOff>104775</xdr:rowOff>
    </xdr:from>
    <xdr:to>
      <xdr:col>6</xdr:col>
      <xdr:colOff>28575</xdr:colOff>
      <xdr:row>53</xdr:row>
      <xdr:rowOff>85725</xdr:rowOff>
    </xdr:to>
    <xdr:cxnSp macro="">
      <xdr:nvCxnSpPr>
        <xdr:cNvPr id="186135" name="AutoShape 250"/>
        <xdr:cNvCxnSpPr>
          <a:cxnSpLocks noChangeShapeType="1"/>
        </xdr:cNvCxnSpPr>
      </xdr:nvCxnSpPr>
      <xdr:spPr bwMode="auto">
        <a:xfrm flipV="1">
          <a:off x="4762500" y="9696450"/>
          <a:ext cx="1266825" cy="161925"/>
        </a:xfrm>
        <a:prstGeom prst="bentConnector3">
          <a:avLst>
            <a:gd name="adj1" fmla="val 67611"/>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61</xdr:row>
      <xdr:rowOff>66675</xdr:rowOff>
    </xdr:from>
    <xdr:to>
      <xdr:col>6</xdr:col>
      <xdr:colOff>0</xdr:colOff>
      <xdr:row>61</xdr:row>
      <xdr:rowOff>66675</xdr:rowOff>
    </xdr:to>
    <xdr:cxnSp macro="">
      <xdr:nvCxnSpPr>
        <xdr:cNvPr id="186136" name="AutoShape 245"/>
        <xdr:cNvCxnSpPr>
          <a:cxnSpLocks noChangeShapeType="1"/>
        </xdr:cNvCxnSpPr>
      </xdr:nvCxnSpPr>
      <xdr:spPr bwMode="auto">
        <a:xfrm flipV="1">
          <a:off x="4086225" y="11334750"/>
          <a:ext cx="1914525"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352425</xdr:colOff>
      <xdr:row>19</xdr:row>
      <xdr:rowOff>57150</xdr:rowOff>
    </xdr:from>
    <xdr:to>
      <xdr:col>3</xdr:col>
      <xdr:colOff>352425</xdr:colOff>
      <xdr:row>20</xdr:row>
      <xdr:rowOff>9525</xdr:rowOff>
    </xdr:to>
    <xdr:cxnSp macro="">
      <xdr:nvCxnSpPr>
        <xdr:cNvPr id="186137" name="AutoShape 245"/>
        <xdr:cNvCxnSpPr>
          <a:cxnSpLocks noChangeShapeType="1"/>
        </xdr:cNvCxnSpPr>
      </xdr:nvCxnSpPr>
      <xdr:spPr bwMode="auto">
        <a:xfrm flipH="1" flipV="1">
          <a:off x="3733800" y="3676650"/>
          <a:ext cx="0" cy="133350"/>
        </a:xfrm>
        <a:prstGeom prst="straightConnector1">
          <a:avLst/>
        </a:prstGeom>
        <a:noFill/>
        <a:ln w="19050">
          <a:solidFill>
            <a:srgbClr val="0070C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352425</xdr:colOff>
      <xdr:row>19</xdr:row>
      <xdr:rowOff>66675</xdr:rowOff>
    </xdr:from>
    <xdr:to>
      <xdr:col>6</xdr:col>
      <xdr:colOff>0</xdr:colOff>
      <xdr:row>19</xdr:row>
      <xdr:rowOff>66675</xdr:rowOff>
    </xdr:to>
    <xdr:cxnSp macro="">
      <xdr:nvCxnSpPr>
        <xdr:cNvPr id="186138" name="AutoShape 244"/>
        <xdr:cNvCxnSpPr>
          <a:cxnSpLocks noChangeShapeType="1"/>
        </xdr:cNvCxnSpPr>
      </xdr:nvCxnSpPr>
      <xdr:spPr bwMode="auto">
        <a:xfrm flipV="1">
          <a:off x="3733800" y="3686175"/>
          <a:ext cx="226695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847725</xdr:colOff>
      <xdr:row>47</xdr:row>
      <xdr:rowOff>85725</xdr:rowOff>
    </xdr:from>
    <xdr:to>
      <xdr:col>6</xdr:col>
      <xdr:colOff>19050</xdr:colOff>
      <xdr:row>48</xdr:row>
      <xdr:rowOff>76200</xdr:rowOff>
    </xdr:to>
    <xdr:cxnSp macro="">
      <xdr:nvCxnSpPr>
        <xdr:cNvPr id="186139" name="AutoShape 249"/>
        <xdr:cNvCxnSpPr>
          <a:cxnSpLocks noChangeShapeType="1"/>
        </xdr:cNvCxnSpPr>
      </xdr:nvCxnSpPr>
      <xdr:spPr bwMode="auto">
        <a:xfrm>
          <a:off x="5610225" y="8772525"/>
          <a:ext cx="409575" cy="171450"/>
        </a:xfrm>
        <a:prstGeom prst="bentConnector3">
          <a:avLst>
            <a:gd name="adj1" fmla="val 1361"/>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885825</xdr:colOff>
      <xdr:row>54</xdr:row>
      <xdr:rowOff>76200</xdr:rowOff>
    </xdr:from>
    <xdr:to>
      <xdr:col>6</xdr:col>
      <xdr:colOff>9525</xdr:colOff>
      <xdr:row>55</xdr:row>
      <xdr:rowOff>104775</xdr:rowOff>
    </xdr:to>
    <xdr:cxnSp macro="">
      <xdr:nvCxnSpPr>
        <xdr:cNvPr id="186140" name="AutoShape 250"/>
        <xdr:cNvCxnSpPr>
          <a:cxnSpLocks noChangeShapeType="1"/>
        </xdr:cNvCxnSpPr>
      </xdr:nvCxnSpPr>
      <xdr:spPr bwMode="auto">
        <a:xfrm flipV="1">
          <a:off x="5648325" y="10029825"/>
          <a:ext cx="361950" cy="209550"/>
        </a:xfrm>
        <a:prstGeom prst="bentConnector3">
          <a:avLst>
            <a:gd name="adj1" fmla="val -8440"/>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9525</xdr:colOff>
      <xdr:row>55</xdr:row>
      <xdr:rowOff>104775</xdr:rowOff>
    </xdr:from>
    <xdr:to>
      <xdr:col>6</xdr:col>
      <xdr:colOff>47625</xdr:colOff>
      <xdr:row>55</xdr:row>
      <xdr:rowOff>104775</xdr:rowOff>
    </xdr:to>
    <xdr:cxnSp macro="">
      <xdr:nvCxnSpPr>
        <xdr:cNvPr id="186141" name="AutoShape 248"/>
        <xdr:cNvCxnSpPr>
          <a:cxnSpLocks noChangeShapeType="1"/>
        </xdr:cNvCxnSpPr>
      </xdr:nvCxnSpPr>
      <xdr:spPr bwMode="auto">
        <a:xfrm>
          <a:off x="4772025" y="10239375"/>
          <a:ext cx="1571625"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438150</xdr:colOff>
      <xdr:row>23</xdr:row>
      <xdr:rowOff>114300</xdr:rowOff>
    </xdr:from>
    <xdr:to>
      <xdr:col>6</xdr:col>
      <xdr:colOff>9525</xdr:colOff>
      <xdr:row>24</xdr:row>
      <xdr:rowOff>104775</xdr:rowOff>
    </xdr:to>
    <xdr:cxnSp macro="">
      <xdr:nvCxnSpPr>
        <xdr:cNvPr id="186142" name="AutoShape 249"/>
        <xdr:cNvCxnSpPr>
          <a:cxnSpLocks noChangeShapeType="1"/>
        </xdr:cNvCxnSpPr>
      </xdr:nvCxnSpPr>
      <xdr:spPr bwMode="auto">
        <a:xfrm>
          <a:off x="5200650" y="4457700"/>
          <a:ext cx="1104900" cy="171450"/>
        </a:xfrm>
        <a:prstGeom prst="bentConnector3">
          <a:avLst>
            <a:gd name="adj1" fmla="val 1724"/>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657225</xdr:colOff>
      <xdr:row>65</xdr:row>
      <xdr:rowOff>85725</xdr:rowOff>
    </xdr:from>
    <xdr:to>
      <xdr:col>6</xdr:col>
      <xdr:colOff>19050</xdr:colOff>
      <xdr:row>65</xdr:row>
      <xdr:rowOff>85725</xdr:rowOff>
    </xdr:to>
    <xdr:cxnSp macro="">
      <xdr:nvCxnSpPr>
        <xdr:cNvPr id="186143" name="AutoShape 248"/>
        <xdr:cNvCxnSpPr>
          <a:cxnSpLocks noChangeShapeType="1"/>
        </xdr:cNvCxnSpPr>
      </xdr:nvCxnSpPr>
      <xdr:spPr bwMode="auto">
        <a:xfrm>
          <a:off x="4743450" y="12077700"/>
          <a:ext cx="127635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800100</xdr:colOff>
      <xdr:row>56</xdr:row>
      <xdr:rowOff>114300</xdr:rowOff>
    </xdr:from>
    <xdr:to>
      <xdr:col>6</xdr:col>
      <xdr:colOff>0</xdr:colOff>
      <xdr:row>57</xdr:row>
      <xdr:rowOff>104775</xdr:rowOff>
    </xdr:to>
    <xdr:cxnSp macro="">
      <xdr:nvCxnSpPr>
        <xdr:cNvPr id="186144" name="AutoShape 249"/>
        <xdr:cNvCxnSpPr>
          <a:cxnSpLocks noChangeShapeType="1"/>
        </xdr:cNvCxnSpPr>
      </xdr:nvCxnSpPr>
      <xdr:spPr bwMode="auto">
        <a:xfrm>
          <a:off x="5562600" y="10429875"/>
          <a:ext cx="438150" cy="219075"/>
        </a:xfrm>
        <a:prstGeom prst="bentConnector3">
          <a:avLst>
            <a:gd name="adj1" fmla="val 15704"/>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57</xdr:row>
      <xdr:rowOff>104775</xdr:rowOff>
    </xdr:from>
    <xdr:to>
      <xdr:col>6</xdr:col>
      <xdr:colOff>9525</xdr:colOff>
      <xdr:row>58</xdr:row>
      <xdr:rowOff>114300</xdr:rowOff>
    </xdr:to>
    <xdr:cxnSp macro="">
      <xdr:nvCxnSpPr>
        <xdr:cNvPr id="186145" name="AutoShape 249"/>
        <xdr:cNvCxnSpPr>
          <a:cxnSpLocks noChangeShapeType="1"/>
        </xdr:cNvCxnSpPr>
      </xdr:nvCxnSpPr>
      <xdr:spPr bwMode="auto">
        <a:xfrm>
          <a:off x="4086225" y="10648950"/>
          <a:ext cx="2219325" cy="190500"/>
        </a:xfrm>
        <a:prstGeom prst="bentConnector3">
          <a:avLst>
            <a:gd name="adj1" fmla="val 45458"/>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19050</xdr:colOff>
      <xdr:row>74</xdr:row>
      <xdr:rowOff>114300</xdr:rowOff>
    </xdr:from>
    <xdr:to>
      <xdr:col>6</xdr:col>
      <xdr:colOff>38100</xdr:colOff>
      <xdr:row>79</xdr:row>
      <xdr:rowOff>133350</xdr:rowOff>
    </xdr:to>
    <xdr:cxnSp macro="">
      <xdr:nvCxnSpPr>
        <xdr:cNvPr id="186146" name="AutoShape 249"/>
        <xdr:cNvCxnSpPr>
          <a:cxnSpLocks noChangeShapeType="1"/>
        </xdr:cNvCxnSpPr>
      </xdr:nvCxnSpPr>
      <xdr:spPr bwMode="auto">
        <a:xfrm>
          <a:off x="4781550" y="13782675"/>
          <a:ext cx="1257300" cy="1143000"/>
        </a:xfrm>
        <a:prstGeom prst="bentConnector3">
          <a:avLst>
            <a:gd name="adj1" fmla="val 67611"/>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647700</xdr:colOff>
      <xdr:row>76</xdr:row>
      <xdr:rowOff>85725</xdr:rowOff>
    </xdr:from>
    <xdr:to>
      <xdr:col>4</xdr:col>
      <xdr:colOff>647700</xdr:colOff>
      <xdr:row>76</xdr:row>
      <xdr:rowOff>85725</xdr:rowOff>
    </xdr:to>
    <xdr:cxnSp macro="">
      <xdr:nvCxnSpPr>
        <xdr:cNvPr id="186147" name="AutoShape 249"/>
        <xdr:cNvCxnSpPr>
          <a:cxnSpLocks noChangeShapeType="1"/>
        </xdr:cNvCxnSpPr>
      </xdr:nvCxnSpPr>
      <xdr:spPr bwMode="auto">
        <a:xfrm flipV="1">
          <a:off x="4733925" y="14173200"/>
          <a:ext cx="0" cy="0"/>
        </a:xfrm>
        <a:prstGeom prst="bentConnector3">
          <a:avLst>
            <a:gd name="adj1" fmla="val 50000"/>
          </a:avLst>
        </a:prstGeom>
        <a:noFill/>
        <a:ln w="19050">
          <a:solidFill>
            <a:srgbClr val="0070C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4</xdr:col>
      <xdr:colOff>657225</xdr:colOff>
      <xdr:row>75</xdr:row>
      <xdr:rowOff>104775</xdr:rowOff>
    </xdr:from>
    <xdr:to>
      <xdr:col>5</xdr:col>
      <xdr:colOff>1076325</xdr:colOff>
      <xdr:row>75</xdr:row>
      <xdr:rowOff>104776</xdr:rowOff>
    </xdr:to>
    <xdr:cxnSp macro="">
      <xdr:nvCxnSpPr>
        <xdr:cNvPr id="186148" name="AutoShape 249"/>
        <xdr:cNvCxnSpPr>
          <a:cxnSpLocks noChangeShapeType="1"/>
        </xdr:cNvCxnSpPr>
      </xdr:nvCxnSpPr>
      <xdr:spPr bwMode="auto">
        <a:xfrm flipV="1">
          <a:off x="4743450" y="13992225"/>
          <a:ext cx="1095375" cy="1"/>
        </a:xfrm>
        <a:prstGeom prst="bentConnector3">
          <a:avLst>
            <a:gd name="adj1" fmla="val 50000"/>
          </a:avLst>
        </a:prstGeom>
        <a:noFill/>
        <a:ln w="19050">
          <a:solidFill>
            <a:srgbClr val="0070C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76</xdr:row>
      <xdr:rowOff>95250</xdr:rowOff>
    </xdr:from>
    <xdr:to>
      <xdr:col>5</xdr:col>
      <xdr:colOff>1095375</xdr:colOff>
      <xdr:row>76</xdr:row>
      <xdr:rowOff>95251</xdr:rowOff>
    </xdr:to>
    <xdr:cxnSp macro="">
      <xdr:nvCxnSpPr>
        <xdr:cNvPr id="33" name="AutoShape 249"/>
        <xdr:cNvCxnSpPr>
          <a:cxnSpLocks noChangeShapeType="1"/>
        </xdr:cNvCxnSpPr>
      </xdr:nvCxnSpPr>
      <xdr:spPr bwMode="auto">
        <a:xfrm flipV="1">
          <a:off x="4762500" y="14182725"/>
          <a:ext cx="1095375" cy="1"/>
        </a:xfrm>
        <a:prstGeom prst="bentConnector3">
          <a:avLst>
            <a:gd name="adj1" fmla="val 50000"/>
          </a:avLst>
        </a:prstGeom>
        <a:noFill/>
        <a:ln w="19050">
          <a:solidFill>
            <a:srgbClr val="0070C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5</xdr:col>
      <xdr:colOff>9525</xdr:colOff>
      <xdr:row>77</xdr:row>
      <xdr:rowOff>114300</xdr:rowOff>
    </xdr:from>
    <xdr:to>
      <xdr:col>5</xdr:col>
      <xdr:colOff>1047750</xdr:colOff>
      <xdr:row>77</xdr:row>
      <xdr:rowOff>114303</xdr:rowOff>
    </xdr:to>
    <xdr:cxnSp macro="">
      <xdr:nvCxnSpPr>
        <xdr:cNvPr id="34" name="AutoShape 249"/>
        <xdr:cNvCxnSpPr>
          <a:cxnSpLocks noChangeShapeType="1"/>
        </xdr:cNvCxnSpPr>
      </xdr:nvCxnSpPr>
      <xdr:spPr bwMode="auto">
        <a:xfrm flipV="1">
          <a:off x="4772025" y="14439900"/>
          <a:ext cx="1038225" cy="3"/>
        </a:xfrm>
        <a:prstGeom prst="bentConnector3">
          <a:avLst>
            <a:gd name="adj1" fmla="val 50000"/>
          </a:avLst>
        </a:prstGeom>
        <a:noFill/>
        <a:ln w="19050">
          <a:solidFill>
            <a:srgbClr val="0070C0"/>
          </a:solidFill>
          <a:miter lim="800000"/>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752475</xdr:colOff>
      <xdr:row>38</xdr:row>
      <xdr:rowOff>219075</xdr:rowOff>
    </xdr:from>
    <xdr:to>
      <xdr:col>5</xdr:col>
      <xdr:colOff>9525</xdr:colOff>
      <xdr:row>39</xdr:row>
      <xdr:rowOff>95250</xdr:rowOff>
    </xdr:to>
    <xdr:cxnSp macro="">
      <xdr:nvCxnSpPr>
        <xdr:cNvPr id="185216" name="AutoShape 184"/>
        <xdr:cNvCxnSpPr>
          <a:cxnSpLocks noChangeShapeType="1"/>
        </xdr:cNvCxnSpPr>
      </xdr:nvCxnSpPr>
      <xdr:spPr bwMode="auto">
        <a:xfrm flipV="1">
          <a:off x="3781425" y="7534275"/>
          <a:ext cx="676275" cy="104775"/>
        </a:xfrm>
        <a:prstGeom prst="bentConnector3">
          <a:avLst>
            <a:gd name="adj1" fmla="val 50000"/>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762000</xdr:colOff>
      <xdr:row>41</xdr:row>
      <xdr:rowOff>0</xdr:rowOff>
    </xdr:from>
    <xdr:to>
      <xdr:col>5</xdr:col>
      <xdr:colOff>9525</xdr:colOff>
      <xdr:row>41</xdr:row>
      <xdr:rowOff>123825</xdr:rowOff>
    </xdr:to>
    <xdr:cxnSp macro="">
      <xdr:nvCxnSpPr>
        <xdr:cNvPr id="185217" name="AutoShape 187"/>
        <xdr:cNvCxnSpPr>
          <a:cxnSpLocks noChangeShapeType="1"/>
        </xdr:cNvCxnSpPr>
      </xdr:nvCxnSpPr>
      <xdr:spPr bwMode="auto">
        <a:xfrm flipV="1">
          <a:off x="3790950" y="7943850"/>
          <a:ext cx="666750" cy="123825"/>
        </a:xfrm>
        <a:prstGeom prst="bentConnector3">
          <a:avLst>
            <a:gd name="adj1" fmla="val 50000"/>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44</xdr:row>
      <xdr:rowOff>161925</xdr:rowOff>
    </xdr:from>
    <xdr:to>
      <xdr:col>5</xdr:col>
      <xdr:colOff>9525</xdr:colOff>
      <xdr:row>44</xdr:row>
      <xdr:rowOff>161925</xdr:rowOff>
    </xdr:to>
    <xdr:cxnSp macro="">
      <xdr:nvCxnSpPr>
        <xdr:cNvPr id="185218" name="AutoShape 191"/>
        <xdr:cNvCxnSpPr>
          <a:cxnSpLocks noChangeShapeType="1"/>
        </xdr:cNvCxnSpPr>
      </xdr:nvCxnSpPr>
      <xdr:spPr bwMode="auto">
        <a:xfrm>
          <a:off x="3800475" y="8696325"/>
          <a:ext cx="657225"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26</xdr:row>
      <xdr:rowOff>104775</xdr:rowOff>
    </xdr:from>
    <xdr:to>
      <xdr:col>5</xdr:col>
      <xdr:colOff>9525</xdr:colOff>
      <xdr:row>26</xdr:row>
      <xdr:rowOff>104775</xdr:rowOff>
    </xdr:to>
    <xdr:cxnSp macro="">
      <xdr:nvCxnSpPr>
        <xdr:cNvPr id="185219" name="AutoShape 197"/>
        <xdr:cNvCxnSpPr>
          <a:cxnSpLocks noChangeShapeType="1"/>
        </xdr:cNvCxnSpPr>
      </xdr:nvCxnSpPr>
      <xdr:spPr bwMode="auto">
        <a:xfrm>
          <a:off x="3800475" y="4743450"/>
          <a:ext cx="657225"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762000</xdr:colOff>
      <xdr:row>25</xdr:row>
      <xdr:rowOff>95250</xdr:rowOff>
    </xdr:from>
    <xdr:to>
      <xdr:col>5</xdr:col>
      <xdr:colOff>0</xdr:colOff>
      <xdr:row>25</xdr:row>
      <xdr:rowOff>95250</xdr:rowOff>
    </xdr:to>
    <xdr:cxnSp macro="">
      <xdr:nvCxnSpPr>
        <xdr:cNvPr id="185220" name="AutoShape 197"/>
        <xdr:cNvCxnSpPr>
          <a:cxnSpLocks noChangeShapeType="1"/>
        </xdr:cNvCxnSpPr>
      </xdr:nvCxnSpPr>
      <xdr:spPr bwMode="auto">
        <a:xfrm>
          <a:off x="3790950" y="4572000"/>
          <a:ext cx="657225"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9525</xdr:colOff>
      <xdr:row>45</xdr:row>
      <xdr:rowOff>133350</xdr:rowOff>
    </xdr:from>
    <xdr:to>
      <xdr:col>5</xdr:col>
      <xdr:colOff>19050</xdr:colOff>
      <xdr:row>45</xdr:row>
      <xdr:rowOff>133350</xdr:rowOff>
    </xdr:to>
    <xdr:cxnSp macro="">
      <xdr:nvCxnSpPr>
        <xdr:cNvPr id="185221" name="AutoShape 191"/>
        <xdr:cNvCxnSpPr>
          <a:cxnSpLocks noChangeShapeType="1"/>
        </xdr:cNvCxnSpPr>
      </xdr:nvCxnSpPr>
      <xdr:spPr bwMode="auto">
        <a:xfrm>
          <a:off x="3810000" y="8943975"/>
          <a:ext cx="657225"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52</xdr:row>
      <xdr:rowOff>95250</xdr:rowOff>
    </xdr:from>
    <xdr:to>
      <xdr:col>5</xdr:col>
      <xdr:colOff>9525</xdr:colOff>
      <xdr:row>52</xdr:row>
      <xdr:rowOff>95250</xdr:rowOff>
    </xdr:to>
    <xdr:cxnSp macro="">
      <xdr:nvCxnSpPr>
        <xdr:cNvPr id="185222" name="AutoShape 191"/>
        <xdr:cNvCxnSpPr>
          <a:cxnSpLocks noChangeShapeType="1"/>
        </xdr:cNvCxnSpPr>
      </xdr:nvCxnSpPr>
      <xdr:spPr bwMode="auto">
        <a:xfrm>
          <a:off x="3800475" y="10172700"/>
          <a:ext cx="657225"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55</xdr:row>
      <xdr:rowOff>76200</xdr:rowOff>
    </xdr:from>
    <xdr:to>
      <xdr:col>5</xdr:col>
      <xdr:colOff>9525</xdr:colOff>
      <xdr:row>56</xdr:row>
      <xdr:rowOff>0</xdr:rowOff>
    </xdr:to>
    <xdr:cxnSp macro="">
      <xdr:nvCxnSpPr>
        <xdr:cNvPr id="185223" name="AutoShape 250"/>
        <xdr:cNvCxnSpPr>
          <a:cxnSpLocks noChangeShapeType="1"/>
        </xdr:cNvCxnSpPr>
      </xdr:nvCxnSpPr>
      <xdr:spPr bwMode="auto">
        <a:xfrm>
          <a:off x="3800475" y="10639425"/>
          <a:ext cx="657225" cy="85725"/>
        </a:xfrm>
        <a:prstGeom prst="bentConnector3">
          <a:avLst>
            <a:gd name="adj1" fmla="val 50000"/>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9525</xdr:colOff>
      <xdr:row>42</xdr:row>
      <xdr:rowOff>66675</xdr:rowOff>
    </xdr:from>
    <xdr:to>
      <xdr:col>5</xdr:col>
      <xdr:colOff>9525</xdr:colOff>
      <xdr:row>43</xdr:row>
      <xdr:rowOff>9525</xdr:rowOff>
    </xdr:to>
    <xdr:cxnSp macro="">
      <xdr:nvCxnSpPr>
        <xdr:cNvPr id="185224" name="AutoShape 250"/>
        <xdr:cNvCxnSpPr>
          <a:cxnSpLocks noChangeShapeType="1"/>
        </xdr:cNvCxnSpPr>
      </xdr:nvCxnSpPr>
      <xdr:spPr bwMode="auto">
        <a:xfrm>
          <a:off x="3810000" y="8267700"/>
          <a:ext cx="647700" cy="104775"/>
        </a:xfrm>
        <a:prstGeom prst="bentConnector3">
          <a:avLst>
            <a:gd name="adj1" fmla="val 50000"/>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763732</xdr:colOff>
      <xdr:row>47</xdr:row>
      <xdr:rowOff>34636</xdr:rowOff>
    </xdr:from>
    <xdr:to>
      <xdr:col>5</xdr:col>
      <xdr:colOff>0</xdr:colOff>
      <xdr:row>47</xdr:row>
      <xdr:rowOff>111702</xdr:rowOff>
    </xdr:to>
    <xdr:cxnSp macro="">
      <xdr:nvCxnSpPr>
        <xdr:cNvPr id="185225" name="AutoShape 250"/>
        <xdr:cNvCxnSpPr>
          <a:cxnSpLocks noChangeShapeType="1"/>
        </xdr:cNvCxnSpPr>
      </xdr:nvCxnSpPr>
      <xdr:spPr bwMode="auto">
        <a:xfrm flipV="1">
          <a:off x="3794414" y="9369136"/>
          <a:ext cx="1444336" cy="77066"/>
        </a:xfrm>
        <a:prstGeom prst="bentConnector3">
          <a:avLst>
            <a:gd name="adj1" fmla="val 50000"/>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762000</xdr:colOff>
      <xdr:row>66</xdr:row>
      <xdr:rowOff>9525</xdr:rowOff>
    </xdr:from>
    <xdr:to>
      <xdr:col>5</xdr:col>
      <xdr:colOff>9525</xdr:colOff>
      <xdr:row>67</xdr:row>
      <xdr:rowOff>114300</xdr:rowOff>
    </xdr:to>
    <xdr:cxnSp macro="">
      <xdr:nvCxnSpPr>
        <xdr:cNvPr id="185226" name="AutoShape 250"/>
        <xdr:cNvCxnSpPr>
          <a:cxnSpLocks noChangeShapeType="1"/>
        </xdr:cNvCxnSpPr>
      </xdr:nvCxnSpPr>
      <xdr:spPr bwMode="auto">
        <a:xfrm flipV="1">
          <a:off x="3790950" y="12411075"/>
          <a:ext cx="666750" cy="361950"/>
        </a:xfrm>
        <a:prstGeom prst="bentConnector3">
          <a:avLst>
            <a:gd name="adj1" fmla="val 50000"/>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28575</xdr:colOff>
      <xdr:row>13</xdr:row>
      <xdr:rowOff>95250</xdr:rowOff>
    </xdr:from>
    <xdr:to>
      <xdr:col>13</xdr:col>
      <xdr:colOff>38100</xdr:colOff>
      <xdr:row>13</xdr:row>
      <xdr:rowOff>95250</xdr:rowOff>
    </xdr:to>
    <xdr:cxnSp macro="">
      <xdr:nvCxnSpPr>
        <xdr:cNvPr id="182882" name="AutoShape 191"/>
        <xdr:cNvCxnSpPr>
          <a:cxnSpLocks noChangeShapeType="1"/>
        </xdr:cNvCxnSpPr>
      </xdr:nvCxnSpPr>
      <xdr:spPr bwMode="auto">
        <a:xfrm>
          <a:off x="10610850" y="2362200"/>
          <a:ext cx="352425"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0</xdr:colOff>
      <xdr:row>13</xdr:row>
      <xdr:rowOff>95250</xdr:rowOff>
    </xdr:from>
    <xdr:to>
      <xdr:col>13</xdr:col>
      <xdr:colOff>9525</xdr:colOff>
      <xdr:row>14</xdr:row>
      <xdr:rowOff>76200</xdr:rowOff>
    </xdr:to>
    <xdr:cxnSp macro="">
      <xdr:nvCxnSpPr>
        <xdr:cNvPr id="182883" name="AutoShape 250"/>
        <xdr:cNvCxnSpPr>
          <a:cxnSpLocks noChangeShapeType="1"/>
        </xdr:cNvCxnSpPr>
      </xdr:nvCxnSpPr>
      <xdr:spPr bwMode="auto">
        <a:xfrm>
          <a:off x="9867900" y="2362200"/>
          <a:ext cx="1066800" cy="152400"/>
        </a:xfrm>
        <a:prstGeom prst="bentConnector3">
          <a:avLst>
            <a:gd name="adj1" fmla="val 75894"/>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390525</xdr:colOff>
      <xdr:row>6</xdr:row>
      <xdr:rowOff>38100</xdr:rowOff>
    </xdr:from>
    <xdr:to>
      <xdr:col>13</xdr:col>
      <xdr:colOff>9525</xdr:colOff>
      <xdr:row>7</xdr:row>
      <xdr:rowOff>57150</xdr:rowOff>
    </xdr:to>
    <xdr:cxnSp macro="">
      <xdr:nvCxnSpPr>
        <xdr:cNvPr id="182885" name="AutoShape 250"/>
        <xdr:cNvCxnSpPr>
          <a:cxnSpLocks noChangeShapeType="1"/>
        </xdr:cNvCxnSpPr>
      </xdr:nvCxnSpPr>
      <xdr:spPr bwMode="auto">
        <a:xfrm>
          <a:off x="9544050" y="1133475"/>
          <a:ext cx="1390650" cy="209550"/>
        </a:xfrm>
        <a:prstGeom prst="bentConnector3">
          <a:avLst>
            <a:gd name="adj1" fmla="val 80139"/>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400050</xdr:colOff>
      <xdr:row>6</xdr:row>
      <xdr:rowOff>38100</xdr:rowOff>
    </xdr:from>
    <xdr:to>
      <xdr:col>10</xdr:col>
      <xdr:colOff>400050</xdr:colOff>
      <xdr:row>6</xdr:row>
      <xdr:rowOff>180975</xdr:rowOff>
    </xdr:to>
    <xdr:cxnSp macro="">
      <xdr:nvCxnSpPr>
        <xdr:cNvPr id="182886" name="AutoShape 191"/>
        <xdr:cNvCxnSpPr>
          <a:cxnSpLocks noChangeShapeType="1"/>
        </xdr:cNvCxnSpPr>
      </xdr:nvCxnSpPr>
      <xdr:spPr bwMode="auto">
        <a:xfrm flipV="1">
          <a:off x="9553575" y="1133475"/>
          <a:ext cx="0" cy="142875"/>
        </a:xfrm>
        <a:prstGeom prst="straightConnector1">
          <a:avLst/>
        </a:prstGeom>
        <a:noFill/>
        <a:ln w="19050">
          <a:solidFill>
            <a:srgbClr val="0070C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704850</xdr:colOff>
      <xdr:row>26</xdr:row>
      <xdr:rowOff>142875</xdr:rowOff>
    </xdr:from>
    <xdr:to>
      <xdr:col>4</xdr:col>
      <xdr:colOff>1457325</xdr:colOff>
      <xdr:row>27</xdr:row>
      <xdr:rowOff>171450</xdr:rowOff>
    </xdr:to>
    <xdr:cxnSp macro="">
      <xdr:nvCxnSpPr>
        <xdr:cNvPr id="7" name="AutoShape 250"/>
        <xdr:cNvCxnSpPr>
          <a:cxnSpLocks noChangeShapeType="1"/>
        </xdr:cNvCxnSpPr>
      </xdr:nvCxnSpPr>
      <xdr:spPr bwMode="auto">
        <a:xfrm>
          <a:off x="3638550" y="4886325"/>
          <a:ext cx="1466850" cy="228600"/>
        </a:xfrm>
        <a:prstGeom prst="bentConnector3">
          <a:avLst>
            <a:gd name="adj1" fmla="val 50000"/>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8</xdr:row>
      <xdr:rowOff>47625</xdr:rowOff>
    </xdr:from>
    <xdr:to>
      <xdr:col>0</xdr:col>
      <xdr:colOff>19050</xdr:colOff>
      <xdr:row>8</xdr:row>
      <xdr:rowOff>161925</xdr:rowOff>
    </xdr:to>
    <xdr:sp macro="" textlink="">
      <xdr:nvSpPr>
        <xdr:cNvPr id="2" name="Text 1"/>
        <xdr:cNvSpPr txBox="1">
          <a:spLocks noChangeArrowheads="1"/>
        </xdr:cNvSpPr>
      </xdr:nvSpPr>
      <xdr:spPr bwMode="auto">
        <a:xfrm>
          <a:off x="19050" y="1533525"/>
          <a:ext cx="0" cy="114300"/>
        </a:xfrm>
        <a:prstGeom prst="rect">
          <a:avLst/>
        </a:prstGeom>
        <a:noFill/>
        <a:ln w="1">
          <a:noFill/>
          <a:miter lim="800000"/>
          <a:headEnd/>
          <a:tailEnd/>
        </a:ln>
      </xdr:spPr>
      <xdr:txBody>
        <a:bodyPr vertOverflow="clip" wrap="square" lIns="27432" tIns="22860" rIns="0" bIns="0" anchor="t" upright="1"/>
        <a:lstStyle/>
        <a:p>
          <a:pPr algn="l" rtl="0">
            <a:defRPr sz="1000"/>
          </a:pPr>
          <a:r>
            <a:rPr lang="sv-SE" sz="900" b="1" i="0" u="none" strike="noStrike" baseline="0">
              <a:solidFill>
                <a:srgbClr val="000000"/>
              </a:solidFill>
              <a:latin typeface="Arial"/>
              <a:cs typeface="Arial"/>
            </a:rPr>
            <a:t>Gå till avd:</a:t>
          </a:r>
        </a:p>
      </xdr:txBody>
    </xdr:sp>
    <xdr:clientData fPrintsWithSheet="0"/>
  </xdr:twoCellAnchor>
  <xdr:twoCellAnchor editAs="oneCell">
    <xdr:from>
      <xdr:col>0</xdr:col>
      <xdr:colOff>19050</xdr:colOff>
      <xdr:row>18</xdr:row>
      <xdr:rowOff>47625</xdr:rowOff>
    </xdr:from>
    <xdr:to>
      <xdr:col>0</xdr:col>
      <xdr:colOff>19050</xdr:colOff>
      <xdr:row>18</xdr:row>
      <xdr:rowOff>161925</xdr:rowOff>
    </xdr:to>
    <xdr:sp macro="" textlink="">
      <xdr:nvSpPr>
        <xdr:cNvPr id="3" name="Text 1"/>
        <xdr:cNvSpPr txBox="1">
          <a:spLocks noChangeArrowheads="1"/>
        </xdr:cNvSpPr>
      </xdr:nvSpPr>
      <xdr:spPr bwMode="auto">
        <a:xfrm>
          <a:off x="19050" y="3248025"/>
          <a:ext cx="0" cy="180975"/>
        </a:xfrm>
        <a:prstGeom prst="rect">
          <a:avLst/>
        </a:prstGeom>
        <a:noFill/>
        <a:ln w="1">
          <a:noFill/>
          <a:miter lim="800000"/>
          <a:headEnd/>
          <a:tailEnd/>
        </a:ln>
      </xdr:spPr>
      <xdr:txBody>
        <a:bodyPr vertOverflow="clip" wrap="square" lIns="27432" tIns="22860" rIns="0" bIns="0" anchor="t" upright="1"/>
        <a:lstStyle/>
        <a:p>
          <a:pPr algn="l" rtl="0">
            <a:defRPr sz="1000"/>
          </a:pPr>
          <a:r>
            <a:rPr lang="sv-SE" sz="900" b="1" i="0" u="none" strike="noStrike" baseline="0">
              <a:solidFill>
                <a:srgbClr val="000000"/>
              </a:solidFill>
              <a:latin typeface="Arial"/>
              <a:cs typeface="Arial"/>
            </a:rPr>
            <a:t>Gå till avd:</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47625</xdr:rowOff>
    </xdr:from>
    <xdr:to>
      <xdr:col>1</xdr:col>
      <xdr:colOff>0</xdr:colOff>
      <xdr:row>3</xdr:row>
      <xdr:rowOff>28575</xdr:rowOff>
    </xdr:to>
    <xdr:sp macro="" textlink="">
      <xdr:nvSpPr>
        <xdr:cNvPr id="2" name="txtGoTo"/>
        <xdr:cNvSpPr txBox="1">
          <a:spLocks noChangeArrowheads="1"/>
        </xdr:cNvSpPr>
      </xdr:nvSpPr>
      <xdr:spPr bwMode="auto">
        <a:xfrm>
          <a:off x="342900" y="600075"/>
          <a:ext cx="0" cy="142875"/>
        </a:xfrm>
        <a:prstGeom prst="rect">
          <a:avLst/>
        </a:prstGeom>
        <a:noFill/>
        <a:ln w="1">
          <a:noFill/>
          <a:miter lim="800000"/>
          <a:headEnd/>
          <a:tailEnd/>
        </a:ln>
      </xdr:spPr>
      <xdr:txBody>
        <a:bodyPr vertOverflow="clip" wrap="square" lIns="27432" tIns="22860" rIns="0" bIns="0" anchor="t" upright="1"/>
        <a:lstStyle/>
        <a:p>
          <a:pPr algn="l" rtl="0">
            <a:defRPr sz="1000"/>
          </a:pPr>
          <a:r>
            <a:rPr lang="sv-SE" sz="900" b="1" i="0" strike="noStrike">
              <a:solidFill>
                <a:srgbClr val="000000"/>
              </a:solidFill>
              <a:latin typeface="Arial"/>
              <a:cs typeface="Arial"/>
            </a:rPr>
            <a:t>Gå till avd:</a:t>
          </a:r>
        </a:p>
      </xdr:txBody>
    </xdr:sp>
    <xdr:clientData fPrintsWithSheet="0"/>
  </xdr:twoCellAnchor>
  <xdr:twoCellAnchor editAs="oneCell">
    <xdr:from>
      <xdr:col>0</xdr:col>
      <xdr:colOff>38100</xdr:colOff>
      <xdr:row>2</xdr:row>
      <xdr:rowOff>47625</xdr:rowOff>
    </xdr:from>
    <xdr:to>
      <xdr:col>0</xdr:col>
      <xdr:colOff>38100</xdr:colOff>
      <xdr:row>3</xdr:row>
      <xdr:rowOff>28575</xdr:rowOff>
    </xdr:to>
    <xdr:sp macro="" textlink="">
      <xdr:nvSpPr>
        <xdr:cNvPr id="3" name="txtGoTo"/>
        <xdr:cNvSpPr txBox="1">
          <a:spLocks noChangeArrowheads="1"/>
        </xdr:cNvSpPr>
      </xdr:nvSpPr>
      <xdr:spPr bwMode="auto">
        <a:xfrm>
          <a:off x="38100" y="600075"/>
          <a:ext cx="0" cy="142875"/>
        </a:xfrm>
        <a:prstGeom prst="rect">
          <a:avLst/>
        </a:prstGeom>
        <a:noFill/>
        <a:ln w="1">
          <a:noFill/>
          <a:miter lim="800000"/>
          <a:headEnd/>
          <a:tailEnd/>
        </a:ln>
      </xdr:spPr>
      <xdr:txBody>
        <a:bodyPr vertOverflow="clip" wrap="square" lIns="27432" tIns="22860" rIns="0" bIns="0" anchor="t" upright="1"/>
        <a:lstStyle/>
        <a:p>
          <a:pPr algn="l" rtl="0">
            <a:defRPr sz="1000"/>
          </a:pPr>
          <a:r>
            <a:rPr lang="sv-SE" sz="900" b="1" i="0" strike="noStrike">
              <a:solidFill>
                <a:srgbClr val="000000"/>
              </a:solidFill>
              <a:latin typeface="Arial"/>
              <a:cs typeface="Arial"/>
            </a:rPr>
            <a:t>Gå till avd:</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2</xdr:row>
      <xdr:rowOff>47625</xdr:rowOff>
    </xdr:from>
    <xdr:to>
      <xdr:col>0</xdr:col>
      <xdr:colOff>38100</xdr:colOff>
      <xdr:row>3</xdr:row>
      <xdr:rowOff>28575</xdr:rowOff>
    </xdr:to>
    <xdr:sp macro="" textlink="">
      <xdr:nvSpPr>
        <xdr:cNvPr id="2" name="txtGoTo"/>
        <xdr:cNvSpPr txBox="1">
          <a:spLocks noChangeArrowheads="1"/>
        </xdr:cNvSpPr>
      </xdr:nvSpPr>
      <xdr:spPr bwMode="auto">
        <a:xfrm>
          <a:off x="38100" y="276225"/>
          <a:ext cx="0" cy="142875"/>
        </a:xfrm>
        <a:prstGeom prst="rect">
          <a:avLst/>
        </a:prstGeom>
        <a:noFill/>
        <a:ln w="1">
          <a:noFill/>
          <a:miter lim="800000"/>
          <a:headEnd/>
          <a:tailEnd/>
        </a:ln>
      </xdr:spPr>
      <xdr:txBody>
        <a:bodyPr vertOverflow="clip" wrap="square" lIns="27432" tIns="22860" rIns="0" bIns="0" anchor="t" upright="1"/>
        <a:lstStyle/>
        <a:p>
          <a:pPr algn="l" rtl="0">
            <a:defRPr sz="1000"/>
          </a:pPr>
          <a:r>
            <a:rPr lang="sv-SE" sz="900" b="1" i="0" strike="noStrike">
              <a:solidFill>
                <a:srgbClr val="000000"/>
              </a:solidFill>
              <a:latin typeface="Arial"/>
              <a:cs typeface="Arial"/>
            </a:rPr>
            <a:t>Gå till avd:</a:t>
          </a:r>
        </a:p>
      </xdr:txBody>
    </xdr:sp>
    <xdr:clientData fPrintsWithSheet="0"/>
  </xdr:twoCellAnchor>
  <xdr:twoCellAnchor>
    <xdr:from>
      <xdr:col>19</xdr:col>
      <xdr:colOff>0</xdr:colOff>
      <xdr:row>65535</xdr:row>
      <xdr:rowOff>0</xdr:rowOff>
    </xdr:from>
    <xdr:to>
      <xdr:col>19</xdr:col>
      <xdr:colOff>0</xdr:colOff>
      <xdr:row>65535</xdr:row>
      <xdr:rowOff>0</xdr:rowOff>
    </xdr:to>
    <xdr:sp macro="" textlink="">
      <xdr:nvSpPr>
        <xdr:cNvPr id="172907" name="Entreprenad"/>
        <xdr:cNvSpPr txBox="1">
          <a:spLocks noChangeArrowheads="1"/>
        </xdr:cNvSpPr>
      </xdr:nvSpPr>
      <xdr:spPr bwMode="auto">
        <a:xfrm>
          <a:off x="14478000" y="7000875"/>
          <a:ext cx="0" cy="0"/>
        </a:xfrm>
        <a:prstGeom prst="rect">
          <a:avLst/>
        </a:prstGeom>
        <a:solidFill>
          <a:srgbClr val="FFFFFF"/>
        </a:solidFill>
        <a:ln w="9525">
          <a:solidFill>
            <a:srgbClr val="C0C0C0"/>
          </a:solidFill>
          <a:miter lim="800000"/>
          <a:headEnd/>
          <a:tailEnd/>
        </a:ln>
      </xdr:spPr>
    </xdr:sp>
    <xdr:clientData/>
  </xdr:twoCellAnchor>
  <xdr:twoCellAnchor>
    <xdr:from>
      <xdr:col>19</xdr:col>
      <xdr:colOff>0</xdr:colOff>
      <xdr:row>65535</xdr:row>
      <xdr:rowOff>0</xdr:rowOff>
    </xdr:from>
    <xdr:to>
      <xdr:col>19</xdr:col>
      <xdr:colOff>0</xdr:colOff>
      <xdr:row>65535</xdr:row>
      <xdr:rowOff>0</xdr:rowOff>
    </xdr:to>
    <xdr:sp macro="" textlink="">
      <xdr:nvSpPr>
        <xdr:cNvPr id="172908" name="Entreprenad"/>
        <xdr:cNvSpPr txBox="1">
          <a:spLocks noChangeArrowheads="1"/>
        </xdr:cNvSpPr>
      </xdr:nvSpPr>
      <xdr:spPr bwMode="auto">
        <a:xfrm>
          <a:off x="14478000" y="7000875"/>
          <a:ext cx="0" cy="0"/>
        </a:xfrm>
        <a:prstGeom prst="rect">
          <a:avLst/>
        </a:prstGeom>
        <a:solidFill>
          <a:srgbClr val="FFFFFF"/>
        </a:solidFill>
        <a:ln w="9525">
          <a:solidFill>
            <a:srgbClr val="C0C0C0"/>
          </a:solidFill>
          <a:miter lim="800000"/>
          <a:headEnd/>
          <a:tailEnd/>
        </a:ln>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BCBCBC"/>
          </a:solidFill>
          <a:miter lim="800000"/>
          <a:headEnd/>
          <a:tailEnd/>
        </a:ln>
      </a:spPr>
      <a:bodyPr/>
      <a:lstStyle>
        <a:defPPr>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www.scb.se/rskommuner"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drawing" Target="../drawings/drawing6.xml"/><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drawing" Target="../drawings/drawing7.xml"/><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1.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2.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3.x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4.x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5.x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tabSelected="1" zoomScaleNormal="100" workbookViewId="0">
      <selection sqref="A1:D1"/>
    </sheetView>
  </sheetViews>
  <sheetFormatPr defaultColWidth="0" defaultRowHeight="12.75" zeroHeight="1"/>
  <cols>
    <col min="1" max="1" width="22.85546875" style="442" customWidth="1"/>
    <col min="2" max="2" width="26.7109375" style="442" customWidth="1"/>
    <col min="3" max="3" width="20.5703125" style="442" customWidth="1"/>
    <col min="4" max="4" width="26.7109375" style="442" customWidth="1"/>
    <col min="5" max="5" width="12.42578125" style="437" customWidth="1"/>
  </cols>
  <sheetData>
    <row r="1" spans="1:5" s="443" customFormat="1">
      <c r="A1" s="2503"/>
      <c r="B1" s="2504"/>
      <c r="C1" s="2504"/>
      <c r="D1" s="2504"/>
      <c r="E1" s="436"/>
    </row>
    <row r="2" spans="1:5" s="442" customFormat="1" ht="15.75">
      <c r="A2" s="2293" t="s">
        <v>1312</v>
      </c>
      <c r="B2" s="2292" t="s">
        <v>1312</v>
      </c>
      <c r="C2" s="146"/>
      <c r="D2" s="146"/>
      <c r="E2" s="437"/>
    </row>
    <row r="3" spans="1:5" s="442" customFormat="1" ht="15.75">
      <c r="A3" s="2281"/>
      <c r="B3" s="435"/>
      <c r="C3" s="146"/>
      <c r="D3" s="146"/>
      <c r="E3" s="437"/>
    </row>
    <row r="4" spans="1:5" s="442" customFormat="1" ht="15.75">
      <c r="A4" s="2291" t="str">
        <f>"Invånare 31 dec. "&amp;År&amp;""</f>
        <v>Invånare 31 dec. 2018</v>
      </c>
      <c r="B4" s="438">
        <v>10230185</v>
      </c>
      <c r="C4" s="2118"/>
      <c r="D4" s="146"/>
      <c r="E4" s="437"/>
    </row>
    <row r="5" spans="1:5" s="442" customFormat="1" ht="19.5" customHeight="1">
      <c r="A5" s="2291" t="str">
        <f>"Inv. 7-15 år 31 dec. "&amp;År&amp;""</f>
        <v>Inv. 7-15 år 31 dec. 2018</v>
      </c>
      <c r="B5" s="438">
        <v>1083636</v>
      </c>
      <c r="C5" s="147"/>
      <c r="D5" s="146"/>
      <c r="E5" s="437"/>
    </row>
    <row r="6" spans="1:5" s="442" customFormat="1" ht="15.75">
      <c r="A6" s="2281"/>
      <c r="B6" s="146"/>
      <c r="C6" s="439"/>
      <c r="D6" s="439"/>
      <c r="E6" s="437"/>
    </row>
    <row r="7" spans="1:5" s="442" customFormat="1" ht="15.75">
      <c r="A7" s="2505"/>
      <c r="B7" s="2505"/>
      <c r="C7" s="2505"/>
      <c r="D7" s="2505"/>
      <c r="E7" s="437"/>
    </row>
    <row r="8" spans="1:5" s="442" customFormat="1" ht="22.5" customHeight="1">
      <c r="A8" s="2281"/>
      <c r="B8" s="2276"/>
      <c r="C8" s="2276"/>
      <c r="D8" s="2276"/>
      <c r="E8" s="437"/>
    </row>
    <row r="9" spans="1:5" s="442" customFormat="1" ht="12.75" customHeight="1">
      <c r="A9" s="439"/>
      <c r="B9" s="439"/>
      <c r="C9" s="439"/>
      <c r="D9" s="439"/>
      <c r="E9" s="439"/>
    </row>
    <row r="10" spans="1:5" s="442" customFormat="1">
      <c r="A10" s="439"/>
      <c r="B10" s="439"/>
      <c r="C10" s="439"/>
      <c r="D10" s="439"/>
      <c r="E10" s="439"/>
    </row>
    <row r="11" spans="1:5" s="442" customFormat="1">
      <c r="A11" s="439"/>
      <c r="B11" s="439"/>
      <c r="C11" s="439"/>
      <c r="D11" s="439"/>
      <c r="E11" s="439"/>
    </row>
    <row r="12" spans="1:5" s="442" customFormat="1" ht="33.75">
      <c r="A12" s="2501" t="s">
        <v>1313</v>
      </c>
      <c r="B12" s="2502"/>
      <c r="C12" s="2502"/>
      <c r="D12" s="2502"/>
      <c r="E12" s="437"/>
    </row>
    <row r="13" spans="1:5" s="442" customFormat="1">
      <c r="A13" s="437"/>
      <c r="B13" s="437"/>
      <c r="C13" s="437"/>
      <c r="D13" s="437"/>
      <c r="E13" s="437"/>
    </row>
    <row r="14" spans="1:5" s="442" customFormat="1" ht="33.75">
      <c r="A14" s="2501" t="s">
        <v>1314</v>
      </c>
      <c r="B14" s="2502"/>
      <c r="C14" s="2502"/>
      <c r="D14" s="2502"/>
      <c r="E14" s="437"/>
    </row>
    <row r="15" spans="1:5" s="442" customFormat="1">
      <c r="A15" s="2283"/>
      <c r="B15" s="2284"/>
      <c r="C15" s="2284"/>
      <c r="D15" s="2285"/>
      <c r="E15" s="437"/>
    </row>
    <row r="16" spans="1:5" s="442" customFormat="1">
      <c r="A16" s="2283"/>
      <c r="B16" s="2284"/>
      <c r="C16" s="2284"/>
      <c r="D16" s="2285"/>
      <c r="E16" s="437"/>
    </row>
    <row r="17" spans="1:5" s="442" customFormat="1">
      <c r="A17" s="2286"/>
      <c r="B17" s="2286"/>
      <c r="C17" s="2286"/>
      <c r="D17" s="2286"/>
      <c r="E17" s="437"/>
    </row>
    <row r="18" spans="1:5" s="442" customFormat="1" ht="15">
      <c r="A18" s="2509"/>
      <c r="B18" s="2509"/>
      <c r="C18" s="2509"/>
      <c r="D18" s="2509"/>
      <c r="E18" s="437"/>
    </row>
    <row r="19" spans="1:5" s="442" customFormat="1">
      <c r="A19" s="2510"/>
      <c r="B19" s="2510"/>
      <c r="C19" s="2510"/>
      <c r="D19" s="2510"/>
      <c r="E19" s="437"/>
    </row>
    <row r="20" spans="1:5" s="442" customFormat="1">
      <c r="A20" s="2287"/>
      <c r="B20" s="2287"/>
      <c r="C20" s="2287"/>
      <c r="D20" s="2287"/>
      <c r="E20" s="437"/>
    </row>
    <row r="21" spans="1:5" s="442" customFormat="1">
      <c r="A21" s="2283"/>
      <c r="B21" s="2284"/>
      <c r="C21" s="2284"/>
      <c r="D21" s="2285"/>
      <c r="E21" s="437"/>
    </row>
    <row r="22" spans="1:5" s="442" customFormat="1">
      <c r="A22" s="2283"/>
      <c r="B22" s="2284"/>
      <c r="C22" s="2284"/>
      <c r="D22" s="2288"/>
      <c r="E22" s="437"/>
    </row>
    <row r="23" spans="1:5" s="442" customFormat="1">
      <c r="A23" s="2283"/>
      <c r="B23" s="2284"/>
      <c r="C23" s="2284"/>
      <c r="D23" s="2285"/>
      <c r="E23" s="437"/>
    </row>
    <row r="24" spans="1:5" s="442" customFormat="1">
      <c r="A24" s="2283"/>
      <c r="B24" s="2284"/>
      <c r="C24" s="2284"/>
      <c r="D24" s="2285"/>
      <c r="E24" s="437"/>
    </row>
    <row r="25" spans="1:5" s="442" customFormat="1">
      <c r="A25" s="2283"/>
      <c r="B25" s="2284"/>
      <c r="C25" s="2284"/>
      <c r="D25" s="2285"/>
      <c r="E25" s="437"/>
    </row>
    <row r="26" spans="1:5" s="442" customFormat="1">
      <c r="A26" s="2283"/>
      <c r="B26" s="2284"/>
      <c r="C26" s="2284"/>
      <c r="D26" s="2285"/>
      <c r="E26" s="437"/>
    </row>
    <row r="27" spans="1:5" s="442" customFormat="1">
      <c r="A27" s="2511"/>
      <c r="B27" s="2511"/>
      <c r="C27" s="2511"/>
      <c r="D27" s="2511"/>
      <c r="E27" s="437"/>
    </row>
    <row r="28" spans="1:5" s="442" customFormat="1" ht="15">
      <c r="A28" s="2509"/>
      <c r="B28" s="2509"/>
      <c r="C28" s="2509"/>
      <c r="D28" s="2509"/>
      <c r="E28" s="437"/>
    </row>
    <row r="29" spans="1:5" s="442" customFormat="1">
      <c r="A29" s="2508"/>
      <c r="B29" s="2508"/>
      <c r="C29" s="2508"/>
      <c r="D29" s="2508"/>
      <c r="E29" s="437"/>
    </row>
    <row r="30" spans="1:5" s="442" customFormat="1">
      <c r="A30" s="2287"/>
      <c r="B30" s="2287"/>
      <c r="C30" s="2287"/>
      <c r="D30" s="2287"/>
      <c r="E30" s="437"/>
    </row>
    <row r="31" spans="1:5" s="442" customFormat="1">
      <c r="A31" s="2283"/>
      <c r="B31" s="2284"/>
      <c r="C31" s="2284"/>
      <c r="D31" s="2285"/>
      <c r="E31" s="437"/>
    </row>
    <row r="32" spans="1:5" s="442" customFormat="1">
      <c r="A32" s="2283"/>
      <c r="B32" s="2284"/>
      <c r="C32" s="2284"/>
      <c r="D32" s="2285"/>
      <c r="E32" s="437"/>
    </row>
    <row r="33" spans="1:5" s="442" customFormat="1">
      <c r="A33" s="2283"/>
      <c r="B33" s="2284"/>
      <c r="C33" s="2284"/>
      <c r="D33" s="2285"/>
      <c r="E33" s="437"/>
    </row>
    <row r="34" spans="1:5" s="442" customFormat="1">
      <c r="A34" s="2283"/>
      <c r="B34" s="2284"/>
      <c r="C34" s="2284"/>
      <c r="D34" s="2285"/>
      <c r="E34" s="437"/>
    </row>
    <row r="35" spans="1:5" s="442" customFormat="1">
      <c r="A35" s="2283"/>
      <c r="B35" s="2284"/>
      <c r="C35" s="2284"/>
      <c r="D35" s="2285"/>
      <c r="E35" s="437"/>
    </row>
    <row r="36" spans="1:5" s="442" customFormat="1">
      <c r="A36" s="2289"/>
      <c r="B36" s="2290"/>
      <c r="C36" s="2290"/>
      <c r="D36" s="2290"/>
      <c r="E36" s="437"/>
    </row>
    <row r="37" spans="1:5" s="442" customFormat="1">
      <c r="A37" s="440"/>
      <c r="B37" s="437"/>
      <c r="C37" s="437"/>
      <c r="D37" s="437"/>
      <c r="E37" s="437"/>
    </row>
    <row r="38" spans="1:5" s="442" customFormat="1">
      <c r="A38" s="440"/>
      <c r="B38" s="437"/>
      <c r="C38" s="437"/>
      <c r="D38" s="437"/>
      <c r="E38" s="437"/>
    </row>
    <row r="39" spans="1:5" s="442" customFormat="1">
      <c r="A39" s="440"/>
      <c r="B39" s="2506"/>
      <c r="C39" s="2506"/>
      <c r="D39" s="437"/>
      <c r="E39" s="437"/>
    </row>
    <row r="40" spans="1:5" s="442" customFormat="1">
      <c r="A40" s="440"/>
      <c r="B40" s="2506"/>
      <c r="C40" s="2506"/>
      <c r="D40" s="437"/>
      <c r="E40" s="437"/>
    </row>
    <row r="41" spans="1:5" s="442" customFormat="1">
      <c r="A41" s="440"/>
      <c r="B41" s="2507"/>
      <c r="C41" s="2507"/>
      <c r="D41" s="437"/>
      <c r="E41" s="437"/>
    </row>
    <row r="42" spans="1:5" s="442" customFormat="1">
      <c r="A42" s="440"/>
      <c r="B42" s="437"/>
      <c r="C42" s="437"/>
      <c r="D42" s="437"/>
      <c r="E42" s="437"/>
    </row>
    <row r="43" spans="1:5" s="442" customFormat="1">
      <c r="A43" s="440"/>
      <c r="B43" s="437"/>
      <c r="C43" s="437"/>
      <c r="D43" s="437"/>
      <c r="E43" s="437"/>
    </row>
    <row r="44" spans="1:5" s="442" customFormat="1">
      <c r="A44" s="440"/>
      <c r="B44" s="437"/>
      <c r="C44" s="437"/>
      <c r="D44" s="437"/>
      <c r="E44" s="437"/>
    </row>
    <row r="45" spans="1:5" s="442" customFormat="1">
      <c r="A45" s="440"/>
      <c r="B45" s="437"/>
      <c r="C45" s="437"/>
      <c r="D45" s="437"/>
      <c r="E45" s="437"/>
    </row>
    <row r="46" spans="1:5" s="442" customFormat="1">
      <c r="A46" s="440"/>
      <c r="B46" s="437"/>
      <c r="C46" s="437"/>
      <c r="D46" s="437"/>
      <c r="E46" s="437"/>
    </row>
    <row r="47" spans="1:5" s="442" customFormat="1">
      <c r="A47" s="440" t="s">
        <v>1315</v>
      </c>
      <c r="B47" s="437"/>
      <c r="C47" s="437"/>
      <c r="D47" s="437"/>
      <c r="E47" s="437"/>
    </row>
    <row r="48" spans="1:5" s="442" customFormat="1">
      <c r="A48" s="440"/>
      <c r="B48" s="437"/>
      <c r="C48" s="437"/>
      <c r="D48" s="437"/>
      <c r="E48" s="437"/>
    </row>
    <row r="49" spans="1:5" s="442" customFormat="1">
      <c r="A49" s="2282" t="s">
        <v>1316</v>
      </c>
      <c r="B49" s="437"/>
      <c r="C49" s="437"/>
      <c r="D49" s="437"/>
      <c r="E49" s="437"/>
    </row>
    <row r="50" spans="1:5" s="326" customFormat="1" ht="54.75" customHeight="1">
      <c r="A50" s="2690" t="s">
        <v>1323</v>
      </c>
      <c r="B50" s="441"/>
      <c r="C50" s="441"/>
      <c r="D50" s="441"/>
      <c r="E50" s="441"/>
    </row>
  </sheetData>
  <sheetProtection password="CBFD" sheet="1" objects="1" scenarios="1"/>
  <customSheetViews>
    <customSheetView guid="{27C9E95B-0E2B-454F-B637-1CECC9579A10}" fitToPage="1" hiddenRows="1" hiddenColumns="1" showRuler="0">
      <selection activeCell="D3" sqref="D3"/>
      <pageMargins left="0.70866141732283472" right="0.70866141732283472" top="0.74803149606299213" bottom="0.74803149606299213" header="0.31496062992125984" footer="0.31496062992125984"/>
      <pageSetup paperSize="9" scale="65" orientation="portrait" r:id="rId1"/>
      <headerFooter alignWithMargins="0"/>
    </customSheetView>
    <customSheetView guid="{99FBDEB7-DD08-4F57-81F4-3C180403E153}" fitToPage="1" hiddenRows="1" hiddenColumns="1">
      <selection activeCell="B4" sqref="B4"/>
      <pageMargins left="0.70866141732283472" right="0.70866141732283472" top="0.74803149606299213" bottom="0.74803149606299213" header="0.31496062992125984" footer="0.31496062992125984"/>
      <pageSetup paperSize="9" scale="65" orientation="portrait" r:id="rId2"/>
    </customSheetView>
    <customSheetView guid="{97D6DB71-3F4C-4C5F-8C5B-51E3EBF78932}" showPageBreaks="1" fitToPage="1" hiddenRows="1" hiddenColumns="1">
      <selection activeCell="B4" sqref="B4"/>
      <pageMargins left="0.70866141732283472" right="0.70866141732283472" top="0.74803149606299213" bottom="0.74803149606299213" header="0.31496062992125984" footer="0.31496062992125984"/>
      <pageSetup paperSize="9" scale="71" orientation="portrait" r:id="rId3"/>
    </customSheetView>
  </customSheetViews>
  <mergeCells count="10">
    <mergeCell ref="A14:D14"/>
    <mergeCell ref="A1:D1"/>
    <mergeCell ref="A7:D7"/>
    <mergeCell ref="A12:D12"/>
    <mergeCell ref="B39:C41"/>
    <mergeCell ref="A29:D29"/>
    <mergeCell ref="A18:D18"/>
    <mergeCell ref="A19:D19"/>
    <mergeCell ref="A27:D27"/>
    <mergeCell ref="A28:D28"/>
  </mergeCells>
  <phoneticPr fontId="92" type="noConversion"/>
  <hyperlinks>
    <hyperlink ref="A49" r:id="rId4"/>
  </hyperlinks>
  <pageMargins left="0.70866141732283472" right="0.48" top="0.74803149606299213" bottom="0.74803149606299213" header="0.31496062992125984" footer="0.31496062992125984"/>
  <pageSetup paperSize="9" scale="84"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60"/>
  <sheetViews>
    <sheetView showGridLines="0" zoomScaleNormal="100" workbookViewId="0">
      <pane xSplit="2" ySplit="11" topLeftCell="C12" activePane="bottomRight" state="frozen"/>
      <selection activeCell="F32" sqref="F32"/>
      <selection pane="topRight" activeCell="F32" sqref="F32"/>
      <selection pane="bottomLeft" activeCell="F32" sqref="F32"/>
      <selection pane="bottomRight" activeCell="T28" sqref="T28"/>
    </sheetView>
  </sheetViews>
  <sheetFormatPr defaultColWidth="0" defaultRowHeight="0" customHeight="1" zeroHeight="1"/>
  <cols>
    <col min="1" max="1" width="5.28515625" style="293" customWidth="1"/>
    <col min="2" max="2" width="32.7109375" style="296" customWidth="1"/>
    <col min="3" max="3" width="11.28515625" style="299" customWidth="1"/>
    <col min="4" max="4" width="9.140625" style="299" customWidth="1"/>
    <col min="5" max="7" width="8.7109375" style="299" customWidth="1"/>
    <col min="8" max="8" width="10" style="299" customWidth="1"/>
    <col min="9" max="9" width="8.7109375" style="299" customWidth="1"/>
    <col min="10" max="10" width="10" style="299" customWidth="1"/>
    <col min="11" max="11" width="9.5703125" style="299" customWidth="1"/>
    <col min="12" max="13" width="10.140625" style="299" customWidth="1"/>
    <col min="14" max="14" width="11.140625" style="299" customWidth="1"/>
    <col min="15" max="15" width="8" style="297" customWidth="1"/>
    <col min="16" max="16" width="2.5703125" style="293" customWidth="1"/>
    <col min="17" max="17" width="7.28515625" style="298" customWidth="1"/>
    <col min="18" max="18" width="18.7109375" style="293" customWidth="1"/>
    <col min="19" max="19" width="4.140625" style="293" customWidth="1"/>
    <col min="20" max="20" width="14.7109375" style="293" customWidth="1"/>
    <col min="21" max="21" width="9.140625" style="293" customWidth="1"/>
    <col min="22" max="22" width="9.140625" style="289" customWidth="1"/>
    <col min="23" max="16384" width="0" style="289" hidden="1"/>
  </cols>
  <sheetData>
    <row r="1" spans="1:23" ht="21.75">
      <c r="A1" s="140" t="str">
        <f>"Specificering vård och omsorg om äldre och personer med funktionsnedsättning "&amp;År&amp;", miljoner kronor"</f>
        <v>Specificering vård och omsorg om äldre och personer med funktionsnedsättning 2018, miljoner kronor</v>
      </c>
      <c r="B1" s="141"/>
      <c r="C1" s="141"/>
      <c r="D1" s="287"/>
      <c r="E1" s="287"/>
      <c r="F1" s="287"/>
      <c r="G1" s="287"/>
      <c r="H1" s="287"/>
      <c r="I1" s="287"/>
      <c r="J1" s="287"/>
      <c r="K1" s="287"/>
      <c r="L1" s="287"/>
      <c r="M1" s="287"/>
      <c r="N1" s="287"/>
      <c r="O1" s="543" t="s">
        <v>474</v>
      </c>
      <c r="P1" s="544" t="str">
        <f>'Kn Information'!B2</f>
        <v>RIKSTOTAL</v>
      </c>
      <c r="Q1" s="288"/>
      <c r="R1" s="287"/>
      <c r="S1" s="287"/>
      <c r="T1" s="287"/>
      <c r="U1" s="287"/>
    </row>
    <row r="2" spans="1:23" ht="12.75">
      <c r="A2" s="1793"/>
      <c r="B2" s="142"/>
      <c r="C2" s="292"/>
      <c r="D2" s="292"/>
      <c r="E2" s="292"/>
      <c r="F2" s="292"/>
      <c r="G2" s="292"/>
      <c r="H2" s="292"/>
      <c r="I2" s="292"/>
      <c r="J2" s="290"/>
      <c r="K2" s="1443"/>
      <c r="L2" s="1443"/>
      <c r="N2" s="1439"/>
      <c r="O2" s="1441"/>
      <c r="P2" s="1438"/>
      <c r="Q2" s="290"/>
      <c r="R2" s="298"/>
      <c r="T2" s="290"/>
      <c r="U2" s="290"/>
      <c r="V2" s="290"/>
    </row>
    <row r="3" spans="1:23" ht="12.75" customHeight="1" thickBot="1">
      <c r="A3" s="291"/>
      <c r="B3" s="291"/>
      <c r="C3" s="292" t="s">
        <v>652</v>
      </c>
      <c r="D3" s="292" t="s">
        <v>657</v>
      </c>
      <c r="E3" s="292" t="s">
        <v>653</v>
      </c>
      <c r="F3" s="292" t="s">
        <v>548</v>
      </c>
      <c r="G3" s="292" t="s">
        <v>654</v>
      </c>
      <c r="H3" s="292" t="s">
        <v>549</v>
      </c>
      <c r="I3" s="292" t="s">
        <v>550</v>
      </c>
      <c r="J3" s="292" t="s">
        <v>656</v>
      </c>
      <c r="K3" s="292" t="s">
        <v>655</v>
      </c>
      <c r="L3" s="292"/>
      <c r="M3" s="292"/>
      <c r="N3" s="292"/>
      <c r="O3" s="1442"/>
      <c r="P3" s="1440"/>
      <c r="Q3" s="291"/>
      <c r="R3" s="298"/>
      <c r="U3" s="291"/>
      <c r="V3" s="291"/>
    </row>
    <row r="4" spans="1:23" ht="12.75">
      <c r="A4" s="1187" t="s">
        <v>658</v>
      </c>
      <c r="B4" s="1188" t="s">
        <v>16</v>
      </c>
      <c r="C4" s="1713" t="s">
        <v>1086</v>
      </c>
      <c r="D4" s="1713"/>
      <c r="E4" s="1954"/>
      <c r="F4" s="1502" t="s">
        <v>40</v>
      </c>
      <c r="G4" s="1191"/>
      <c r="H4" s="1191"/>
      <c r="I4" s="1189"/>
      <c r="J4" s="1504" t="s">
        <v>41</v>
      </c>
      <c r="K4" s="1503" t="s">
        <v>1084</v>
      </c>
      <c r="L4" s="2158" t="s">
        <v>1195</v>
      </c>
      <c r="M4" s="1797" t="s">
        <v>1094</v>
      </c>
      <c r="N4" s="1794"/>
      <c r="O4" s="2663" t="str">
        <f>"Förändring kostnader för eget åtagande "&amp;År-1&amp;"-"&amp;År&amp;" procent"</f>
        <v>Förändring kostnader för eget åtagande 2017-2018 procent</v>
      </c>
      <c r="P4" s="1445"/>
      <c r="Q4" s="1190"/>
      <c r="R4" s="1193"/>
      <c r="S4" s="2467"/>
      <c r="T4" s="290"/>
      <c r="U4" s="290"/>
      <c r="V4" s="290"/>
      <c r="W4" s="293"/>
    </row>
    <row r="5" spans="1:23" ht="12.75" customHeight="1">
      <c r="A5" s="1194" t="s">
        <v>661</v>
      </c>
      <c r="B5" s="1195"/>
      <c r="C5" s="1454" t="s">
        <v>44</v>
      </c>
      <c r="D5" s="1454"/>
      <c r="E5" s="1948"/>
      <c r="F5" s="1196"/>
      <c r="G5" s="1197"/>
      <c r="H5" s="1197"/>
      <c r="I5" s="1198"/>
      <c r="J5" s="1505" t="s">
        <v>43</v>
      </c>
      <c r="K5" s="1816" t="s">
        <v>1102</v>
      </c>
      <c r="L5" s="2159" t="s">
        <v>46</v>
      </c>
      <c r="M5" s="1796" t="s">
        <v>1093</v>
      </c>
      <c r="N5" s="1795"/>
      <c r="O5" s="2664"/>
      <c r="P5" s="1444"/>
      <c r="Q5" s="1201"/>
      <c r="R5" s="1202"/>
      <c r="S5" s="1437"/>
      <c r="T5" s="154"/>
      <c r="U5" s="290"/>
      <c r="V5" s="290"/>
      <c r="W5" s="293"/>
    </row>
    <row r="6" spans="1:23" ht="33.75" customHeight="1">
      <c r="A6" s="1203"/>
      <c r="B6" s="1204"/>
      <c r="C6" s="1749"/>
      <c r="D6" s="2656" t="s">
        <v>1193</v>
      </c>
      <c r="E6" s="2656" t="s">
        <v>1268</v>
      </c>
      <c r="F6" s="2649" t="s">
        <v>738</v>
      </c>
      <c r="G6" s="2651" t="s">
        <v>918</v>
      </c>
      <c r="H6" s="2651" t="s">
        <v>485</v>
      </c>
      <c r="I6" s="2658" t="s">
        <v>916</v>
      </c>
      <c r="J6" s="1948"/>
      <c r="K6" s="1815" t="s">
        <v>1101</v>
      </c>
      <c r="L6" s="1955"/>
      <c r="M6" s="2105"/>
      <c r="N6" s="1812"/>
      <c r="O6" s="2664"/>
      <c r="P6" s="2661"/>
      <c r="Q6" s="2667" t="str">
        <f>"Nämnare nyckeltal"</f>
        <v>Nämnare nyckeltal</v>
      </c>
      <c r="R6" s="2668"/>
      <c r="S6" s="1437"/>
      <c r="T6" s="154"/>
      <c r="U6" s="290"/>
      <c r="V6" s="290"/>
      <c r="W6" s="293"/>
    </row>
    <row r="7" spans="1:23" ht="21" customHeight="1">
      <c r="A7" s="1206"/>
      <c r="B7" s="1204"/>
      <c r="C7" s="1454"/>
      <c r="D7" s="2660"/>
      <c r="E7" s="2657"/>
      <c r="F7" s="2650"/>
      <c r="G7" s="2652"/>
      <c r="H7" s="2653"/>
      <c r="I7" s="2659"/>
      <c r="J7" s="1948"/>
      <c r="K7" s="1801" t="s">
        <v>1095</v>
      </c>
      <c r="L7" s="1961" t="s">
        <v>1091</v>
      </c>
      <c r="M7" s="1962" t="s">
        <v>1100</v>
      </c>
      <c r="N7" s="1811" t="s">
        <v>1100</v>
      </c>
      <c r="O7" s="1810"/>
      <c r="P7" s="2670"/>
      <c r="Q7" s="2669"/>
      <c r="R7" s="2668"/>
      <c r="S7" s="2304"/>
      <c r="T7" s="154"/>
      <c r="U7" s="290"/>
      <c r="V7" s="290"/>
      <c r="W7" s="293"/>
    </row>
    <row r="8" spans="1:23" ht="12.75">
      <c r="A8" s="1206"/>
      <c r="B8" s="1207"/>
      <c r="C8" s="1199"/>
      <c r="D8" s="1948"/>
      <c r="E8" s="1748"/>
      <c r="F8" s="1205"/>
      <c r="G8" s="2138"/>
      <c r="H8" s="2138"/>
      <c r="I8" s="1508"/>
      <c r="J8" s="1948"/>
      <c r="K8" s="1453" t="s">
        <v>45</v>
      </c>
      <c r="L8" s="1963"/>
      <c r="M8" s="1964">
        <f>År</f>
        <v>2018</v>
      </c>
      <c r="N8" s="1799">
        <f>År-1</f>
        <v>2017</v>
      </c>
      <c r="O8" s="1200"/>
      <c r="P8" s="2670"/>
      <c r="Q8" s="1209"/>
      <c r="R8" s="1215"/>
      <c r="S8" s="2472"/>
      <c r="T8" s="154"/>
      <c r="U8" s="2278"/>
      <c r="V8" s="2278"/>
      <c r="W8" s="293"/>
    </row>
    <row r="9" spans="1:23" ht="20.25" customHeight="1">
      <c r="A9" s="1206"/>
      <c r="B9" s="1204"/>
      <c r="C9" s="1199"/>
      <c r="D9" s="2661" t="s">
        <v>1194</v>
      </c>
      <c r="E9" s="1761" t="s">
        <v>880</v>
      </c>
      <c r="F9" s="1760" t="s">
        <v>930</v>
      </c>
      <c r="G9" s="1759" t="s">
        <v>49</v>
      </c>
      <c r="H9" s="2654" t="s">
        <v>917</v>
      </c>
      <c r="I9" s="2473" t="s">
        <v>1322</v>
      </c>
      <c r="J9" s="1200"/>
      <c r="K9" s="1803" t="s">
        <v>1096</v>
      </c>
      <c r="L9" s="2139"/>
      <c r="M9" s="1965"/>
      <c r="N9" s="1798"/>
      <c r="O9" s="1200"/>
      <c r="P9" s="2671"/>
      <c r="Q9" s="1210"/>
      <c r="R9" s="1211"/>
      <c r="S9" s="2472"/>
      <c r="T9" s="154"/>
      <c r="U9" s="290"/>
      <c r="V9" s="290"/>
      <c r="W9" s="293"/>
    </row>
    <row r="10" spans="1:23" ht="12.75" customHeight="1">
      <c r="A10" s="1206"/>
      <c r="B10" s="1212"/>
      <c r="C10" s="1199"/>
      <c r="D10" s="2662"/>
      <c r="E10" s="1748"/>
      <c r="F10" s="1520"/>
      <c r="G10" s="1762"/>
      <c r="H10" s="2652"/>
      <c r="I10" s="1751"/>
      <c r="J10" s="1200"/>
      <c r="K10" s="1802" t="s">
        <v>50</v>
      </c>
      <c r="L10" s="1956"/>
      <c r="M10" s="1813"/>
      <c r="N10" s="1814"/>
      <c r="O10" s="1213"/>
      <c r="P10" s="2672"/>
      <c r="Q10" s="1214"/>
      <c r="R10" s="1215"/>
      <c r="S10" s="2468"/>
      <c r="T10" s="290"/>
      <c r="U10" s="290"/>
      <c r="V10" s="290"/>
      <c r="W10" s="293"/>
    </row>
    <row r="11" spans="1:23" ht="12.75">
      <c r="A11" s="1216"/>
      <c r="B11" s="1521"/>
      <c r="C11" s="1217"/>
      <c r="D11" s="1949"/>
      <c r="E11" s="1750"/>
      <c r="F11" s="1520"/>
      <c r="G11" s="1763"/>
      <c r="H11" s="2655"/>
      <c r="I11" s="1752"/>
      <c r="J11" s="1219"/>
      <c r="K11" s="1220"/>
      <c r="L11" s="1957"/>
      <c r="M11" s="1952"/>
      <c r="N11" s="1953"/>
      <c r="O11" s="1221"/>
      <c r="P11" s="2673"/>
      <c r="Q11" s="1222"/>
      <c r="R11" s="1223"/>
      <c r="S11" s="2468"/>
      <c r="T11" s="142"/>
      <c r="U11" s="290"/>
      <c r="V11" s="290"/>
      <c r="W11" s="293"/>
    </row>
    <row r="12" spans="1:23" ht="12.75">
      <c r="A12" s="1224">
        <v>510</v>
      </c>
      <c r="B12" s="1225" t="s">
        <v>507</v>
      </c>
      <c r="C12" s="355">
        <f>Drift!P73</f>
        <v>140593</v>
      </c>
      <c r="D12" s="355">
        <f>SUM(Drift!C73:D73)</f>
        <v>78114</v>
      </c>
      <c r="E12" s="355">
        <f>Drift!F73</f>
        <v>20347</v>
      </c>
      <c r="F12" s="355">
        <f>Drift!R73</f>
        <v>5049</v>
      </c>
      <c r="G12" s="355">
        <f>Drift!S73</f>
        <v>4311</v>
      </c>
      <c r="H12" s="355">
        <f>Drift!T73</f>
        <v>7865</v>
      </c>
      <c r="I12" s="355">
        <f>Motpart!Y27+Motpart!Z27</f>
        <v>251</v>
      </c>
      <c r="J12" s="355">
        <f>Drift!V73</f>
        <v>14035</v>
      </c>
      <c r="K12" s="1241">
        <f t="shared" ref="K12:K18" si="0">C12-I12-J12</f>
        <v>126307</v>
      </c>
      <c r="L12" s="1947">
        <f t="shared" ref="L12:L18" si="1">C12-SUM(F12:H12,J12)</f>
        <v>109333</v>
      </c>
      <c r="M12" s="1959">
        <f>IF(C12&gt;0,K12*1000000/Q12,"")</f>
        <v>62045.644003495581</v>
      </c>
      <c r="N12" s="1960">
        <v>60659.593070494368</v>
      </c>
      <c r="O12" s="1242"/>
      <c r="P12" s="1368"/>
      <c r="Q12" s="1243">
        <v>2035711</v>
      </c>
      <c r="R12" s="1244" t="s">
        <v>1262</v>
      </c>
      <c r="S12" s="2468"/>
      <c r="T12" s="2665"/>
      <c r="U12" s="2512"/>
      <c r="V12" s="2512"/>
      <c r="W12" s="294"/>
    </row>
    <row r="13" spans="1:23" ht="13.5" customHeight="1">
      <c r="A13" s="1226">
        <v>5101</v>
      </c>
      <c r="B13" s="1227" t="s">
        <v>460</v>
      </c>
      <c r="C13" s="143">
        <v>48868</v>
      </c>
      <c r="D13" s="143">
        <v>29422</v>
      </c>
      <c r="E13" s="143">
        <v>6634</v>
      </c>
      <c r="F13" s="143">
        <v>2392</v>
      </c>
      <c r="G13" s="143">
        <v>2</v>
      </c>
      <c r="H13" s="143">
        <v>2019</v>
      </c>
      <c r="I13" s="143">
        <v>111</v>
      </c>
      <c r="J13" s="143">
        <v>5904</v>
      </c>
      <c r="K13" s="1245">
        <f t="shared" si="0"/>
        <v>42853</v>
      </c>
      <c r="L13" s="1950">
        <f t="shared" si="1"/>
        <v>38551</v>
      </c>
      <c r="M13" s="1246">
        <f>IF(C13&gt;0,K13*1000000/Q12,"")</f>
        <v>21050.630467684263</v>
      </c>
      <c r="N13" s="1246">
        <v>20383.36192879282</v>
      </c>
      <c r="O13" s="1247">
        <f>IF(ISERROR((M13-N13)/N13),"",((M13-N13)/N13))</f>
        <v>3.2735941265355409E-2</v>
      </c>
      <c r="P13" s="2235"/>
      <c r="Q13" s="1248"/>
      <c r="R13" s="2199"/>
      <c r="S13" s="2468"/>
      <c r="T13" s="2512"/>
      <c r="U13" s="2512"/>
      <c r="V13" s="2512"/>
      <c r="W13" s="294"/>
    </row>
    <row r="14" spans="1:23" ht="13.5" customHeight="1">
      <c r="A14" s="1226">
        <v>5103</v>
      </c>
      <c r="B14" s="1227" t="s">
        <v>811</v>
      </c>
      <c r="C14" s="300">
        <v>7624</v>
      </c>
      <c r="D14" s="143">
        <v>4394</v>
      </c>
      <c r="E14" s="143">
        <v>759</v>
      </c>
      <c r="F14" s="143">
        <v>209</v>
      </c>
      <c r="G14" s="143">
        <v>44</v>
      </c>
      <c r="H14" s="143">
        <v>344</v>
      </c>
      <c r="I14" s="143">
        <v>35</v>
      </c>
      <c r="J14" s="143">
        <v>845</v>
      </c>
      <c r="K14" s="1245">
        <f t="shared" si="0"/>
        <v>6744</v>
      </c>
      <c r="L14" s="1950">
        <f t="shared" si="1"/>
        <v>6182</v>
      </c>
      <c r="M14" s="1246">
        <f>IF(C14&gt;0,K14*1000000/Q12,"")</f>
        <v>3312.8474523151863</v>
      </c>
      <c r="N14" s="1249">
        <v>3331.2630287127658</v>
      </c>
      <c r="O14" s="1247">
        <f>IF(ISERROR((M14-N14)/N14),"",((M14-N14)/N14))</f>
        <v>-5.528106378527407E-3</v>
      </c>
      <c r="P14" s="2235"/>
      <c r="Q14" s="2205"/>
      <c r="R14" s="2674" t="str">
        <f>"För minst en delv-ht inom v-het 510 redovisas varken detta år eller året innan några kostnader. Har kommunen inte verksamheten(-erna)? Lämna förklarande kommentar"</f>
        <v>För minst en delv-ht inom v-het 510 redovisas varken detta år eller året innan några kostnader. Har kommunen inte verksamheten(-erna)? Lämna förklarande kommentar</v>
      </c>
      <c r="S14" s="2468"/>
      <c r="T14" s="2512"/>
      <c r="U14" s="2512"/>
      <c r="V14" s="2512"/>
      <c r="W14" s="294"/>
    </row>
    <row r="15" spans="1:23" ht="13.5" customHeight="1">
      <c r="A15" s="1226">
        <v>5104</v>
      </c>
      <c r="B15" s="1227" t="s">
        <v>461</v>
      </c>
      <c r="C15" s="300">
        <v>1490</v>
      </c>
      <c r="D15" s="143">
        <v>841</v>
      </c>
      <c r="E15" s="143">
        <v>118</v>
      </c>
      <c r="F15" s="143">
        <v>50</v>
      </c>
      <c r="G15" s="143">
        <v>0</v>
      </c>
      <c r="H15" s="143">
        <v>124</v>
      </c>
      <c r="I15" s="143">
        <v>0</v>
      </c>
      <c r="J15" s="300">
        <v>149</v>
      </c>
      <c r="K15" s="1245">
        <f t="shared" si="0"/>
        <v>1341</v>
      </c>
      <c r="L15" s="1950">
        <f t="shared" si="1"/>
        <v>1167</v>
      </c>
      <c r="M15" s="1246">
        <f>IF(C15&gt;0,K15*1000000/Q12,"")</f>
        <v>658.73790533135593</v>
      </c>
      <c r="N15" s="1249">
        <v>651.49794680945456</v>
      </c>
      <c r="O15" s="1247">
        <f>IF(ISERROR((M15-N15)/N15),"",((M15-N15)/N15))</f>
        <v>1.111278793334227E-2</v>
      </c>
      <c r="P15" s="2235"/>
      <c r="Q15" s="2215"/>
      <c r="R15" s="2675"/>
      <c r="S15" s="2468"/>
      <c r="T15" s="2512"/>
      <c r="U15" s="2512"/>
      <c r="V15" s="2512"/>
      <c r="W15" s="294"/>
    </row>
    <row r="16" spans="1:23" ht="13.5" customHeight="1">
      <c r="A16" s="1226">
        <v>5105</v>
      </c>
      <c r="B16" s="1227" t="s">
        <v>498</v>
      </c>
      <c r="C16" s="300">
        <v>78843</v>
      </c>
      <c r="D16" s="143">
        <v>41901</v>
      </c>
      <c r="E16" s="301">
        <v>12705</v>
      </c>
      <c r="F16" s="301">
        <v>2348</v>
      </c>
      <c r="G16" s="301">
        <v>4146</v>
      </c>
      <c r="H16" s="301">
        <v>5056</v>
      </c>
      <c r="I16" s="301">
        <v>92</v>
      </c>
      <c r="J16" s="301">
        <v>6958</v>
      </c>
      <c r="K16" s="1245">
        <f t="shared" si="0"/>
        <v>71793</v>
      </c>
      <c r="L16" s="1950">
        <f t="shared" si="1"/>
        <v>60335</v>
      </c>
      <c r="M16" s="1246">
        <f>IF(C16&gt;0,K16*1000000/Q12,"")</f>
        <v>35266.793763947826</v>
      </c>
      <c r="N16" s="1250">
        <v>34541.852886081069</v>
      </c>
      <c r="O16" s="1247">
        <f>IF(ISERROR((M16-N16)/N16),"",((M16-N16)/N16))</f>
        <v>2.0987318782741897E-2</v>
      </c>
      <c r="P16" s="2235"/>
      <c r="Q16" s="2215"/>
      <c r="R16" s="2675"/>
      <c r="S16" s="2468"/>
      <c r="T16" s="289"/>
      <c r="U16" s="289"/>
      <c r="W16" s="294"/>
    </row>
    <row r="17" spans="1:23" ht="13.5" customHeight="1">
      <c r="A17" s="1226">
        <v>5106</v>
      </c>
      <c r="B17" s="1228" t="s">
        <v>105</v>
      </c>
      <c r="C17" s="300">
        <v>1851</v>
      </c>
      <c r="D17" s="143">
        <v>857</v>
      </c>
      <c r="E17" s="143">
        <v>59</v>
      </c>
      <c r="F17" s="143">
        <v>33</v>
      </c>
      <c r="G17" s="143">
        <v>27</v>
      </c>
      <c r="H17" s="143">
        <v>202</v>
      </c>
      <c r="I17" s="143">
        <v>2</v>
      </c>
      <c r="J17" s="143">
        <v>129</v>
      </c>
      <c r="K17" s="1245">
        <f t="shared" si="0"/>
        <v>1720</v>
      </c>
      <c r="L17" s="1950">
        <f t="shared" si="1"/>
        <v>1460</v>
      </c>
      <c r="M17" s="1246">
        <f>IF(C17&gt;0,K17*1000000/Q12,"")</f>
        <v>844.91364442202257</v>
      </c>
      <c r="N17" s="1246">
        <v>832.44190602279195</v>
      </c>
      <c r="O17" s="1247">
        <f>IF(ISERROR((M17-N17)/N17),"",((M17-N17)/N17))</f>
        <v>1.4982112636325092E-2</v>
      </c>
      <c r="P17" s="2235"/>
      <c r="Q17" s="2215"/>
      <c r="R17" s="2675"/>
      <c r="S17" s="2468"/>
      <c r="T17" s="289"/>
      <c r="U17" s="289"/>
      <c r="W17" s="294"/>
    </row>
    <row r="18" spans="1:23" ht="13.5" customHeight="1">
      <c r="A18" s="1226">
        <v>5109</v>
      </c>
      <c r="B18" s="1227" t="s">
        <v>381</v>
      </c>
      <c r="C18" s="300">
        <v>1917</v>
      </c>
      <c r="D18" s="143">
        <v>699</v>
      </c>
      <c r="E18" s="143">
        <v>72</v>
      </c>
      <c r="F18" s="143">
        <v>17</v>
      </c>
      <c r="G18" s="143">
        <v>92</v>
      </c>
      <c r="H18" s="143">
        <v>120</v>
      </c>
      <c r="I18" s="143">
        <v>11</v>
      </c>
      <c r="J18" s="143">
        <v>50</v>
      </c>
      <c r="K18" s="1245">
        <f t="shared" si="0"/>
        <v>1856</v>
      </c>
      <c r="L18" s="1950">
        <f t="shared" si="1"/>
        <v>1638</v>
      </c>
      <c r="M18" s="1251"/>
      <c r="N18" s="1251"/>
      <c r="O18" s="1251"/>
      <c r="P18" s="2136"/>
      <c r="Q18" s="2215"/>
      <c r="R18" s="2675"/>
      <c r="S18" s="2468"/>
      <c r="T18" s="289"/>
      <c r="U18" s="289"/>
      <c r="W18" s="294"/>
    </row>
    <row r="19" spans="1:23" ht="12.75">
      <c r="A19" s="1229">
        <v>51099</v>
      </c>
      <c r="B19" s="1230" t="s">
        <v>163</v>
      </c>
      <c r="C19" s="341">
        <f>SUM(C13:C18)</f>
        <v>140593</v>
      </c>
      <c r="D19" s="341">
        <f>SUM(D13:D18)</f>
        <v>78114</v>
      </c>
      <c r="E19" s="341">
        <f t="shared" ref="E19:J19" si="2">SUM(E13:E18)</f>
        <v>20347</v>
      </c>
      <c r="F19" s="341">
        <f t="shared" si="2"/>
        <v>5049</v>
      </c>
      <c r="G19" s="341">
        <f t="shared" si="2"/>
        <v>4311</v>
      </c>
      <c r="H19" s="341">
        <f>SUM(H13:H18)</f>
        <v>7865</v>
      </c>
      <c r="I19" s="341">
        <f t="shared" si="2"/>
        <v>251</v>
      </c>
      <c r="J19" s="341">
        <f t="shared" si="2"/>
        <v>14035</v>
      </c>
      <c r="K19" s="1253"/>
      <c r="L19" s="1958"/>
      <c r="M19" s="1254"/>
      <c r="N19" s="1254"/>
      <c r="O19" s="1254"/>
      <c r="P19" s="2137"/>
      <c r="Q19" s="2215"/>
      <c r="R19" s="2675"/>
      <c r="S19" s="2469"/>
      <c r="T19" s="289"/>
      <c r="U19" s="289"/>
      <c r="W19" s="294"/>
    </row>
    <row r="20" spans="1:23" ht="13.5" thickBot="1">
      <c r="A20" s="1231"/>
      <c r="B20" s="1872"/>
      <c r="C20" s="1255"/>
      <c r="D20" s="1255"/>
      <c r="E20" s="1255"/>
      <c r="F20" s="1255"/>
      <c r="G20" s="1255"/>
      <c r="H20" s="1255"/>
      <c r="I20" s="1255"/>
      <c r="J20" s="1255"/>
      <c r="K20" s="1255"/>
      <c r="L20" s="1967"/>
      <c r="M20" s="1256"/>
      <c r="N20" s="1256"/>
      <c r="O20" s="1256"/>
      <c r="P20" s="1257"/>
      <c r="Q20" s="1258"/>
      <c r="R20" s="1259"/>
      <c r="S20" s="2469"/>
      <c r="T20" s="289"/>
      <c r="U20" s="289"/>
      <c r="W20" s="294"/>
    </row>
    <row r="21" spans="1:23" ht="22.5" customHeight="1">
      <c r="A21" s="1232">
        <v>520</v>
      </c>
      <c r="B21" s="1233" t="s">
        <v>114</v>
      </c>
      <c r="C21" s="356">
        <f>Drift!P74</f>
        <v>15582</v>
      </c>
      <c r="D21" s="356">
        <f>SUM(Drift!C74:D74)</f>
        <v>7863</v>
      </c>
      <c r="E21" s="356">
        <f>Drift!F74</f>
        <v>3484</v>
      </c>
      <c r="F21" s="356">
        <f>Drift!R74</f>
        <v>286</v>
      </c>
      <c r="G21" s="356">
        <f>Drift!S74</f>
        <v>323</v>
      </c>
      <c r="H21" s="356">
        <f>Drift!T74</f>
        <v>797</v>
      </c>
      <c r="I21" s="356">
        <f>Motpart!Y28+Motpart!Z28</f>
        <v>40</v>
      </c>
      <c r="J21" s="356">
        <f>Drift!V74</f>
        <v>991</v>
      </c>
      <c r="K21" s="1260">
        <f t="shared" ref="K21:K28" si="3">C21-I21-J21</f>
        <v>14551</v>
      </c>
      <c r="L21" s="1260">
        <f t="shared" ref="L21:L28" si="4">C21-SUM(F21:H21,J21)</f>
        <v>13185</v>
      </c>
      <c r="M21" s="1261">
        <f>IF(C21&gt;0,K21*1000000/Q21,"")</f>
        <v>1775.7088496467254</v>
      </c>
      <c r="N21" s="1261">
        <v>1720.5860024332962</v>
      </c>
      <c r="O21" s="1262"/>
      <c r="P21" s="1369"/>
      <c r="Q21" s="1263">
        <v>8194474</v>
      </c>
      <c r="R21" s="1264" t="s">
        <v>1263</v>
      </c>
      <c r="S21" s="2468"/>
      <c r="T21" s="2470"/>
      <c r="U21" s="289"/>
      <c r="W21" s="294"/>
    </row>
    <row r="22" spans="1:23" ht="12.75">
      <c r="A22" s="1226">
        <v>5201</v>
      </c>
      <c r="B22" s="1227" t="s">
        <v>462</v>
      </c>
      <c r="C22" s="143">
        <v>4235</v>
      </c>
      <c r="D22" s="143">
        <v>2285</v>
      </c>
      <c r="E22" s="143">
        <v>767</v>
      </c>
      <c r="F22" s="143">
        <v>145</v>
      </c>
      <c r="G22" s="143">
        <v>1</v>
      </c>
      <c r="H22" s="143">
        <v>163</v>
      </c>
      <c r="I22" s="143">
        <v>8</v>
      </c>
      <c r="J22" s="143">
        <v>298</v>
      </c>
      <c r="K22" s="1265">
        <f t="shared" si="3"/>
        <v>3929</v>
      </c>
      <c r="L22" s="1950">
        <f t="shared" si="4"/>
        <v>3628</v>
      </c>
      <c r="M22" s="1249">
        <f>IF(C22&gt;0,K22*1000000/Q21,"")</f>
        <v>479.46945709999204</v>
      </c>
      <c r="N22" s="1249">
        <v>475.96183234706615</v>
      </c>
      <c r="O22" s="1247">
        <f t="shared" ref="O22:O27" si="5">IF(ISERROR((M22-N22)/N22),"",((M22-N22)/N22))</f>
        <v>7.3695504860737879E-3</v>
      </c>
      <c r="P22" s="2236"/>
      <c r="Q22" s="1248"/>
      <c r="R22" s="1266"/>
      <c r="S22" s="2468"/>
      <c r="T22" s="2665"/>
      <c r="U22" s="2666"/>
      <c r="V22" s="2666"/>
      <c r="W22" s="294"/>
    </row>
    <row r="23" spans="1:23" ht="12.75">
      <c r="A23" s="1226">
        <v>5202</v>
      </c>
      <c r="B23" s="1227" t="s">
        <v>463</v>
      </c>
      <c r="C23" s="300">
        <v>2546</v>
      </c>
      <c r="D23" s="143">
        <v>1796</v>
      </c>
      <c r="E23" s="143">
        <v>232</v>
      </c>
      <c r="F23" s="143">
        <v>20</v>
      </c>
      <c r="G23" s="143">
        <v>5</v>
      </c>
      <c r="H23" s="143">
        <v>63</v>
      </c>
      <c r="I23" s="143">
        <v>2</v>
      </c>
      <c r="J23" s="143">
        <v>158</v>
      </c>
      <c r="K23" s="1265">
        <f t="shared" si="3"/>
        <v>2386</v>
      </c>
      <c r="L23" s="1950">
        <f t="shared" si="4"/>
        <v>2300</v>
      </c>
      <c r="M23" s="1249">
        <f>IF(C23&gt;0,K23*1000000/Q21,"")</f>
        <v>291.17183116329369</v>
      </c>
      <c r="N23" s="1249">
        <v>280.62275822223449</v>
      </c>
      <c r="O23" s="1247">
        <f t="shared" si="5"/>
        <v>3.7591651539199224E-2</v>
      </c>
      <c r="P23" s="2236"/>
      <c r="Q23" s="2214"/>
      <c r="R23" s="2676" t="str">
        <f>"För minst en delv-ht inom v-het 520 redovisas varken detta år eller året innan några kostnader. Har kommunen inte verksamheten(-erna)? Lämna förklarande kommentar"</f>
        <v>För minst en delv-ht inom v-het 520 redovisas varken detta år eller året innan några kostnader. Har kommunen inte verksamheten(-erna)? Lämna förklarande kommentar</v>
      </c>
      <c r="S23" s="2468"/>
      <c r="T23" s="2666"/>
      <c r="U23" s="2666"/>
      <c r="V23" s="2666"/>
      <c r="W23" s="294"/>
    </row>
    <row r="24" spans="1:23" ht="12.75">
      <c r="A24" s="1226">
        <v>5203</v>
      </c>
      <c r="B24" s="1227" t="s">
        <v>811</v>
      </c>
      <c r="C24" s="300">
        <v>807</v>
      </c>
      <c r="D24" s="143">
        <v>287</v>
      </c>
      <c r="E24" s="143">
        <v>305</v>
      </c>
      <c r="F24" s="143">
        <v>12</v>
      </c>
      <c r="G24" s="143">
        <v>3</v>
      </c>
      <c r="H24" s="143">
        <v>41</v>
      </c>
      <c r="I24" s="143">
        <v>2</v>
      </c>
      <c r="J24" s="300">
        <v>55</v>
      </c>
      <c r="K24" s="1265">
        <f t="shared" si="3"/>
        <v>750</v>
      </c>
      <c r="L24" s="1950">
        <f t="shared" si="4"/>
        <v>696</v>
      </c>
      <c r="M24" s="1249">
        <f>IF(C24&gt;0,K24*1000000/Q21,"")</f>
        <v>91.525093617967428</v>
      </c>
      <c r="N24" s="1249">
        <v>87.748530458599461</v>
      </c>
      <c r="O24" s="1247">
        <f t="shared" si="5"/>
        <v>4.3038477563448009E-2</v>
      </c>
      <c r="P24" s="2236"/>
      <c r="Q24" s="2204"/>
      <c r="R24" s="2677"/>
      <c r="S24" s="2468"/>
      <c r="T24" s="2666"/>
      <c r="U24" s="2666"/>
      <c r="V24" s="2666"/>
      <c r="W24" s="294"/>
    </row>
    <row r="25" spans="1:23" ht="12.75">
      <c r="A25" s="2172">
        <v>5204</v>
      </c>
      <c r="B25" s="1227" t="s">
        <v>1196</v>
      </c>
      <c r="C25" s="143">
        <v>512</v>
      </c>
      <c r="D25" s="143">
        <v>296</v>
      </c>
      <c r="E25" s="143">
        <v>39</v>
      </c>
      <c r="F25" s="143">
        <v>9</v>
      </c>
      <c r="G25" s="143">
        <v>0</v>
      </c>
      <c r="H25" s="143">
        <v>33</v>
      </c>
      <c r="I25" s="143">
        <v>4</v>
      </c>
      <c r="J25" s="143">
        <v>38</v>
      </c>
      <c r="K25" s="1265">
        <f t="shared" si="3"/>
        <v>470</v>
      </c>
      <c r="L25" s="1950">
        <f t="shared" si="4"/>
        <v>432</v>
      </c>
      <c r="M25" s="1249">
        <f>IF(C25&gt;0,K25*1000000/Q21,"")</f>
        <v>57.355725333926252</v>
      </c>
      <c r="N25" s="1249">
        <v>49.296927223932279</v>
      </c>
      <c r="O25" s="1247">
        <f t="shared" si="5"/>
        <v>0.16347465377277412</v>
      </c>
      <c r="P25" s="2236"/>
      <c r="Q25" s="2204"/>
      <c r="R25" s="2677"/>
      <c r="S25" s="2468"/>
      <c r="T25" s="2666"/>
      <c r="U25" s="2666"/>
      <c r="V25" s="2666"/>
      <c r="W25" s="294"/>
    </row>
    <row r="26" spans="1:23" ht="12.75">
      <c r="A26" s="1226">
        <v>5205</v>
      </c>
      <c r="B26" s="1227" t="s">
        <v>498</v>
      </c>
      <c r="C26" s="143">
        <v>5651</v>
      </c>
      <c r="D26" s="143">
        <v>2372</v>
      </c>
      <c r="E26" s="143">
        <v>1968</v>
      </c>
      <c r="F26" s="143">
        <v>90</v>
      </c>
      <c r="G26" s="143">
        <v>273</v>
      </c>
      <c r="H26" s="143">
        <v>300</v>
      </c>
      <c r="I26" s="143">
        <v>5</v>
      </c>
      <c r="J26" s="143">
        <v>341</v>
      </c>
      <c r="K26" s="1265">
        <f t="shared" si="3"/>
        <v>5305</v>
      </c>
      <c r="L26" s="1950">
        <f t="shared" si="4"/>
        <v>4647</v>
      </c>
      <c r="M26" s="1249">
        <f>IF(C26&gt;0,K26*1000000/Q21,"")</f>
        <v>647.38749552442289</v>
      </c>
      <c r="N26" s="1249">
        <v>633.95848409976907</v>
      </c>
      <c r="O26" s="1247">
        <f t="shared" si="5"/>
        <v>2.1182793134669108E-2</v>
      </c>
      <c r="P26" s="2236"/>
      <c r="Q26" s="2204"/>
      <c r="R26" s="2677"/>
      <c r="S26" s="2468"/>
      <c r="T26" s="2471"/>
      <c r="U26" s="2471"/>
      <c r="V26" s="2471"/>
      <c r="W26" s="294"/>
    </row>
    <row r="27" spans="1:23" ht="12.75">
      <c r="A27" s="1226">
        <v>5206</v>
      </c>
      <c r="B27" s="1227" t="s">
        <v>105</v>
      </c>
      <c r="C27" s="300">
        <v>855</v>
      </c>
      <c r="D27" s="143">
        <v>439</v>
      </c>
      <c r="E27" s="143">
        <v>41</v>
      </c>
      <c r="F27" s="143">
        <v>6</v>
      </c>
      <c r="G27" s="143">
        <v>8</v>
      </c>
      <c r="H27" s="143">
        <v>108</v>
      </c>
      <c r="I27" s="143">
        <v>9</v>
      </c>
      <c r="J27" s="143">
        <v>48</v>
      </c>
      <c r="K27" s="1267">
        <f t="shared" si="3"/>
        <v>798</v>
      </c>
      <c r="L27" s="1950">
        <f t="shared" si="4"/>
        <v>685</v>
      </c>
      <c r="M27" s="1246">
        <f>IF(C27&gt;0,K27*1000000/Q21,"")</f>
        <v>97.382699609517346</v>
      </c>
      <c r="N27" s="1246">
        <v>89.720407547556746</v>
      </c>
      <c r="O27" s="1247">
        <f t="shared" si="5"/>
        <v>8.540188649833276E-2</v>
      </c>
      <c r="P27" s="2136"/>
      <c r="Q27" s="2204"/>
      <c r="R27" s="2677"/>
      <c r="S27" s="2468"/>
      <c r="T27" s="289"/>
      <c r="U27" s="289"/>
      <c r="W27" s="294"/>
    </row>
    <row r="28" spans="1:23" ht="12.75">
      <c r="A28" s="1226">
        <v>5209</v>
      </c>
      <c r="B28" s="1227" t="s">
        <v>381</v>
      </c>
      <c r="C28" s="300">
        <v>976</v>
      </c>
      <c r="D28" s="143">
        <v>388</v>
      </c>
      <c r="E28" s="143">
        <v>132</v>
      </c>
      <c r="F28" s="143">
        <v>4</v>
      </c>
      <c r="G28" s="143">
        <v>33</v>
      </c>
      <c r="H28" s="143">
        <v>89</v>
      </c>
      <c r="I28" s="143">
        <v>10</v>
      </c>
      <c r="J28" s="143">
        <v>53</v>
      </c>
      <c r="K28" s="1265">
        <f t="shared" si="3"/>
        <v>913</v>
      </c>
      <c r="L28" s="1950">
        <f t="shared" si="4"/>
        <v>797</v>
      </c>
      <c r="M28" s="1253"/>
      <c r="N28" s="1251"/>
      <c r="O28" s="1251"/>
      <c r="P28" s="2136"/>
      <c r="Q28" s="2204"/>
      <c r="R28" s="2677"/>
      <c r="S28" s="2468"/>
      <c r="T28" s="289"/>
      <c r="U28" s="289"/>
      <c r="W28" s="294"/>
    </row>
    <row r="29" spans="1:23" ht="21.75" customHeight="1">
      <c r="A29" s="1229">
        <v>52099</v>
      </c>
      <c r="B29" s="1234" t="s">
        <v>644</v>
      </c>
      <c r="C29" s="144">
        <f>SUM(C22:C28)</f>
        <v>15582</v>
      </c>
      <c r="D29" s="144">
        <f>SUM(D22:D28)</f>
        <v>7863</v>
      </c>
      <c r="E29" s="144">
        <f t="shared" ref="E29:J29" si="6">SUM(E22:E28)</f>
        <v>3484</v>
      </c>
      <c r="F29" s="144">
        <f t="shared" si="6"/>
        <v>286</v>
      </c>
      <c r="G29" s="144">
        <f t="shared" si="6"/>
        <v>323</v>
      </c>
      <c r="H29" s="144">
        <f t="shared" si="6"/>
        <v>797</v>
      </c>
      <c r="I29" s="144">
        <f t="shared" si="6"/>
        <v>40</v>
      </c>
      <c r="J29" s="144">
        <f t="shared" si="6"/>
        <v>991</v>
      </c>
      <c r="K29" s="1253"/>
      <c r="L29" s="1958"/>
      <c r="M29" s="1254"/>
      <c r="N29" s="1254"/>
      <c r="O29" s="1254"/>
      <c r="P29" s="2137"/>
      <c r="Q29" s="1252"/>
      <c r="R29" s="2677"/>
      <c r="S29" s="2468"/>
      <c r="T29" s="289"/>
      <c r="U29" s="289"/>
      <c r="W29" s="294"/>
    </row>
    <row r="30" spans="1:23" ht="13.5" thickBot="1">
      <c r="A30" s="1235"/>
      <c r="B30" s="1872"/>
      <c r="C30" s="1255"/>
      <c r="D30" s="1255"/>
      <c r="E30" s="1255"/>
      <c r="F30" s="1255"/>
      <c r="G30" s="1255"/>
      <c r="H30" s="1255"/>
      <c r="I30" s="1255"/>
      <c r="J30" s="1255"/>
      <c r="K30" s="1255"/>
      <c r="L30" s="1967"/>
      <c r="M30" s="1256"/>
      <c r="N30" s="1256"/>
      <c r="O30" s="1256"/>
      <c r="P30" s="1257"/>
      <c r="Q30" s="1258"/>
      <c r="R30" s="1259"/>
      <c r="S30" s="2468"/>
      <c r="T30" s="289"/>
      <c r="U30" s="289"/>
      <c r="W30" s="294"/>
    </row>
    <row r="31" spans="1:23" ht="12.75">
      <c r="A31" s="1236">
        <v>513</v>
      </c>
      <c r="B31" s="1237" t="s">
        <v>645</v>
      </c>
      <c r="C31" s="355">
        <f>Drift!P75</f>
        <v>65495</v>
      </c>
      <c r="D31" s="355">
        <f>SUM(Drift!C75:D75)</f>
        <v>35555</v>
      </c>
      <c r="E31" s="355">
        <f>Drift!F75</f>
        <v>12637</v>
      </c>
      <c r="F31" s="355">
        <f>Drift!R75</f>
        <v>118</v>
      </c>
      <c r="G31" s="355">
        <f>Drift!S75</f>
        <v>1256</v>
      </c>
      <c r="H31" s="356">
        <f>Drift!T75</f>
        <v>8140</v>
      </c>
      <c r="I31" s="356">
        <f>Motpart!Y29+Motpart!Z29</f>
        <v>252</v>
      </c>
      <c r="J31" s="355">
        <f>Drift!V75</f>
        <v>3703</v>
      </c>
      <c r="K31" s="1268">
        <f>C31-I31-J31-G41-G43</f>
        <v>55466</v>
      </c>
      <c r="L31" s="1966">
        <f t="shared" ref="L31:L36" si="7">C31-SUM(F31:H31,J31)</f>
        <v>52278</v>
      </c>
      <c r="M31" s="2106">
        <f>IF(C31&gt;0,K31*1000000/Q31,"")</f>
        <v>5421.7983350252216</v>
      </c>
      <c r="N31" s="2106">
        <v>5220.0332758841141</v>
      </c>
      <c r="O31" s="1247">
        <f>IF(ISERROR((M31-N31)/N31),"",((M31-N31)/N31))</f>
        <v>3.8652063785347163E-2</v>
      </c>
      <c r="P31" s="1369"/>
      <c r="Q31" s="2217">
        <v>10230185</v>
      </c>
      <c r="R31" s="1264" t="s">
        <v>538</v>
      </c>
      <c r="S31" s="2468"/>
      <c r="T31" s="2470"/>
      <c r="U31" s="289"/>
      <c r="W31" s="294"/>
    </row>
    <row r="32" spans="1:23" ht="12.75">
      <c r="A32" s="1238">
        <v>5131</v>
      </c>
      <c r="B32" s="1239" t="s">
        <v>201</v>
      </c>
      <c r="C32" s="143">
        <v>29887</v>
      </c>
      <c r="D32" s="143">
        <v>18171</v>
      </c>
      <c r="E32" s="143">
        <v>5298</v>
      </c>
      <c r="F32" s="143">
        <v>50</v>
      </c>
      <c r="G32" s="143">
        <v>1222</v>
      </c>
      <c r="H32" s="143">
        <v>761</v>
      </c>
      <c r="I32" s="143">
        <v>52</v>
      </c>
      <c r="J32" s="143">
        <v>1779</v>
      </c>
      <c r="K32" s="1265">
        <f>C32-I32-J32</f>
        <v>28056</v>
      </c>
      <c r="L32" s="1958">
        <f t="shared" si="7"/>
        <v>26075</v>
      </c>
      <c r="M32" s="1249">
        <f>IF(C32&gt;0,K32*1000000/Q32,"")</f>
        <v>3734.0433729846968</v>
      </c>
      <c r="N32" s="1249">
        <v>3577.4349637979399</v>
      </c>
      <c r="O32" s="1247">
        <f>IF(ISERROR((M32-N32)/N32),"",((M32-N32)/N32))</f>
        <v>4.377673130932213E-2</v>
      </c>
      <c r="P32" s="2236"/>
      <c r="Q32" s="2218">
        <v>7513571</v>
      </c>
      <c r="R32" s="1269" t="s">
        <v>1264</v>
      </c>
      <c r="S32" s="2468"/>
      <c r="T32" s="2665"/>
      <c r="U32" s="2665"/>
      <c r="V32" s="2665"/>
      <c r="W32" s="294"/>
    </row>
    <row r="33" spans="1:23" ht="12.75">
      <c r="A33" s="1238">
        <v>5132</v>
      </c>
      <c r="B33" s="1240" t="s">
        <v>566</v>
      </c>
      <c r="C33" s="300">
        <v>2059</v>
      </c>
      <c r="D33" s="143">
        <v>611</v>
      </c>
      <c r="E33" s="143">
        <v>1173</v>
      </c>
      <c r="F33" s="143">
        <v>6</v>
      </c>
      <c r="G33" s="143">
        <v>13</v>
      </c>
      <c r="H33" s="143">
        <v>163</v>
      </c>
      <c r="I33" s="143">
        <v>61</v>
      </c>
      <c r="J33" s="143">
        <v>71</v>
      </c>
      <c r="K33" s="1265">
        <f>C33-I33-J33</f>
        <v>1927</v>
      </c>
      <c r="L33" s="1958">
        <f t="shared" si="7"/>
        <v>1806</v>
      </c>
      <c r="M33" s="1249">
        <f>IF(C33&gt;0,K33*1000000/Q33,"")</f>
        <v>709.33890497509026</v>
      </c>
      <c r="N33" s="1249">
        <v>672.92144731363953</v>
      </c>
      <c r="O33" s="1247">
        <f>IF(ISERROR((M33-N33)/N33),"",((M33-N33)/N33))</f>
        <v>5.4118438053702048E-2</v>
      </c>
      <c r="P33" s="2236"/>
      <c r="Q33" s="2107">
        <v>2716614</v>
      </c>
      <c r="R33" s="1270" t="s">
        <v>1265</v>
      </c>
      <c r="S33" s="2468"/>
      <c r="T33" s="2665"/>
      <c r="U33" s="2665"/>
      <c r="V33" s="2665"/>
      <c r="W33" s="294"/>
    </row>
    <row r="34" spans="1:23" ht="12.75">
      <c r="A34" s="1238">
        <v>5133</v>
      </c>
      <c r="B34" s="1239" t="s">
        <v>646</v>
      </c>
      <c r="C34" s="300">
        <v>18241</v>
      </c>
      <c r="D34" s="143">
        <v>8696</v>
      </c>
      <c r="E34" s="143">
        <v>3801</v>
      </c>
      <c r="F34" s="143">
        <v>9</v>
      </c>
      <c r="G34" s="143">
        <v>12</v>
      </c>
      <c r="H34" s="143">
        <v>6402</v>
      </c>
      <c r="I34" s="143">
        <v>18</v>
      </c>
      <c r="J34" s="300">
        <v>311</v>
      </c>
      <c r="K34" s="1265">
        <f>C34-I34-J34</f>
        <v>17912</v>
      </c>
      <c r="L34" s="1958">
        <f t="shared" si="7"/>
        <v>11507</v>
      </c>
      <c r="M34" s="1249">
        <f>IF(C34&gt;0,K34*1000000/Q34,"")</f>
        <v>1750.896977913889</v>
      </c>
      <c r="N34" s="1249">
        <v>1754.0094396952168</v>
      </c>
      <c r="O34" s="1247">
        <f>IF(ISERROR((M34-N34)/N34),"",((M34-N34)/N34))</f>
        <v>-1.7744840540131707E-3</v>
      </c>
      <c r="P34" s="2236"/>
      <c r="Q34" s="2107">
        <v>10230185</v>
      </c>
      <c r="R34" s="1270" t="s">
        <v>538</v>
      </c>
      <c r="S34" s="2468"/>
      <c r="T34" s="2665"/>
      <c r="U34" s="2665"/>
      <c r="V34" s="2665"/>
      <c r="W34" s="294"/>
    </row>
    <row r="35" spans="1:23" ht="12.75">
      <c r="A35" s="1238">
        <v>5135</v>
      </c>
      <c r="B35" s="1227" t="s">
        <v>164</v>
      </c>
      <c r="C35" s="300">
        <v>9623</v>
      </c>
      <c r="D35" s="143">
        <v>4681</v>
      </c>
      <c r="E35" s="301">
        <v>1665</v>
      </c>
      <c r="F35" s="301">
        <v>29</v>
      </c>
      <c r="G35" s="301">
        <v>4</v>
      </c>
      <c r="H35" s="301">
        <v>616</v>
      </c>
      <c r="I35" s="301">
        <v>39</v>
      </c>
      <c r="J35" s="301">
        <v>931</v>
      </c>
      <c r="K35" s="1265">
        <f>C35-I35-J35</f>
        <v>8653</v>
      </c>
      <c r="L35" s="1958">
        <f t="shared" si="7"/>
        <v>8043</v>
      </c>
      <c r="M35" s="1249">
        <f>IF(C35&gt;0,K35*1000000/Q35,"")</f>
        <v>1579.6314619212612</v>
      </c>
      <c r="N35" s="1249">
        <v>1499.7817193149854</v>
      </c>
      <c r="O35" s="1247">
        <f>IF(ISERROR((M35-N35)/N35),"",((M35-N35)/N35))</f>
        <v>5.324090937896394E-2</v>
      </c>
      <c r="P35" s="2236"/>
      <c r="Q35" s="2107">
        <v>5477860</v>
      </c>
      <c r="R35" s="1270" t="s">
        <v>1266</v>
      </c>
      <c r="S35" s="2468"/>
      <c r="T35" s="2665"/>
      <c r="U35" s="2665"/>
      <c r="V35" s="2665"/>
      <c r="W35" s="294"/>
    </row>
    <row r="36" spans="1:23" ht="12.75">
      <c r="A36" s="1238">
        <v>5139</v>
      </c>
      <c r="B36" s="1227" t="s">
        <v>165</v>
      </c>
      <c r="C36" s="300">
        <v>5685</v>
      </c>
      <c r="D36" s="143">
        <v>3396</v>
      </c>
      <c r="E36" s="143">
        <v>700</v>
      </c>
      <c r="F36" s="143">
        <v>24</v>
      </c>
      <c r="G36" s="143">
        <v>5</v>
      </c>
      <c r="H36" s="143">
        <v>198</v>
      </c>
      <c r="I36" s="143">
        <v>82</v>
      </c>
      <c r="J36" s="143">
        <v>611</v>
      </c>
      <c r="K36" s="1265">
        <f>C36-I36-J36</f>
        <v>4992</v>
      </c>
      <c r="L36" s="1950">
        <f t="shared" si="7"/>
        <v>4847</v>
      </c>
      <c r="M36" s="1253"/>
      <c r="N36" s="1251"/>
      <c r="O36" s="1251"/>
      <c r="P36" s="2136"/>
      <c r="Q36" s="2219" t="str">
        <f>"På minst en delv-ht inom v-het 513 redovisas varken detta år eller året innan lämnat några kostnader. Har kommunen inte denna/dessa verksamhet(er)? Lämna förklarande kommentar"</f>
        <v>På minst en delv-ht inom v-het 513 redovisas varken detta år eller året innan lämnat några kostnader. Har kommunen inte denna/dessa verksamhet(er)? Lämna förklarande kommentar</v>
      </c>
      <c r="R36" s="2678" t="str">
        <f>"För minst en delv-ht inom v-het 513 redovisas varken detta år eller året innan några kostnader. Har kommunen inte verksamheten(-erna)? Lämna förklarande kommentar"</f>
        <v>För minst en delv-ht inom v-het 513 redovisas varken detta år eller året innan några kostnader. Har kommunen inte verksamheten(-erna)? Lämna förklarande kommentar</v>
      </c>
      <c r="S36" s="2468"/>
      <c r="T36" s="289"/>
      <c r="U36" s="289"/>
      <c r="W36" s="294"/>
    </row>
    <row r="37" spans="1:23" ht="17.25" customHeight="1">
      <c r="A37" s="1229">
        <v>51399</v>
      </c>
      <c r="B37" s="1230" t="s">
        <v>647</v>
      </c>
      <c r="C37" s="341">
        <f t="shared" ref="C37:J37" si="8">SUM(C32:C36)</f>
        <v>65495</v>
      </c>
      <c r="D37" s="341">
        <f>SUM(D32:D36)</f>
        <v>35555</v>
      </c>
      <c r="E37" s="341">
        <f t="shared" si="8"/>
        <v>12637</v>
      </c>
      <c r="F37" s="341">
        <f t="shared" si="8"/>
        <v>118</v>
      </c>
      <c r="G37" s="341">
        <f t="shared" si="8"/>
        <v>1256</v>
      </c>
      <c r="H37" s="341">
        <f t="shared" si="8"/>
        <v>8140</v>
      </c>
      <c r="I37" s="341">
        <f t="shared" si="8"/>
        <v>252</v>
      </c>
      <c r="J37" s="342">
        <f t="shared" si="8"/>
        <v>3703</v>
      </c>
      <c r="K37" s="1253"/>
      <c r="L37" s="1254"/>
      <c r="M37" s="1254"/>
      <c r="N37" s="1254"/>
      <c r="O37" s="1254"/>
      <c r="P37" s="2137"/>
      <c r="Q37" s="2220"/>
      <c r="R37" s="2679"/>
      <c r="S37" s="2469"/>
      <c r="T37" s="289"/>
      <c r="U37" s="289"/>
      <c r="W37" s="294"/>
    </row>
    <row r="38" spans="1:23" ht="13.5" thickBot="1">
      <c r="A38" s="1231"/>
      <c r="B38" s="1872"/>
      <c r="C38" s="1255"/>
      <c r="D38" s="1255"/>
      <c r="E38" s="1255"/>
      <c r="F38" s="1255"/>
      <c r="G38" s="1255"/>
      <c r="H38" s="1255"/>
      <c r="I38" s="1255"/>
      <c r="J38" s="1255"/>
      <c r="K38" s="1255"/>
      <c r="L38" s="1951"/>
      <c r="M38" s="1256"/>
      <c r="N38" s="1256"/>
      <c r="O38" s="1256"/>
      <c r="P38" s="1257"/>
      <c r="Q38" s="2216"/>
      <c r="R38" s="2680"/>
      <c r="S38" s="2469"/>
      <c r="T38" s="289"/>
      <c r="U38" s="289"/>
      <c r="W38" s="294"/>
    </row>
    <row r="39" spans="1:23" ht="12.75">
      <c r="A39" s="296"/>
      <c r="B39" s="322" t="s">
        <v>650</v>
      </c>
      <c r="C39" s="322"/>
      <c r="D39" s="322"/>
      <c r="E39" s="322"/>
      <c r="F39" s="322"/>
      <c r="G39" s="322"/>
      <c r="H39" s="322"/>
      <c r="I39" s="322"/>
      <c r="J39" s="2020"/>
      <c r="K39" s="2020"/>
      <c r="L39" s="2020"/>
      <c r="M39" s="2020"/>
      <c r="N39" s="2020"/>
      <c r="O39" s="2021"/>
      <c r="P39" s="2053"/>
      <c r="Q39" s="2020"/>
      <c r="R39" s="295"/>
      <c r="S39" s="289"/>
      <c r="T39" s="289"/>
      <c r="U39" s="289"/>
    </row>
    <row r="40" spans="1:23" ht="12.75">
      <c r="B40" s="322" t="s">
        <v>648</v>
      </c>
      <c r="C40" s="323"/>
      <c r="D40" s="323"/>
      <c r="E40" s="323"/>
      <c r="F40" s="323"/>
      <c r="G40" s="324"/>
      <c r="H40" s="324"/>
      <c r="I40" s="324"/>
      <c r="J40" s="324"/>
      <c r="K40" s="296"/>
      <c r="L40" s="296"/>
      <c r="M40" s="296"/>
      <c r="N40" s="296"/>
      <c r="S40" s="290"/>
      <c r="T40" s="290"/>
      <c r="U40" s="290"/>
    </row>
    <row r="41" spans="1:23" ht="12.75">
      <c r="B41" s="1271" t="s">
        <v>169</v>
      </c>
      <c r="C41" s="1272"/>
      <c r="D41" s="1272"/>
      <c r="E41" s="1273"/>
      <c r="F41" s="1274"/>
      <c r="G41" s="145">
        <f>'Verks int o kostn'!D20</f>
        <v>6064</v>
      </c>
      <c r="H41" s="2237" t="str">
        <f>IF(C31=0,"",IF(G41=0,"Belopp saknas",IF(OR(G41&lt;100,G41&gt;H34),"Ersättningen till FK ska ovan ingå på rad 5133 kol. H","")))</f>
        <v/>
      </c>
      <c r="I41" s="296"/>
      <c r="J41" s="296"/>
      <c r="K41" s="296"/>
      <c r="L41" s="296"/>
      <c r="M41" s="296"/>
      <c r="N41" s="296"/>
      <c r="S41" s="290"/>
      <c r="T41" s="290"/>
      <c r="U41" s="290"/>
    </row>
    <row r="42" spans="1:23" ht="12.75">
      <c r="B42" s="1271" t="s">
        <v>170</v>
      </c>
      <c r="C42" s="1272"/>
      <c r="D42" s="1272"/>
      <c r="E42" s="1273"/>
      <c r="F42" s="1274"/>
      <c r="G42" s="145">
        <f>'Verks int o kostn'!I41</f>
        <v>4362</v>
      </c>
      <c r="H42" s="2237" t="str">
        <f>IF(C31=0,"",IF(G42=0,"Belopp saknas",IF(OR(G42&lt;100,G42&gt;C34),"Ersättningen till FK ska ovan ingå på rad 5133, kol C","")))</f>
        <v/>
      </c>
      <c r="I42" s="296"/>
      <c r="J42" s="296"/>
      <c r="K42" s="296"/>
      <c r="L42" s="296"/>
      <c r="M42" s="296"/>
      <c r="N42" s="296"/>
      <c r="S42" s="290"/>
      <c r="T42" s="290"/>
      <c r="U42" s="290"/>
    </row>
    <row r="43" spans="1:23" ht="12.75">
      <c r="A43" s="457">
        <v>51398</v>
      </c>
      <c r="B43" s="1275" t="s">
        <v>197</v>
      </c>
      <c r="C43" s="1272"/>
      <c r="D43" s="1272"/>
      <c r="E43" s="1273"/>
      <c r="F43" s="1274"/>
      <c r="G43" s="143">
        <v>10</v>
      </c>
      <c r="H43" s="339"/>
      <c r="I43" s="296"/>
      <c r="J43" s="296"/>
      <c r="K43" s="296"/>
      <c r="L43" s="296"/>
      <c r="M43" s="296"/>
      <c r="N43" s="296"/>
      <c r="S43" s="290"/>
      <c r="T43" s="290"/>
      <c r="U43" s="290"/>
    </row>
    <row r="44" spans="1:23" ht="13.5" thickBot="1">
      <c r="E44" s="450" t="s">
        <v>778</v>
      </c>
      <c r="F44" s="450" t="s">
        <v>779</v>
      </c>
      <c r="G44" s="450" t="s">
        <v>780</v>
      </c>
      <c r="H44" s="450" t="s">
        <v>781</v>
      </c>
      <c r="I44" s="450" t="s">
        <v>782</v>
      </c>
      <c r="J44" s="450" t="s">
        <v>783</v>
      </c>
      <c r="K44" s="450" t="s">
        <v>784</v>
      </c>
      <c r="L44" s="450" t="s">
        <v>785</v>
      </c>
      <c r="M44" s="450" t="s">
        <v>786</v>
      </c>
    </row>
    <row r="45" spans="1:23" ht="14.25" customHeight="1">
      <c r="A45" s="2643" t="s">
        <v>897</v>
      </c>
      <c r="B45" s="2644"/>
      <c r="C45" s="1431" t="s">
        <v>859</v>
      </c>
      <c r="D45" s="1276" t="s">
        <v>132</v>
      </c>
      <c r="E45" s="1189" t="s">
        <v>203</v>
      </c>
      <c r="F45" s="1189" t="s">
        <v>511</v>
      </c>
      <c r="G45" s="1189" t="s">
        <v>204</v>
      </c>
      <c r="H45" s="1189" t="s">
        <v>129</v>
      </c>
      <c r="I45" s="1276" t="s">
        <v>475</v>
      </c>
      <c r="J45" s="1189" t="s">
        <v>131</v>
      </c>
      <c r="K45" s="2647" t="s">
        <v>912</v>
      </c>
      <c r="L45" s="1189" t="s">
        <v>130</v>
      </c>
      <c r="M45" s="1189" t="s">
        <v>156</v>
      </c>
      <c r="N45" s="1192"/>
      <c r="O45" s="1191"/>
      <c r="P45" s="1277"/>
      <c r="R45" s="302"/>
      <c r="S45" s="294"/>
      <c r="T45" s="294"/>
      <c r="U45" s="294"/>
    </row>
    <row r="46" spans="1:23" ht="12.75">
      <c r="A46" s="2645"/>
      <c r="B46" s="2646"/>
      <c r="C46" s="1506" t="s">
        <v>882</v>
      </c>
      <c r="D46" s="1195"/>
      <c r="E46" s="1278" t="s">
        <v>133</v>
      </c>
      <c r="F46" s="1278" t="s">
        <v>202</v>
      </c>
      <c r="G46" s="1278" t="s">
        <v>134</v>
      </c>
      <c r="H46" s="1278"/>
      <c r="I46" s="1195"/>
      <c r="J46" s="1278" t="s">
        <v>136</v>
      </c>
      <c r="K46" s="2648"/>
      <c r="L46" s="1278" t="s">
        <v>135</v>
      </c>
      <c r="M46" s="1278"/>
      <c r="N46" s="1204"/>
      <c r="O46" s="1209"/>
      <c r="P46" s="1279"/>
      <c r="R46" s="2665"/>
      <c r="S46" s="2547"/>
      <c r="T46" s="2547"/>
      <c r="U46" s="294"/>
    </row>
    <row r="47" spans="1:23" ht="30" customHeight="1">
      <c r="A47" s="2645"/>
      <c r="B47" s="2646"/>
      <c r="C47" s="1753"/>
      <c r="D47" s="1436"/>
      <c r="E47" s="1754" t="s">
        <v>846</v>
      </c>
      <c r="F47" s="1737" t="s">
        <v>847</v>
      </c>
      <c r="G47" s="1737" t="s">
        <v>848</v>
      </c>
      <c r="H47" s="1737" t="s">
        <v>849</v>
      </c>
      <c r="I47" s="1737" t="s">
        <v>850</v>
      </c>
      <c r="J47" s="1737" t="s">
        <v>851</v>
      </c>
      <c r="K47" s="1737" t="s">
        <v>852</v>
      </c>
      <c r="L47" s="1737" t="s">
        <v>853</v>
      </c>
      <c r="M47" s="1737" t="s">
        <v>854</v>
      </c>
      <c r="N47" s="1204"/>
      <c r="O47" s="1209"/>
      <c r="P47" s="1279"/>
      <c r="R47" s="2547"/>
      <c r="S47" s="2547"/>
      <c r="T47" s="2547"/>
      <c r="U47" s="294"/>
    </row>
    <row r="48" spans="1:23" ht="6.75" customHeight="1">
      <c r="A48" s="1676"/>
      <c r="B48" s="1677"/>
      <c r="C48" s="1755"/>
      <c r="D48" s="1756"/>
      <c r="E48" s="1757"/>
      <c r="F48" s="1757"/>
      <c r="G48" s="1757"/>
      <c r="H48" s="1757"/>
      <c r="I48" s="1758"/>
      <c r="J48" s="1757"/>
      <c r="K48" s="1758"/>
      <c r="L48" s="1757"/>
      <c r="M48" s="1278"/>
      <c r="N48" s="1204"/>
      <c r="O48" s="1209"/>
      <c r="P48" s="1279"/>
      <c r="R48" s="2547"/>
      <c r="S48" s="2547"/>
      <c r="T48" s="2547"/>
      <c r="U48" s="294"/>
    </row>
    <row r="49" spans="1:21" ht="12" customHeight="1">
      <c r="A49" s="1280">
        <v>510</v>
      </c>
      <c r="B49" s="1281" t="s">
        <v>534</v>
      </c>
      <c r="C49" s="451">
        <f>E12</f>
        <v>20347</v>
      </c>
      <c r="D49" s="2474"/>
      <c r="E49" s="451">
        <f>Motpart!D27</f>
        <v>1816</v>
      </c>
      <c r="F49" s="451">
        <f>Motpart!E27</f>
        <v>420</v>
      </c>
      <c r="G49" s="451">
        <f>Motpart!F27</f>
        <v>16907</v>
      </c>
      <c r="H49" s="451">
        <f>Motpart!G27</f>
        <v>166</v>
      </c>
      <c r="I49" s="451">
        <f>Motpart!H27</f>
        <v>246</v>
      </c>
      <c r="J49" s="451">
        <f>Motpart!I27</f>
        <v>7</v>
      </c>
      <c r="K49" s="2130"/>
      <c r="L49" s="451">
        <f>Motpart!K27</f>
        <v>783</v>
      </c>
      <c r="M49" s="455">
        <f>Motpart!L27</f>
        <v>2</v>
      </c>
      <c r="N49" s="2238" t="str">
        <f>IF(SUM(E50:E52)&gt;E49+2,ROUND(SUM(E50:E52)-E49,0)&amp; " tkr för mycket fördelat i kolumn Föreningar, stiftelser",IF(SUM(F50:F52)&gt;F49+2,ROUND(SUM(F50:F52)-F49,0)&amp; " tkr för mycket fördelat i kolumn Kommunägda företag",IF(SUM(G50:G52)&gt;G49+2,ROUND(SUM(G50:G52)-G49,0)&amp; " tkr för mycket fördelat i kolumn Privata företag",IF(SUM(H50:H52)&gt;H49+2,ROUND(SUM(H50:H52)-H49,0)&amp; " tkr för mycket fördelat i kolumn Kommuner",IF(SUM(I50:I52)&gt;I49+2,ROUND(SUM(I50:I52)-I49,0)&amp; " tkr för mycket fördelat i kolumn Landsting"," ")))))</f>
        <v xml:space="preserve"> </v>
      </c>
      <c r="O49" s="346"/>
      <c r="P49" s="350"/>
      <c r="R49" s="294"/>
      <c r="S49" s="294"/>
      <c r="T49" s="294"/>
      <c r="U49" s="294"/>
    </row>
    <row r="50" spans="1:21" ht="12.75">
      <c r="A50" s="1238">
        <v>5101</v>
      </c>
      <c r="B50" s="1282" t="s">
        <v>460</v>
      </c>
      <c r="C50" s="452">
        <f>E13</f>
        <v>6634</v>
      </c>
      <c r="D50" s="2475"/>
      <c r="E50" s="143">
        <v>245</v>
      </c>
      <c r="F50" s="143">
        <v>180</v>
      </c>
      <c r="G50" s="143">
        <v>5880</v>
      </c>
      <c r="H50" s="143">
        <v>63</v>
      </c>
      <c r="I50" s="143">
        <v>35</v>
      </c>
      <c r="J50" s="143">
        <v>1</v>
      </c>
      <c r="K50" s="2131">
        <v>0</v>
      </c>
      <c r="L50" s="143">
        <v>230</v>
      </c>
      <c r="M50" s="345">
        <v>0</v>
      </c>
      <c r="N50" s="2239" t="str">
        <f>IF(SUM(J50:J52)&gt;J49+2,ROUND(SUM(J50:J52)-J49,0)&amp;" tkr för mycket fördelat i kolumn Staten och staliga myndigheter",IF(SUM(L50:L52)&gt;L49+2,ROUND(SUM(L50:L52)-L49,0)&amp; " tkr för mycket fördelat i kolumn Kommunalförbund",IF(SUM(M50:M52)&gt;M49+2,ROUND(SUM(M50:M52)-M49,0)&amp; " tkr för mycket fördelat i kolumn Utlandet"," ")))</f>
        <v xml:space="preserve"> </v>
      </c>
      <c r="O50" s="347"/>
      <c r="P50" s="351"/>
      <c r="R50" s="294"/>
      <c r="S50" s="294"/>
      <c r="T50" s="294"/>
      <c r="U50" s="294"/>
    </row>
    <row r="51" spans="1:21" ht="12.75">
      <c r="A51" s="1238">
        <v>5103</v>
      </c>
      <c r="B51" s="1283" t="s">
        <v>459</v>
      </c>
      <c r="C51" s="452">
        <f>E14</f>
        <v>759</v>
      </c>
      <c r="D51" s="2476"/>
      <c r="E51" s="143">
        <v>36</v>
      </c>
      <c r="F51" s="143">
        <v>28</v>
      </c>
      <c r="G51" s="143">
        <v>503</v>
      </c>
      <c r="H51" s="143">
        <v>18</v>
      </c>
      <c r="I51" s="143">
        <v>152</v>
      </c>
      <c r="J51" s="143">
        <v>0</v>
      </c>
      <c r="K51" s="2131">
        <v>0</v>
      </c>
      <c r="L51" s="143">
        <v>22</v>
      </c>
      <c r="M51" s="333">
        <v>0</v>
      </c>
      <c r="N51" s="2240"/>
      <c r="O51" s="348"/>
      <c r="P51" s="351"/>
      <c r="R51" s="294"/>
      <c r="S51" s="294"/>
      <c r="T51" s="294"/>
      <c r="U51" s="294"/>
    </row>
    <row r="52" spans="1:21" ht="12.75">
      <c r="A52" s="1284">
        <v>5105</v>
      </c>
      <c r="B52" s="1218" t="s">
        <v>498</v>
      </c>
      <c r="C52" s="453">
        <f>E16</f>
        <v>12705</v>
      </c>
      <c r="D52" s="2477"/>
      <c r="E52" s="332">
        <v>1511</v>
      </c>
      <c r="F52" s="332">
        <v>197</v>
      </c>
      <c r="G52" s="332">
        <v>10358</v>
      </c>
      <c r="H52" s="332">
        <v>71</v>
      </c>
      <c r="I52" s="332">
        <v>48</v>
      </c>
      <c r="J52" s="332">
        <v>5</v>
      </c>
      <c r="K52" s="2132">
        <v>0</v>
      </c>
      <c r="L52" s="332">
        <v>514</v>
      </c>
      <c r="M52" s="334">
        <v>1</v>
      </c>
      <c r="N52" s="2241"/>
      <c r="O52" s="531"/>
      <c r="P52" s="532"/>
    </row>
    <row r="53" spans="1:21" ht="12.75">
      <c r="A53" s="1285">
        <v>520</v>
      </c>
      <c r="B53" s="1212" t="s">
        <v>469</v>
      </c>
      <c r="C53" s="451">
        <f>E21</f>
        <v>3484</v>
      </c>
      <c r="D53" s="2475"/>
      <c r="E53" s="451">
        <f>Motpart!D28</f>
        <v>234</v>
      </c>
      <c r="F53" s="451">
        <f>Motpart!E28</f>
        <v>15</v>
      </c>
      <c r="G53" s="451">
        <f>Motpart!F28</f>
        <v>3062</v>
      </c>
      <c r="H53" s="451">
        <f>Motpart!G28</f>
        <v>49</v>
      </c>
      <c r="I53" s="451">
        <f>Motpart!H28</f>
        <v>36</v>
      </c>
      <c r="J53" s="451">
        <f>Motpart!I28</f>
        <v>6</v>
      </c>
      <c r="K53" s="2130"/>
      <c r="L53" s="451">
        <f>Motpart!K28</f>
        <v>82</v>
      </c>
      <c r="M53" s="451">
        <f>Motpart!L28</f>
        <v>0</v>
      </c>
      <c r="N53" s="2242" t="str">
        <f>IF(SUM(E54:E56)&gt;E53+2,ROUND(SUM(E54:E56)-E53,0)&amp; " tkr för mycket fördelat i kolumn Föreningar, stiftelser",IF(SUM(F54:F56)&gt;F53+2,ROUND(SUM(F54:F56)-F53,0)&amp; " tkr för mycket fördelat i kolumn Kommunägda företag",IF(SUM(G54:G56)&gt;G53+2,ROUND(SUM(G54:G56)-G53,0)&amp; " tkr för mycket fördelat i kolumn Privata företag",IF(SUM(H54:H56)&gt;H53+2,ROUND(SUM(H54:H56)-H53,0)&amp; " tkr för mycket fördelat i kolumn Kommuner",IF(SUM(I54:I56)&gt;I53+2,ROUND(SUM(I54:I56)-I53,0)&amp; " tkr för mycket fördelat i kolumn Landsting"," ")))))</f>
        <v xml:space="preserve"> </v>
      </c>
      <c r="O53" s="346"/>
      <c r="P53" s="350"/>
    </row>
    <row r="54" spans="1:21" ht="12.75">
      <c r="A54" s="1238">
        <v>5201</v>
      </c>
      <c r="B54" s="1282" t="s">
        <v>462</v>
      </c>
      <c r="C54" s="452">
        <f>E22</f>
        <v>767</v>
      </c>
      <c r="D54" s="2476"/>
      <c r="E54" s="143">
        <v>18</v>
      </c>
      <c r="F54" s="143">
        <v>5</v>
      </c>
      <c r="G54" s="143">
        <v>728</v>
      </c>
      <c r="H54" s="143">
        <v>7</v>
      </c>
      <c r="I54" s="143">
        <v>3</v>
      </c>
      <c r="J54" s="143">
        <v>0</v>
      </c>
      <c r="K54" s="2131">
        <v>0</v>
      </c>
      <c r="L54" s="143">
        <v>6</v>
      </c>
      <c r="M54" s="333">
        <v>0</v>
      </c>
      <c r="N54" s="2243" t="str">
        <f>IF(SUM(J54:J56)&gt;J53+2,ROUND(SUM(J54:J56)-J53,0)&amp;" tkr för mycket fördelat i kolumn Staten och staliga myndigheter",IF(SUM(L54:L56)&gt;L53+2,ROUND(SUM(L54:L56)-L53,0)&amp;" tkr för mycket fördelat i kolumn Kommunalförbund",IF(SUM(M54:M56)&gt;M53+2,ROUND(SUM(M54:M56)-M53,0)&amp;" tkr för mycket fördelat i kolumn Utlandet"," ")))</f>
        <v xml:space="preserve"> </v>
      </c>
      <c r="O54" s="348"/>
      <c r="P54" s="351"/>
    </row>
    <row r="55" spans="1:21" ht="12.75">
      <c r="A55" s="1238">
        <v>5203</v>
      </c>
      <c r="B55" s="1282" t="s">
        <v>459</v>
      </c>
      <c r="C55" s="452">
        <f>E24</f>
        <v>305</v>
      </c>
      <c r="D55" s="2476"/>
      <c r="E55" s="143">
        <v>27</v>
      </c>
      <c r="F55" s="143">
        <v>0</v>
      </c>
      <c r="G55" s="143">
        <v>265</v>
      </c>
      <c r="H55" s="143">
        <v>2</v>
      </c>
      <c r="I55" s="143">
        <v>10</v>
      </c>
      <c r="J55" s="143">
        <v>0</v>
      </c>
      <c r="K55" s="2131">
        <v>0</v>
      </c>
      <c r="L55" s="143">
        <v>1</v>
      </c>
      <c r="M55" s="333">
        <v>0</v>
      </c>
      <c r="N55" s="2240"/>
      <c r="O55" s="348"/>
      <c r="P55" s="351"/>
    </row>
    <row r="56" spans="1:21" ht="12.75">
      <c r="A56" s="1286">
        <v>5205</v>
      </c>
      <c r="B56" s="1207" t="s">
        <v>498</v>
      </c>
      <c r="C56" s="453">
        <f>E26</f>
        <v>1968</v>
      </c>
      <c r="D56" s="2478"/>
      <c r="E56" s="143">
        <v>150</v>
      </c>
      <c r="F56" s="143">
        <v>2</v>
      </c>
      <c r="G56" s="143">
        <v>1739</v>
      </c>
      <c r="H56" s="143">
        <v>23</v>
      </c>
      <c r="I56" s="143">
        <v>10</v>
      </c>
      <c r="J56" s="143">
        <v>1</v>
      </c>
      <c r="K56" s="2131">
        <v>0</v>
      </c>
      <c r="L56" s="143">
        <v>43</v>
      </c>
      <c r="M56" s="334">
        <v>0</v>
      </c>
      <c r="N56" s="2241"/>
      <c r="O56" s="531"/>
      <c r="P56" s="532"/>
    </row>
    <row r="57" spans="1:21" ht="12.75">
      <c r="A57" s="1287">
        <v>513</v>
      </c>
      <c r="B57" s="1288" t="s">
        <v>468</v>
      </c>
      <c r="C57" s="451">
        <f>E31</f>
        <v>12637</v>
      </c>
      <c r="D57" s="2474"/>
      <c r="E57" s="451">
        <f>Motpart!D29</f>
        <v>1417</v>
      </c>
      <c r="F57" s="451">
        <f>Motpart!E29</f>
        <v>247</v>
      </c>
      <c r="G57" s="451">
        <f>Motpart!F29</f>
        <v>10196</v>
      </c>
      <c r="H57" s="451">
        <f>Motpart!G29</f>
        <v>314</v>
      </c>
      <c r="I57" s="451">
        <f>Motpart!H29</f>
        <v>89</v>
      </c>
      <c r="J57" s="451">
        <f>Motpart!I29</f>
        <v>17</v>
      </c>
      <c r="K57" s="2130"/>
      <c r="L57" s="451">
        <f>Motpart!K29</f>
        <v>356</v>
      </c>
      <c r="M57" s="451">
        <f>Motpart!L29</f>
        <v>1</v>
      </c>
      <c r="N57" s="2244" t="str">
        <f>IF(E58&gt;E57+1,ROUND(E58-E57,0)&amp; " tkr för mycket fördelat i kolumn Föreningar, stiftelser",IF(F58&gt;F57+1,ROUND(F58-F57,0)&amp; " tkr för mycket fördelat i kolumn Kommunägda företag",IF(G58&gt;G57+1,ROUND(G58-G57,0)&amp; " tkr för mycket fördelat i kolumn Privata företag",IF(H58&gt;H57+1,ROUND(H58-H57,0)&amp; " tkr för mycket fördelat i kolumn Kommuner",IF(I58&gt;I57+1,ROUND(I58-I57,0)&amp; " tkr för mycket fördelat i kolumn Landsting"," ")))))</f>
        <v xml:space="preserve"> </v>
      </c>
      <c r="O57" s="533"/>
      <c r="P57" s="350"/>
    </row>
    <row r="58" spans="1:21" ht="13.5" thickBot="1">
      <c r="A58" s="1231">
        <v>5131</v>
      </c>
      <c r="B58" s="1289" t="s">
        <v>201</v>
      </c>
      <c r="C58" s="454">
        <f>E32</f>
        <v>5298</v>
      </c>
      <c r="D58" s="2479"/>
      <c r="E58" s="335">
        <v>723</v>
      </c>
      <c r="F58" s="335">
        <v>116</v>
      </c>
      <c r="G58" s="335">
        <v>4203</v>
      </c>
      <c r="H58" s="335">
        <v>69</v>
      </c>
      <c r="I58" s="335">
        <v>14</v>
      </c>
      <c r="J58" s="335">
        <v>1</v>
      </c>
      <c r="K58" s="2133">
        <v>0</v>
      </c>
      <c r="L58" s="335">
        <v>172</v>
      </c>
      <c r="M58" s="336">
        <v>0</v>
      </c>
      <c r="N58" s="2245" t="str">
        <f>IF(J58&gt;J57+1,ROUND(J58-J57,0)&amp;" tkr för mycket fördelat i kolumn Staten och staliga myndigheter",IF(L58&gt;L57+1,ROUND(L58-L57,0)&amp;" tkr för mycket fördelat i kolumn Kommunalförbund",IF(M58&gt;M57+1,ROUND(M58-M57,0)&amp;" tkr för mycket fördelat i kolumn Utlandet"," ")))</f>
        <v xml:space="preserve"> </v>
      </c>
      <c r="O58" s="349"/>
      <c r="P58" s="352"/>
    </row>
    <row r="59" spans="1:21" ht="12.75">
      <c r="D59" s="353" t="str">
        <f>IF(OR(COUNTIF(D49:D58,"&lt;-5")&gt;0,(COUNTIF(D49:D58,"&gt;5")&gt;0)),"Rätta differenserna i kolumn D","")</f>
        <v/>
      </c>
      <c r="N59" s="337"/>
      <c r="O59" s="338"/>
    </row>
    <row r="60" spans="1:21" ht="12.75"/>
  </sheetData>
  <sheetProtection password="CBFD" sheet="1" objects="1" scenarios="1"/>
  <customSheetViews>
    <customSheetView guid="{27C9E95B-0E2B-454F-B637-1CECC9579A10}" showGridLines="0" fitToPage="1" hiddenRows="1" hiddenColumns="1" showRuler="0">
      <selection activeCell="J30" sqref="J30"/>
      <pageMargins left="0.31496062992125984" right="0.6692913385826772" top="0.74803149606299213" bottom="0.15748031496062992" header="0.31496062992125984" footer="0.31496062992125984"/>
      <pageSetup paperSize="9" scale="56" orientation="landscape" r:id="rId1"/>
      <headerFooter alignWithMargins="0">
        <oddHeader>&amp;L&amp;8Statistiska Centralbyrån
Offentlig ekonomi&amp;R&amp;P</oddHeader>
      </headerFooter>
    </customSheetView>
    <customSheetView guid="{99FBDEB7-DD08-4F57-81F4-3C180403E153}" showGridLines="0" fitToPage="1" hiddenRows="1" hiddenColumns="1">
      <selection activeCell="A43" sqref="A43:B47"/>
      <pageMargins left="0.31496062992125984" right="0.6692913385826772" top="0.74803149606299213" bottom="0.15748031496062992" header="0.31496062992125984" footer="0.31496062992125984"/>
      <pageSetup paperSize="9" scale="56" orientation="landscape" r:id="rId2"/>
      <headerFooter>
        <oddHeader>&amp;L&amp;8Statistiska Centralbyrån
Offentlig ekonomi&amp;R&amp;P</oddHeader>
      </headerFooter>
    </customSheetView>
    <customSheetView guid="{97D6DB71-3F4C-4C5F-8C5B-51E3EBF78932}" showPageBreaks="1" showGridLines="0" fitToPage="1" hiddenRows="1" hiddenColumns="1" topLeftCell="A15">
      <selection activeCell="A44" sqref="A44:B48"/>
      <pageMargins left="0.31496062992125984" right="0.6692913385826772" top="0.74803149606299213" bottom="0.15748031496062992" header="0.31496062992125984" footer="0.31496062992125984"/>
      <pageSetup paperSize="9" scale="54" orientation="landscape" r:id="rId3"/>
      <headerFooter>
        <oddHeader>&amp;L&amp;8Statistiska Centralbyrån
Offentlig ekonomi&amp;R&amp;P</oddHeader>
      </headerFooter>
    </customSheetView>
  </customSheetViews>
  <mergeCells count="21">
    <mergeCell ref="O4:O6"/>
    <mergeCell ref="T22:V25"/>
    <mergeCell ref="R46:T48"/>
    <mergeCell ref="Q6:R7"/>
    <mergeCell ref="T12:V15"/>
    <mergeCell ref="T32:V35"/>
    <mergeCell ref="P6:P8"/>
    <mergeCell ref="P9:P11"/>
    <mergeCell ref="R14:R19"/>
    <mergeCell ref="R23:R29"/>
    <mergeCell ref="R36:R38"/>
    <mergeCell ref="A45:B47"/>
    <mergeCell ref="K45:K46"/>
    <mergeCell ref="F6:F7"/>
    <mergeCell ref="G6:G7"/>
    <mergeCell ref="H6:H7"/>
    <mergeCell ref="H9:H11"/>
    <mergeCell ref="E6:E7"/>
    <mergeCell ref="I6:I7"/>
    <mergeCell ref="D6:D7"/>
    <mergeCell ref="D9:D10"/>
  </mergeCells>
  <phoneticPr fontId="92" type="noConversion"/>
  <conditionalFormatting sqref="H34">
    <cfRule type="cellIs" dxfId="25" priority="24" stopIfTrue="1" operator="lessThan">
      <formula>0</formula>
    </cfRule>
    <cfRule type="cellIs" dxfId="24" priority="25" stopIfTrue="1" operator="lessThan">
      <formula>SUM(G41)</formula>
    </cfRule>
  </conditionalFormatting>
  <conditionalFormatting sqref="C34:D34">
    <cfRule type="cellIs" dxfId="23" priority="26" stopIfTrue="1" operator="lessThan">
      <formula>0</formula>
    </cfRule>
    <cfRule type="cellIs" dxfId="22" priority="27" stopIfTrue="1" operator="lessThan">
      <formula>SUM(G42)</formula>
    </cfRule>
  </conditionalFormatting>
  <conditionalFormatting sqref="E58:M58 G43 H35:H36 I32:J36 H32:H33 E32:G36 E50:M52 E54:M56 C13:J18 C22:J28 C32:D33 C35:D36">
    <cfRule type="cellIs" dxfId="21" priority="22" stopIfTrue="1" operator="lessThan">
      <formula>0</formula>
    </cfRule>
  </conditionalFormatting>
  <conditionalFormatting sqref="B20 B30 B38">
    <cfRule type="expression" dxfId="20" priority="85" stopIfTrue="1">
      <formula>OR(C20&gt;5,C20&lt;-5,E20&gt;5,E20&lt;-5,F20&gt;5,F20&lt;-5,G20&gt;5,G20&lt;-5,H20&gt;5,H20&lt;-5,I20&gt;5,I20&lt;-5,J20&gt;5,J20&lt;-5)</formula>
    </cfRule>
  </conditionalFormatting>
  <conditionalFormatting sqref="Q23">
    <cfRule type="expression" dxfId="19" priority="15">
      <formula>IF(C24="","",IF(K24=0,N24=0))</formula>
    </cfRule>
  </conditionalFormatting>
  <conditionalFormatting sqref="R14:R19">
    <cfRule type="expression" dxfId="18" priority="5">
      <formula>IF(C12=0,"",IF(C17&gt;1,"",IF(K17=0,N17=0)))</formula>
    </cfRule>
    <cfRule type="expression" dxfId="17" priority="6">
      <formula>IF(C12=0,"",IF(C16&gt;1,"",IF(K16=0,N16=0)))</formula>
    </cfRule>
    <cfRule type="expression" dxfId="16" priority="7">
      <formula>IF(C12=0,"",IF(C15&gt;1,"",IF(K15=0,N15=0)))</formula>
    </cfRule>
    <cfRule type="expression" dxfId="15" priority="8">
      <formula>IF(C12=0,"",IF(C14&gt;1,"",IF(K14=0,N14=0)))</formula>
    </cfRule>
    <cfRule type="expression" dxfId="14" priority="14">
      <formula>IF(C12=0,"",IF(C13&gt;1,"",IF(K13=0,N13=0)))</formula>
    </cfRule>
  </conditionalFormatting>
  <conditionalFormatting sqref="R36:R38">
    <cfRule type="expression" dxfId="13" priority="1">
      <formula>IF(C31=0,"",IF(C35&gt;1,"",IF(K35=0,N35=0)))</formula>
    </cfRule>
    <cfRule type="expression" dxfId="12" priority="2">
      <formula>IF(C31=0,"",IF(C34&gt;1,"",IF(K34=0,N34=0)))</formula>
    </cfRule>
    <cfRule type="expression" dxfId="11" priority="3">
      <formula>IF(C31=0,"",IF(C33&gt;1,"",IF(K33=0,N33=0)))</formula>
    </cfRule>
    <cfRule type="expression" dxfId="10" priority="4">
      <formula>IF(C31=0,"",IF(C32&gt;1,"",IF(K32=0,N32=0)))</formula>
    </cfRule>
  </conditionalFormatting>
  <conditionalFormatting sqref="R23:R28">
    <cfRule type="expression" dxfId="9" priority="9">
      <formula>IF(C21=0,"",IF(C27&gt;1,"",IF(K27=0,N27=0)))</formula>
    </cfRule>
    <cfRule type="expression" dxfId="8" priority="10">
      <formula>IF(C21=0,"",IF(C26&gt;1,"",IF(K26=0,N26=0)))</formula>
    </cfRule>
    <cfRule type="expression" dxfId="7" priority="11">
      <formula>IF(C21=0,"",IF(C25&gt;1,"",IF(K25=0,N25=0)))</formula>
    </cfRule>
    <cfRule type="expression" dxfId="6" priority="12">
      <formula>IF(C21=0,"",IF(C23&gt;1,"",IF(K23=0,N23=0)))</formula>
    </cfRule>
    <cfRule type="expression" dxfId="5" priority="13">
      <formula>IF(C21=0,"",IF(C22&gt;1,"",IF(K22=0,N22=0)))</formula>
    </cfRule>
  </conditionalFormatting>
  <dataValidations count="2">
    <dataValidation type="decimal" operator="lessThan" allowBlank="1" showInputMessage="1" showErrorMessage="1" error="Beloppen ska vara i 1000 tal kronor" sqref="E58:M58 J31 C31:H31 I21 G43 E50:M56 C32:J36 C13:J20 C22:J30 C38:J38">
      <formula1>99999999</formula1>
    </dataValidation>
    <dataValidation type="decimal" operator="lessThan" allowBlank="1" showInputMessage="1" showErrorMessage="1" error="Beloppet ska vara i 1000 tal kr" sqref="I31">
      <formula1>99999999</formula1>
    </dataValidation>
  </dataValidations>
  <pageMargins left="0.43" right="0.17" top="0.43" bottom="0.15748031496062992" header="0.21" footer="0.31496062992125984"/>
  <pageSetup paperSize="9" scale="70" orientation="landscape" r:id="rId4"/>
  <headerFooter>
    <oddHeader>&amp;L&amp;8Statistiska Centralbyrån
Offentlig ekonomi&amp;R&amp;P</oddHeader>
  </headerFooter>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65536"/>
  <sheetViews>
    <sheetView showGridLines="0" zoomScaleNormal="100" workbookViewId="0">
      <pane xSplit="2" ySplit="11" topLeftCell="C12" activePane="bottomRight" state="frozen"/>
      <selection activeCell="F32" sqref="F32"/>
      <selection pane="topRight" activeCell="F32" sqref="F32"/>
      <selection pane="bottomLeft" activeCell="F32" sqref="F32"/>
      <selection pane="bottomRight" activeCell="J36" sqref="J36"/>
    </sheetView>
  </sheetViews>
  <sheetFormatPr defaultColWidth="0" defaultRowHeight="12.75" zeroHeight="1"/>
  <cols>
    <col min="1" max="1" width="5.7109375" style="304" customWidth="1"/>
    <col min="2" max="2" width="34.140625" style="2005" customWidth="1"/>
    <col min="3" max="3" width="9.42578125" style="2005" customWidth="1"/>
    <col min="4" max="4" width="8.7109375" style="2005" customWidth="1"/>
    <col min="5" max="5" width="10.28515625" style="2005" customWidth="1"/>
    <col min="6" max="6" width="10.5703125" style="2005" customWidth="1"/>
    <col min="7" max="7" width="8.7109375" style="2005" customWidth="1"/>
    <col min="8" max="8" width="11.7109375" style="2005" customWidth="1"/>
    <col min="9" max="9" width="9.85546875" style="2005" customWidth="1"/>
    <col min="10" max="10" width="10.42578125" style="2005" customWidth="1"/>
    <col min="11" max="11" width="9.5703125" style="307" customWidth="1"/>
    <col min="12" max="12" width="1.140625" style="307" customWidth="1"/>
    <col min="13" max="13" width="10.42578125" style="307" customWidth="1"/>
    <col min="14" max="14" width="10.28515625" style="307" customWidth="1"/>
    <col min="15" max="19" width="9.140625" style="307" customWidth="1"/>
    <col min="20" max="16384" width="0" style="307" hidden="1"/>
  </cols>
  <sheetData>
    <row r="1" spans="1:19" s="1971" customFormat="1" ht="21.75">
      <c r="A1" s="84" t="str">
        <f>"Specificering individ- och familjeomsorg "&amp;År&amp;", miljoner kronor"</f>
        <v>Specificering individ- och familjeomsorg 2018, miljoner kronor</v>
      </c>
      <c r="B1" s="85"/>
      <c r="C1" s="85"/>
      <c r="D1" s="85"/>
      <c r="E1" s="305"/>
      <c r="F1" s="305"/>
      <c r="G1" s="305"/>
      <c r="H1" s="305"/>
      <c r="I1" s="545" t="s">
        <v>474</v>
      </c>
      <c r="J1" s="546" t="str">
        <f>'Kn Information'!B2</f>
        <v>RIKSTOTAL</v>
      </c>
      <c r="K1" s="305"/>
      <c r="L1" s="305"/>
      <c r="M1" s="305"/>
      <c r="N1" s="305"/>
      <c r="O1" s="305"/>
      <c r="P1" s="305"/>
      <c r="Q1" s="305"/>
      <c r="R1" s="305"/>
      <c r="S1" s="305"/>
    </row>
    <row r="2" spans="1:19" s="306" customFormat="1" ht="12.75" customHeight="1">
      <c r="A2" s="1341"/>
      <c r="B2" s="1972"/>
      <c r="C2" s="78"/>
      <c r="D2" s="78"/>
      <c r="O2" s="77"/>
    </row>
    <row r="3" spans="1:19" s="1971" customFormat="1" ht="12.75" customHeight="1" thickBot="1">
      <c r="A3" s="271"/>
      <c r="B3" s="213"/>
      <c r="C3" s="213" t="s">
        <v>652</v>
      </c>
      <c r="D3" s="213"/>
      <c r="E3" s="213" t="s">
        <v>657</v>
      </c>
      <c r="F3" s="213" t="s">
        <v>653</v>
      </c>
      <c r="G3" s="213" t="s">
        <v>656</v>
      </c>
      <c r="H3" s="213" t="s">
        <v>655</v>
      </c>
      <c r="I3" s="213"/>
      <c r="J3" s="213"/>
      <c r="K3" s="213"/>
      <c r="L3" s="306"/>
      <c r="M3" s="306"/>
      <c r="N3" s="306"/>
      <c r="O3" s="306"/>
    </row>
    <row r="4" spans="1:19" s="308" customFormat="1" ht="18" customHeight="1">
      <c r="A4" s="684" t="s">
        <v>658</v>
      </c>
      <c r="B4" s="1973" t="s">
        <v>16</v>
      </c>
      <c r="C4" s="1969"/>
      <c r="D4" s="2160"/>
      <c r="E4" s="2160"/>
      <c r="F4" s="1968"/>
      <c r="G4" s="1969"/>
      <c r="H4" s="1974" t="s">
        <v>1085</v>
      </c>
      <c r="I4" s="1804" t="s">
        <v>1097</v>
      </c>
      <c r="J4" s="1805"/>
      <c r="K4" s="2688" t="str">
        <f>"Förändring kostnader för eget åtagande "&amp;År-1&amp;"-"&amp;År&amp;" procent"</f>
        <v>Förändring kostnader för eget åtagande 2017-2018 procent</v>
      </c>
      <c r="L4" s="2494"/>
      <c r="M4" s="2480"/>
      <c r="N4" s="1301"/>
      <c r="O4" s="2485"/>
      <c r="P4" s="2294"/>
      <c r="Q4" s="307"/>
      <c r="R4" s="307"/>
      <c r="S4" s="182"/>
    </row>
    <row r="5" spans="1:19" s="308" customFormat="1" ht="15" customHeight="1">
      <c r="A5" s="686" t="s">
        <v>661</v>
      </c>
      <c r="B5" s="1740"/>
      <c r="C5" s="1507" t="s">
        <v>42</v>
      </c>
      <c r="D5" s="1507"/>
      <c r="E5" s="1507"/>
      <c r="F5" s="1970"/>
      <c r="G5" s="1970"/>
      <c r="H5" s="1817" t="s">
        <v>1102</v>
      </c>
      <c r="I5" s="1806" t="s">
        <v>1093</v>
      </c>
      <c r="J5" s="1807"/>
      <c r="K5" s="2670"/>
      <c r="L5" s="2495"/>
      <c r="M5" s="1975"/>
      <c r="N5" s="1976"/>
      <c r="O5" s="2485"/>
      <c r="P5" s="2294"/>
      <c r="Q5" s="307"/>
      <c r="R5" s="307"/>
      <c r="S5" s="182"/>
    </row>
    <row r="6" spans="1:19" s="308" customFormat="1" ht="24" customHeight="1">
      <c r="A6" s="1291"/>
      <c r="B6" s="1978"/>
      <c r="C6" s="1507" t="s">
        <v>44</v>
      </c>
      <c r="D6" s="2683" t="s">
        <v>1193</v>
      </c>
      <c r="E6" s="2683" t="s">
        <v>1201</v>
      </c>
      <c r="F6" s="2685" t="s">
        <v>151</v>
      </c>
      <c r="G6" s="2686" t="s">
        <v>919</v>
      </c>
      <c r="H6" s="1818" t="s">
        <v>1101</v>
      </c>
      <c r="I6" s="1979"/>
      <c r="J6" s="1980"/>
      <c r="K6" s="2670"/>
      <c r="L6" s="2681"/>
      <c r="M6" s="2481" t="str">
        <f>"Nämnare nyckeltal"</f>
        <v>Nämnare nyckeltal</v>
      </c>
      <c r="N6" s="1946"/>
      <c r="O6" s="307"/>
      <c r="P6" s="2294"/>
      <c r="Q6" s="307"/>
      <c r="R6" s="307"/>
      <c r="S6" s="182"/>
    </row>
    <row r="7" spans="1:19" s="308" customFormat="1" ht="27.75" customHeight="1">
      <c r="A7" s="1122"/>
      <c r="B7" s="1981"/>
      <c r="C7" s="1507"/>
      <c r="D7" s="2684"/>
      <c r="E7" s="2684"/>
      <c r="F7" s="2670"/>
      <c r="G7" s="2686"/>
      <c r="H7" s="1803" t="s">
        <v>1095</v>
      </c>
      <c r="I7" s="1819" t="s">
        <v>1100</v>
      </c>
      <c r="J7" s="1819" t="s">
        <v>1100</v>
      </c>
      <c r="K7" s="1800"/>
      <c r="L7" s="2682"/>
      <c r="M7" s="2481"/>
      <c r="N7" s="1946"/>
      <c r="O7" s="307"/>
      <c r="P7" s="2294"/>
      <c r="Q7" s="307"/>
      <c r="R7" s="307"/>
      <c r="S7" s="182"/>
    </row>
    <row r="8" spans="1:19" s="308" customFormat="1" ht="12" customHeight="1">
      <c r="A8" s="1291"/>
      <c r="B8" s="1982"/>
      <c r="C8" s="1970"/>
      <c r="D8" s="2684"/>
      <c r="E8" s="2684"/>
      <c r="F8" s="2670"/>
      <c r="G8" s="2687"/>
      <c r="H8" s="1802" t="s">
        <v>45</v>
      </c>
      <c r="I8" s="1208">
        <f>År</f>
        <v>2018</v>
      </c>
      <c r="J8" s="1208">
        <f>År-1</f>
        <v>2017</v>
      </c>
      <c r="K8" s="1983"/>
      <c r="L8" s="2682"/>
      <c r="M8" s="1304"/>
      <c r="N8" s="1305"/>
      <c r="O8" s="307"/>
      <c r="P8" s="307"/>
      <c r="Q8" s="307"/>
      <c r="R8" s="307"/>
      <c r="S8" s="182"/>
    </row>
    <row r="9" spans="1:19" s="308" customFormat="1" ht="21" customHeight="1">
      <c r="A9" s="1291"/>
      <c r="B9" s="1982"/>
      <c r="C9" s="1970"/>
      <c r="D9" s="2686" t="s">
        <v>1200</v>
      </c>
      <c r="E9" s="2008" t="s">
        <v>880</v>
      </c>
      <c r="F9" s="1970"/>
      <c r="G9" s="1808" t="s">
        <v>1087</v>
      </c>
      <c r="H9" s="1803" t="s">
        <v>1096</v>
      </c>
      <c r="I9" s="1984"/>
      <c r="J9" s="1984"/>
      <c r="K9" s="1984"/>
      <c r="L9" s="2682"/>
      <c r="M9" s="1304"/>
      <c r="N9" s="1305"/>
      <c r="O9" s="307"/>
      <c r="P9" s="307"/>
      <c r="Q9" s="307"/>
      <c r="R9" s="307"/>
      <c r="S9" s="182"/>
    </row>
    <row r="10" spans="1:19" s="308" customFormat="1" ht="14.25" customHeight="1">
      <c r="A10" s="1291"/>
      <c r="B10" s="1982"/>
      <c r="C10" s="1970"/>
      <c r="D10" s="2670"/>
      <c r="E10" s="1970"/>
      <c r="F10" s="1970"/>
      <c r="G10" s="1970"/>
      <c r="H10" s="1802" t="s">
        <v>50</v>
      </c>
      <c r="I10" s="1809"/>
      <c r="J10" s="1809"/>
      <c r="K10" s="1984"/>
      <c r="L10" s="2682"/>
      <c r="M10" s="1304"/>
      <c r="N10" s="1305"/>
      <c r="O10" s="307"/>
      <c r="P10" s="307"/>
      <c r="Q10" s="307"/>
      <c r="R10" s="307"/>
      <c r="S10" s="182"/>
    </row>
    <row r="11" spans="1:19" s="308" customFormat="1" ht="13.5" customHeight="1">
      <c r="A11" s="1293"/>
      <c r="B11" s="1985"/>
      <c r="C11" s="1306"/>
      <c r="D11" s="2689"/>
      <c r="E11" s="1306"/>
      <c r="F11" s="1306"/>
      <c r="G11" s="1764"/>
      <c r="H11" s="1986"/>
      <c r="I11" s="1307"/>
      <c r="J11" s="1307"/>
      <c r="K11" s="1307"/>
      <c r="L11" s="2496"/>
      <c r="M11" s="2486"/>
      <c r="N11" s="1308"/>
      <c r="O11" s="307"/>
      <c r="P11" s="307"/>
      <c r="Q11" s="307"/>
      <c r="R11" s="307"/>
      <c r="S11" s="182"/>
    </row>
    <row r="12" spans="1:19" s="308" customFormat="1">
      <c r="A12" s="1294">
        <v>559</v>
      </c>
      <c r="B12" s="1987" t="s">
        <v>508</v>
      </c>
      <c r="C12" s="1988">
        <f>Drift!P79</f>
        <v>8696</v>
      </c>
      <c r="D12" s="1988">
        <f>SUM(Drift!C79:D79)</f>
        <v>3230</v>
      </c>
      <c r="E12" s="1988">
        <f>Drift!F79</f>
        <v>3170</v>
      </c>
      <c r="F12" s="1988">
        <f>Drift!V79</f>
        <v>412</v>
      </c>
      <c r="G12" s="1989">
        <f>Motpart!Y31+Motpart!Z31</f>
        <v>74</v>
      </c>
      <c r="H12" s="1309">
        <f t="shared" ref="H12:H18" si="0">C12-F12-G12</f>
        <v>8210</v>
      </c>
      <c r="I12" s="1310">
        <f>IF(C12&gt;0,H12*1000000/M12,"")</f>
        <v>1439.3006927050947</v>
      </c>
      <c r="J12" s="1310">
        <v>1376.475122506286</v>
      </c>
      <c r="K12" s="1432">
        <f>IF(ISERROR((I12-J12)/J12),"",((I12-J12)/J12))</f>
        <v>4.5642357912299855E-2</v>
      </c>
      <c r="L12" s="2497"/>
      <c r="M12" s="2487">
        <v>5704159</v>
      </c>
      <c r="N12" s="1311" t="s">
        <v>535</v>
      </c>
      <c r="O12" s="307"/>
      <c r="P12" s="1990"/>
      <c r="Q12" s="1991"/>
      <c r="R12" s="1991"/>
      <c r="S12" s="1991"/>
    </row>
    <row r="13" spans="1:19" s="308" customFormat="1">
      <c r="A13" s="1295">
        <v>552</v>
      </c>
      <c r="B13" s="1740" t="s">
        <v>454</v>
      </c>
      <c r="C13" s="55">
        <v>3499</v>
      </c>
      <c r="D13" s="55">
        <v>835</v>
      </c>
      <c r="E13" s="55">
        <v>2089</v>
      </c>
      <c r="F13" s="55">
        <v>95</v>
      </c>
      <c r="G13" s="1977">
        <f>Motpart!Y32+Motpart!Z32</f>
        <v>43</v>
      </c>
      <c r="H13" s="1312">
        <f t="shared" si="0"/>
        <v>3361</v>
      </c>
      <c r="I13" s="1313">
        <f>IF(C13&gt;0,H13*1000000/M12,"")</f>
        <v>589.2191995349358</v>
      </c>
      <c r="J13" s="1313">
        <v>569.64893531413986</v>
      </c>
      <c r="K13" s="1433">
        <f t="shared" ref="K13:K18" si="1">IF(ISERROR((I13-J13)/J13),"",((I13-J13)/J13))</f>
        <v>3.4354956197721449E-2</v>
      </c>
      <c r="L13" s="2498"/>
      <c r="M13" s="2182"/>
      <c r="N13" s="2181"/>
      <c r="O13" s="307"/>
      <c r="P13" s="2665"/>
      <c r="Q13" s="2526"/>
      <c r="R13" s="2526"/>
      <c r="S13" s="1991"/>
    </row>
    <row r="14" spans="1:19" s="308" customFormat="1">
      <c r="A14" s="1295">
        <v>556</v>
      </c>
      <c r="B14" s="1992" t="s">
        <v>514</v>
      </c>
      <c r="C14" s="55">
        <v>231</v>
      </c>
      <c r="D14" s="55">
        <v>62</v>
      </c>
      <c r="E14" s="55">
        <v>127</v>
      </c>
      <c r="F14" s="55">
        <v>6</v>
      </c>
      <c r="G14" s="55">
        <v>4</v>
      </c>
      <c r="H14" s="1312">
        <f t="shared" si="0"/>
        <v>221</v>
      </c>
      <c r="I14" s="1313">
        <f>IF(C14&gt;0,H14*1000000/M12,"")</f>
        <v>38.743660546629222</v>
      </c>
      <c r="J14" s="1313">
        <v>37.941301453698905</v>
      </c>
      <c r="K14" s="1433">
        <f t="shared" si="1"/>
        <v>2.1147379298769274E-2</v>
      </c>
      <c r="L14" s="2498"/>
      <c r="M14" s="2482"/>
      <c r="N14" s="2181"/>
      <c r="O14" s="307"/>
      <c r="P14" s="2526"/>
      <c r="Q14" s="2526"/>
      <c r="R14" s="2526"/>
      <c r="S14" s="1991"/>
    </row>
    <row r="15" spans="1:19" s="308" customFormat="1">
      <c r="A15" s="1295">
        <v>5581</v>
      </c>
      <c r="B15" s="1992" t="s">
        <v>167</v>
      </c>
      <c r="C15" s="55">
        <v>2831</v>
      </c>
      <c r="D15" s="55">
        <v>1020</v>
      </c>
      <c r="E15" s="55">
        <v>743</v>
      </c>
      <c r="F15" s="55">
        <v>241</v>
      </c>
      <c r="G15" s="55">
        <v>9</v>
      </c>
      <c r="H15" s="1312">
        <f t="shared" si="0"/>
        <v>2581</v>
      </c>
      <c r="I15" s="1315">
        <f>IF(C15&gt;0,H15*1000000/M12,"")</f>
        <v>452.47686819389151</v>
      </c>
      <c r="J15" s="1315">
        <v>428.11905733336533</v>
      </c>
      <c r="K15" s="1433">
        <f t="shared" si="1"/>
        <v>5.6894946495127337E-2</v>
      </c>
      <c r="L15" s="2498"/>
      <c r="M15" s="2482"/>
      <c r="N15" s="2181"/>
      <c r="O15" s="307"/>
      <c r="P15" s="2526"/>
      <c r="Q15" s="2526"/>
      <c r="R15" s="2526"/>
      <c r="S15" s="1991"/>
    </row>
    <row r="16" spans="1:19" s="308" customFormat="1">
      <c r="A16" s="1295">
        <v>5582</v>
      </c>
      <c r="B16" s="1992" t="s">
        <v>166</v>
      </c>
      <c r="C16" s="55">
        <v>1213</v>
      </c>
      <c r="D16" s="55">
        <v>757</v>
      </c>
      <c r="E16" s="55">
        <v>157</v>
      </c>
      <c r="F16" s="55">
        <v>19</v>
      </c>
      <c r="G16" s="55">
        <v>6</v>
      </c>
      <c r="H16" s="1312">
        <f t="shared" si="0"/>
        <v>1188</v>
      </c>
      <c r="I16" s="1313">
        <f>IF(C16&gt;0,H16*1000000/M12,"")</f>
        <v>208.26908927328287</v>
      </c>
      <c r="J16" s="1313">
        <v>198.53006574609893</v>
      </c>
      <c r="K16" s="1433">
        <f t="shared" si="1"/>
        <v>4.9055660615350979E-2</v>
      </c>
      <c r="L16" s="2498"/>
      <c r="M16" s="2482"/>
      <c r="N16" s="2181"/>
      <c r="O16" s="307"/>
      <c r="P16" s="2526"/>
      <c r="Q16" s="2526"/>
      <c r="R16" s="2526"/>
      <c r="S16" s="1991"/>
    </row>
    <row r="17" spans="1:19" s="308" customFormat="1">
      <c r="A17" s="1295">
        <v>5583</v>
      </c>
      <c r="B17" s="1992" t="s">
        <v>168</v>
      </c>
      <c r="C17" s="55">
        <v>922</v>
      </c>
      <c r="D17" s="55">
        <v>556</v>
      </c>
      <c r="E17" s="55">
        <v>54</v>
      </c>
      <c r="F17" s="55">
        <v>51</v>
      </c>
      <c r="G17" s="55">
        <v>12</v>
      </c>
      <c r="H17" s="1312">
        <f t="shared" si="0"/>
        <v>859</v>
      </c>
      <c r="I17" s="1313">
        <f>IF(C17&gt;0,H17*1000000/M12,"")</f>
        <v>150.5918751563552</v>
      </c>
      <c r="J17" s="1315">
        <v>142.23576265898288</v>
      </c>
      <c r="K17" s="1433">
        <f t="shared" si="1"/>
        <v>5.8748322792816221E-2</v>
      </c>
      <c r="L17" s="2499"/>
      <c r="M17" s="2482"/>
      <c r="N17" s="2181"/>
      <c r="O17" s="307"/>
      <c r="P17" s="1991"/>
      <c r="Q17" s="1991"/>
      <c r="R17" s="1991"/>
      <c r="S17" s="1991"/>
    </row>
    <row r="18" spans="1:19" s="308" customFormat="1">
      <c r="A18" s="1296">
        <v>558</v>
      </c>
      <c r="B18" s="1993" t="s">
        <v>206</v>
      </c>
      <c r="C18" s="343">
        <f>SUM(C15:C17)</f>
        <v>4966</v>
      </c>
      <c r="D18" s="343">
        <f>SUM(D15:D17)</f>
        <v>2333</v>
      </c>
      <c r="E18" s="343">
        <f>SUM(E15:E17)</f>
        <v>954</v>
      </c>
      <c r="F18" s="343">
        <f>SUM(F15:F17)</f>
        <v>311</v>
      </c>
      <c r="G18" s="343">
        <f>SUM(G15:G17)</f>
        <v>27</v>
      </c>
      <c r="H18" s="1312">
        <f t="shared" si="0"/>
        <v>4628</v>
      </c>
      <c r="I18" s="1313">
        <f>IF(C18&gt;0,H18*1000000/M12,"")</f>
        <v>811.33783262352961</v>
      </c>
      <c r="J18" s="1313">
        <v>768.88488573844711</v>
      </c>
      <c r="K18" s="1433">
        <f t="shared" si="1"/>
        <v>5.5213657691177177E-2</v>
      </c>
      <c r="L18" s="2500"/>
      <c r="M18" s="2483"/>
      <c r="N18" s="2180"/>
      <c r="O18" s="307"/>
      <c r="P18" s="1991"/>
      <c r="Q18" s="1991"/>
      <c r="R18" s="1991"/>
      <c r="S18" s="1991"/>
    </row>
    <row r="19" spans="1:19" s="182" customFormat="1">
      <c r="A19" s="1296">
        <v>55999</v>
      </c>
      <c r="B19" s="1993" t="s">
        <v>211</v>
      </c>
      <c r="C19" s="343">
        <f>C13+C14+C15+C16+C17</f>
        <v>8696</v>
      </c>
      <c r="D19" s="343">
        <f>D13+D14+D15+D16+D17</f>
        <v>3230</v>
      </c>
      <c r="E19" s="343">
        <f>E13+E14+E15+E16+E17</f>
        <v>3170</v>
      </c>
      <c r="F19" s="343">
        <f>F13+F14+F15+F16+F17</f>
        <v>412</v>
      </c>
      <c r="G19" s="343">
        <f>G13+G14+G15+G16+G17</f>
        <v>74</v>
      </c>
      <c r="H19" s="1316"/>
      <c r="I19" s="1317"/>
      <c r="J19" s="1317"/>
      <c r="K19" s="1317"/>
      <c r="L19" s="2497"/>
      <c r="M19" s="1318"/>
      <c r="N19" s="1314"/>
      <c r="O19" s="307"/>
      <c r="P19" s="1991"/>
      <c r="Q19" s="1991"/>
      <c r="R19" s="1991"/>
      <c r="S19" s="1991"/>
    </row>
    <row r="20" spans="1:19" s="182" customFormat="1" ht="13.5" thickBot="1">
      <c r="A20" s="1297"/>
      <c r="B20" s="1994"/>
      <c r="C20" s="2491"/>
      <c r="D20" s="2491"/>
      <c r="E20" s="2491"/>
      <c r="F20" s="2491"/>
      <c r="G20" s="2491"/>
      <c r="H20" s="1319"/>
      <c r="I20" s="1320"/>
      <c r="J20" s="1320"/>
      <c r="K20" s="1320"/>
      <c r="L20" s="2500"/>
      <c r="M20" s="1321"/>
      <c r="N20" s="1314"/>
      <c r="O20" s="307"/>
      <c r="P20" s="1991"/>
      <c r="Q20" s="1991"/>
      <c r="R20" s="1991"/>
      <c r="S20" s="1991"/>
    </row>
    <row r="21" spans="1:19" s="308" customFormat="1">
      <c r="A21" s="1298">
        <v>569</v>
      </c>
      <c r="B21" s="1995" t="s">
        <v>509</v>
      </c>
      <c r="C21" s="1996">
        <f>Drift!P80</f>
        <v>23039</v>
      </c>
      <c r="D21" s="1996">
        <f>SUM(Drift!C80:D80)</f>
        <v>10945</v>
      </c>
      <c r="E21" s="1996">
        <f>Drift!F80</f>
        <v>7532</v>
      </c>
      <c r="F21" s="1996">
        <f>Drift!V80</f>
        <v>760</v>
      </c>
      <c r="G21" s="1997">
        <f>Motpart!Y33+Motpart!Z33</f>
        <v>205</v>
      </c>
      <c r="H21" s="1322">
        <f t="shared" ref="H21:H26" si="2">C21-F21-G21</f>
        <v>22074</v>
      </c>
      <c r="I21" s="1313">
        <f>IF(C21&gt;0,H21*1000000/M21,"")</f>
        <v>8863.938899295872</v>
      </c>
      <c r="J21" s="1313">
        <v>8398.381341976632</v>
      </c>
      <c r="K21" s="1434">
        <f t="shared" ref="K21:K26" si="3">IF(ISERROR((I21-J21)/J21),"",((I21-J21)/J21))</f>
        <v>5.5434200753935639E-2</v>
      </c>
      <c r="L21" s="2497"/>
      <c r="M21" s="2488">
        <v>2490315</v>
      </c>
      <c r="N21" s="1323" t="s">
        <v>537</v>
      </c>
      <c r="O21" s="307"/>
      <c r="P21" s="1990"/>
      <c r="Q21" s="1991"/>
      <c r="R21" s="1991"/>
      <c r="S21" s="1991"/>
    </row>
    <row r="22" spans="1:19" s="308" customFormat="1">
      <c r="A22" s="1295">
        <v>554</v>
      </c>
      <c r="B22" s="1998" t="s">
        <v>207</v>
      </c>
      <c r="C22" s="55">
        <v>7884</v>
      </c>
      <c r="D22" s="55">
        <v>2074</v>
      </c>
      <c r="E22" s="55">
        <v>4696</v>
      </c>
      <c r="F22" s="55">
        <v>239</v>
      </c>
      <c r="G22" s="1977">
        <f>Motpart!Y34+Motpart!Z34</f>
        <v>58</v>
      </c>
      <c r="H22" s="1322">
        <f t="shared" si="2"/>
        <v>7587</v>
      </c>
      <c r="I22" s="1313">
        <f>IF(C22&gt;0,H22*1000000/M21,"")</f>
        <v>3046.602538233115</v>
      </c>
      <c r="J22" s="1313">
        <v>2775.2274093629926</v>
      </c>
      <c r="K22" s="1433">
        <f t="shared" si="3"/>
        <v>9.7784825832493497E-2</v>
      </c>
      <c r="L22" s="2500"/>
      <c r="M22" s="2182"/>
      <c r="N22" s="2181"/>
      <c r="O22" s="307"/>
      <c r="P22" s="2665"/>
      <c r="Q22" s="2547"/>
      <c r="R22" s="2547"/>
      <c r="S22" s="1991"/>
    </row>
    <row r="23" spans="1:19" s="308" customFormat="1">
      <c r="A23" s="1295">
        <v>557</v>
      </c>
      <c r="B23" s="1998" t="s">
        <v>171</v>
      </c>
      <c r="C23" s="55">
        <v>8116</v>
      </c>
      <c r="D23" s="55">
        <v>4423</v>
      </c>
      <c r="E23" s="55">
        <v>2077</v>
      </c>
      <c r="F23" s="55">
        <v>211</v>
      </c>
      <c r="G23" s="55">
        <v>42</v>
      </c>
      <c r="H23" s="1322">
        <f t="shared" si="2"/>
        <v>7863</v>
      </c>
      <c r="I23" s="1313">
        <f>IF(C23&gt;0,H23*1000000/M21,"")</f>
        <v>3157.4318911463006</v>
      </c>
      <c r="J23" s="1313">
        <v>3048.8701414120292</v>
      </c>
      <c r="K23" s="1433">
        <f t="shared" si="3"/>
        <v>3.5607206833674132E-2</v>
      </c>
      <c r="L23" s="2500"/>
      <c r="M23" s="2183"/>
      <c r="N23" s="2181"/>
      <c r="O23" s="307"/>
      <c r="P23" s="2547"/>
      <c r="Q23" s="2547"/>
      <c r="R23" s="2547"/>
      <c r="S23" s="1991"/>
    </row>
    <row r="24" spans="1:19" s="308" customFormat="1">
      <c r="A24" s="1295">
        <v>5681</v>
      </c>
      <c r="B24" s="1998" t="s">
        <v>166</v>
      </c>
      <c r="C24" s="55">
        <v>4338</v>
      </c>
      <c r="D24" s="55">
        <v>2656</v>
      </c>
      <c r="E24" s="55">
        <v>651</v>
      </c>
      <c r="F24" s="55">
        <v>150</v>
      </c>
      <c r="G24" s="55">
        <v>25</v>
      </c>
      <c r="H24" s="1322">
        <f t="shared" si="2"/>
        <v>4163</v>
      </c>
      <c r="I24" s="1313">
        <f>IF(C24&gt;0,H24*1000000/M21,"")</f>
        <v>1671.6760731072175</v>
      </c>
      <c r="J24" s="1313">
        <v>1618.5763389706458</v>
      </c>
      <c r="K24" s="1433">
        <f t="shared" si="3"/>
        <v>3.2806444069447549E-2</v>
      </c>
      <c r="L24" s="2500"/>
      <c r="M24" s="2183"/>
      <c r="N24" s="2181"/>
      <c r="O24" s="307"/>
      <c r="P24" s="2547"/>
      <c r="Q24" s="2547"/>
      <c r="R24" s="2547"/>
      <c r="S24" s="1991"/>
    </row>
    <row r="25" spans="1:19" s="308" customFormat="1">
      <c r="A25" s="1295">
        <v>5682</v>
      </c>
      <c r="B25" s="1998" t="s">
        <v>168</v>
      </c>
      <c r="C25" s="55">
        <v>2701</v>
      </c>
      <c r="D25" s="55">
        <v>1792</v>
      </c>
      <c r="E25" s="55">
        <v>108</v>
      </c>
      <c r="F25" s="55">
        <v>160</v>
      </c>
      <c r="G25" s="56">
        <v>80</v>
      </c>
      <c r="H25" s="1322">
        <f t="shared" si="2"/>
        <v>2461</v>
      </c>
      <c r="I25" s="1313">
        <f>IF(C25&gt;0,H25*1000000/M21,"")</f>
        <v>988.22839680923903</v>
      </c>
      <c r="J25" s="1313">
        <v>955.70745223096424</v>
      </c>
      <c r="K25" s="1433">
        <f t="shared" si="3"/>
        <v>3.4028137483242633E-2</v>
      </c>
      <c r="L25" s="2497"/>
      <c r="M25" s="2183"/>
      <c r="N25" s="2181"/>
      <c r="O25" s="307"/>
      <c r="P25" s="2547"/>
      <c r="Q25" s="2547"/>
      <c r="R25" s="2547"/>
      <c r="S25" s="1991"/>
    </row>
    <row r="26" spans="1:19" s="308" customFormat="1">
      <c r="A26" s="1296">
        <v>568</v>
      </c>
      <c r="B26" s="1999" t="s">
        <v>213</v>
      </c>
      <c r="C26" s="343">
        <f>SUM(C24:C25)</f>
        <v>7039</v>
      </c>
      <c r="D26" s="343">
        <f>SUM(D24:D25)</f>
        <v>4448</v>
      </c>
      <c r="E26" s="343">
        <f>SUM(E24:E25)</f>
        <v>759</v>
      </c>
      <c r="F26" s="343">
        <f>SUM(F24:F25)</f>
        <v>310</v>
      </c>
      <c r="G26" s="343">
        <f>SUM(G24:G25)</f>
        <v>105</v>
      </c>
      <c r="H26" s="1322">
        <f t="shared" si="2"/>
        <v>6624</v>
      </c>
      <c r="I26" s="1313">
        <f>IF(C26&gt;0,H26*1000000/M21,"")</f>
        <v>2659.9044699164565</v>
      </c>
      <c r="J26" s="1313">
        <v>2574.2837912016103</v>
      </c>
      <c r="K26" s="1433">
        <f t="shared" si="3"/>
        <v>3.3259999929875904E-2</v>
      </c>
      <c r="L26" s="2500"/>
      <c r="M26" s="2183"/>
      <c r="N26" s="2181"/>
      <c r="O26" s="307"/>
      <c r="P26" s="1991"/>
      <c r="Q26" s="1991"/>
      <c r="R26" s="1991"/>
      <c r="S26" s="1991"/>
    </row>
    <row r="27" spans="1:19" s="308" customFormat="1">
      <c r="A27" s="1296">
        <v>56999</v>
      </c>
      <c r="B27" s="1993" t="s">
        <v>172</v>
      </c>
      <c r="C27" s="2493">
        <f>SUM(C22+C23+C24+C25)</f>
        <v>23039</v>
      </c>
      <c r="D27" s="2493">
        <f>SUM(D22+D23+D24+D25)</f>
        <v>10945</v>
      </c>
      <c r="E27" s="2493">
        <f>SUM(E22+E23+E24+E25)</f>
        <v>7532</v>
      </c>
      <c r="F27" s="2493">
        <f>SUM(F22+F23+F24+F25)</f>
        <v>760</v>
      </c>
      <c r="G27" s="2493">
        <f>SUM(G22+G23+G24+G25)</f>
        <v>205</v>
      </c>
      <c r="H27" s="1316"/>
      <c r="I27" s="1317"/>
      <c r="J27" s="1317"/>
      <c r="K27" s="1317"/>
      <c r="L27" s="2497"/>
      <c r="M27" s="2183"/>
      <c r="N27" s="2181"/>
      <c r="O27" s="307"/>
      <c r="P27" s="1991"/>
      <c r="Q27" s="1991"/>
      <c r="R27" s="1991"/>
      <c r="S27" s="1991"/>
    </row>
    <row r="28" spans="1:19" s="308" customFormat="1" ht="13.5" thickBot="1">
      <c r="A28" s="1297"/>
      <c r="B28" s="1994"/>
      <c r="C28" s="2491"/>
      <c r="D28" s="2491"/>
      <c r="E28" s="2491"/>
      <c r="F28" s="2491"/>
      <c r="G28" s="2491"/>
      <c r="H28" s="2492"/>
      <c r="I28" s="1320"/>
      <c r="J28" s="1320"/>
      <c r="K28" s="1320"/>
      <c r="L28" s="2497"/>
      <c r="M28" s="1321"/>
      <c r="N28" s="1324"/>
      <c r="O28" s="307"/>
      <c r="P28" s="1991"/>
      <c r="Q28" s="1991"/>
      <c r="R28" s="1991"/>
      <c r="S28" s="1991"/>
    </row>
    <row r="29" spans="1:19" s="308" customFormat="1">
      <c r="A29" s="1295">
        <v>571</v>
      </c>
      <c r="B29" s="1998" t="s">
        <v>173</v>
      </c>
      <c r="C29" s="1996">
        <f>Drift!P81</f>
        <v>3384</v>
      </c>
      <c r="D29" s="1996">
        <f>SUM(Drift!C81:D81)</f>
        <v>1084</v>
      </c>
      <c r="E29" s="1996">
        <f>Drift!F81</f>
        <v>1061</v>
      </c>
      <c r="F29" s="1996">
        <f>Drift!V81</f>
        <v>197</v>
      </c>
      <c r="G29" s="68">
        <v>41</v>
      </c>
      <c r="H29" s="1322">
        <f t="shared" ref="H29:H34" si="4">C29-F29-G29</f>
        <v>3146</v>
      </c>
      <c r="I29" s="1313">
        <f>IF(C29&gt;0,H29*1000000/M12,"")</f>
        <v>551.52740307554541</v>
      </c>
      <c r="J29" s="1313">
        <v>484.06041808137724</v>
      </c>
      <c r="K29" s="1434">
        <f t="shared" ref="K29:K34" si="5">IF(ISERROR((I29-J29)/J29),"",((I29-J29)/J29))</f>
        <v>0.13937719853562999</v>
      </c>
      <c r="L29" s="2497"/>
      <c r="M29" s="2489"/>
      <c r="N29" s="1325"/>
      <c r="O29" s="307"/>
      <c r="P29" s="1990"/>
      <c r="Q29" s="1991"/>
      <c r="R29" s="1991"/>
      <c r="S29" s="1991"/>
    </row>
    <row r="30" spans="1:19" s="308" customFormat="1">
      <c r="A30" s="1295">
        <v>575</v>
      </c>
      <c r="B30" s="1998" t="s">
        <v>109</v>
      </c>
      <c r="C30" s="1977">
        <f>Drift!P82</f>
        <v>14382</v>
      </c>
      <c r="D30" s="1977">
        <f>SUM(Drift!C82:D82)</f>
        <v>2876</v>
      </c>
      <c r="E30" s="1977">
        <f>Drift!F82</f>
        <v>59</v>
      </c>
      <c r="F30" s="1977">
        <f>Drift!V82</f>
        <v>181</v>
      </c>
      <c r="G30" s="55">
        <v>5</v>
      </c>
      <c r="H30" s="1322">
        <f t="shared" si="4"/>
        <v>14196</v>
      </c>
      <c r="I30" s="1313">
        <f>IF(C30&gt;0,H30*1000000/M30,"")</f>
        <v>1387.6581899545315</v>
      </c>
      <c r="J30" s="1313">
        <v>1351.0546486931835</v>
      </c>
      <c r="K30" s="1433">
        <f t="shared" si="5"/>
        <v>2.7092568976949262E-2</v>
      </c>
      <c r="L30" s="2500"/>
      <c r="M30" s="2490">
        <v>10230185</v>
      </c>
      <c r="N30" s="1326" t="s">
        <v>538</v>
      </c>
      <c r="O30" s="307"/>
      <c r="P30" s="2512"/>
      <c r="Q30" s="2547"/>
      <c r="R30" s="2547"/>
      <c r="S30" s="1991"/>
    </row>
    <row r="31" spans="1:19" s="308" customFormat="1" ht="13.5" thickBot="1">
      <c r="A31" s="1299">
        <v>580</v>
      </c>
      <c r="B31" s="2001" t="s">
        <v>176</v>
      </c>
      <c r="C31" s="87">
        <f>C12+C21+C29+C30</f>
        <v>49501</v>
      </c>
      <c r="D31" s="87">
        <f>D12+D21+D29+D30</f>
        <v>18135</v>
      </c>
      <c r="E31" s="87">
        <f>E12+E21+E29+E30</f>
        <v>11822</v>
      </c>
      <c r="F31" s="87">
        <f>F12+F21+F29+F30</f>
        <v>1550</v>
      </c>
      <c r="G31" s="87">
        <f>G12+G21+G29+G30</f>
        <v>325</v>
      </c>
      <c r="H31" s="1327">
        <f t="shared" si="4"/>
        <v>47626</v>
      </c>
      <c r="I31" s="1328">
        <f>IF(C31&gt;0,H31*1000000/M30,"")</f>
        <v>4655.4387823876104</v>
      </c>
      <c r="J31" s="1328">
        <v>4424.6965635801989</v>
      </c>
      <c r="K31" s="1435">
        <f t="shared" si="5"/>
        <v>5.214871019781496E-2</v>
      </c>
      <c r="L31" s="2497"/>
      <c r="M31" s="1321"/>
      <c r="N31" s="1329"/>
      <c r="O31" s="307"/>
      <c r="P31" s="2547"/>
      <c r="Q31" s="2547"/>
      <c r="R31" s="2547"/>
      <c r="S31" s="1991"/>
    </row>
    <row r="32" spans="1:19" s="308" customFormat="1">
      <c r="A32" s="1296">
        <v>585</v>
      </c>
      <c r="B32" s="1999" t="s">
        <v>510</v>
      </c>
      <c r="C32" s="1977">
        <f>Drift!P84</f>
        <v>1054</v>
      </c>
      <c r="D32" s="1977">
        <f>SUM(Drift!C84:D84)</f>
        <v>680</v>
      </c>
      <c r="E32" s="1977">
        <f>Drift!F84</f>
        <v>131</v>
      </c>
      <c r="F32" s="1977">
        <f>Drift!V84</f>
        <v>35</v>
      </c>
      <c r="G32" s="343">
        <f>SUM(G33:G34)</f>
        <v>58</v>
      </c>
      <c r="H32" s="1322">
        <f t="shared" si="4"/>
        <v>961</v>
      </c>
      <c r="I32" s="1313">
        <f>IF(C32&gt;0,H32*1000000/M32,"")</f>
        <v>445.86126152291547</v>
      </c>
      <c r="J32" s="1313">
        <v>421.18196662768929</v>
      </c>
      <c r="K32" s="1434">
        <f t="shared" si="5"/>
        <v>5.8595326606283325E-2</v>
      </c>
      <c r="L32" s="2500"/>
      <c r="M32" s="2488">
        <v>2155379</v>
      </c>
      <c r="N32" s="1330" t="s">
        <v>539</v>
      </c>
      <c r="O32" s="307"/>
      <c r="P32" s="1990"/>
      <c r="Q32" s="1991"/>
      <c r="R32" s="1991"/>
      <c r="S32" s="1991"/>
    </row>
    <row r="33" spans="1:19" s="308" customFormat="1">
      <c r="A33" s="1295">
        <v>5851</v>
      </c>
      <c r="B33" s="1998" t="s">
        <v>174</v>
      </c>
      <c r="C33" s="55">
        <v>722</v>
      </c>
      <c r="D33" s="55">
        <v>507</v>
      </c>
      <c r="E33" s="55">
        <v>48</v>
      </c>
      <c r="F33" s="55">
        <v>22</v>
      </c>
      <c r="G33" s="55">
        <v>27</v>
      </c>
      <c r="H33" s="1322">
        <f t="shared" si="4"/>
        <v>673</v>
      </c>
      <c r="I33" s="1313">
        <f>IF(C33&gt;0,H33*1000000/M33,"")</f>
        <v>312.24206972416454</v>
      </c>
      <c r="J33" s="1313">
        <v>293.50823848887069</v>
      </c>
      <c r="K33" s="1433">
        <f t="shared" si="5"/>
        <v>6.382727562178532E-2</v>
      </c>
      <c r="L33" s="2500"/>
      <c r="M33" s="2488">
        <f>M32</f>
        <v>2155379</v>
      </c>
      <c r="N33" s="1330" t="s">
        <v>539</v>
      </c>
      <c r="O33" s="307"/>
      <c r="P33" s="2665"/>
      <c r="Q33" s="2547"/>
      <c r="R33" s="2547"/>
      <c r="S33" s="1991"/>
    </row>
    <row r="34" spans="1:19" s="308" customFormat="1">
      <c r="A34" s="1295">
        <v>5855</v>
      </c>
      <c r="B34" s="1998" t="s">
        <v>175</v>
      </c>
      <c r="C34" s="55">
        <v>332</v>
      </c>
      <c r="D34" s="55">
        <v>173</v>
      </c>
      <c r="E34" s="55">
        <v>83</v>
      </c>
      <c r="F34" s="55">
        <v>13</v>
      </c>
      <c r="G34" s="55">
        <v>31</v>
      </c>
      <c r="H34" s="1322">
        <f t="shared" si="4"/>
        <v>288</v>
      </c>
      <c r="I34" s="1313">
        <f>IF(C34&gt;0,H34*1000000/M34,"")</f>
        <v>43.713153075265851</v>
      </c>
      <c r="J34" s="1313">
        <v>41.654650901983402</v>
      </c>
      <c r="K34" s="1433">
        <f t="shared" si="5"/>
        <v>4.9418303327670721E-2</v>
      </c>
      <c r="L34" s="2500"/>
      <c r="M34" s="2488">
        <v>6588406</v>
      </c>
      <c r="N34" s="1330" t="s">
        <v>540</v>
      </c>
      <c r="O34" s="307"/>
      <c r="P34" s="2547"/>
      <c r="Q34" s="2547"/>
      <c r="R34" s="2547"/>
      <c r="S34" s="1991"/>
    </row>
    <row r="35" spans="1:19" s="308" customFormat="1" ht="15" customHeight="1">
      <c r="A35" s="1300">
        <v>58599</v>
      </c>
      <c r="B35" s="2002" t="s">
        <v>536</v>
      </c>
      <c r="C35" s="343">
        <f>SUM(C33:C34)</f>
        <v>1054</v>
      </c>
      <c r="D35" s="343">
        <f>SUM(D33:D34)</f>
        <v>680</v>
      </c>
      <c r="E35" s="343">
        <f>SUM(E33:E34)</f>
        <v>131</v>
      </c>
      <c r="F35" s="343">
        <f>SUM(F33:F34)</f>
        <v>35</v>
      </c>
      <c r="G35" s="343">
        <f>SUM(G33:G34)</f>
        <v>58</v>
      </c>
      <c r="H35" s="1331"/>
      <c r="I35" s="1332"/>
      <c r="J35" s="1332"/>
      <c r="K35" s="1433"/>
      <c r="L35" s="2497"/>
      <c r="M35" s="2182"/>
      <c r="N35" s="2181"/>
      <c r="O35" s="307"/>
      <c r="P35" s="2547"/>
      <c r="Q35" s="2547"/>
      <c r="R35" s="2547"/>
      <c r="S35" s="182"/>
    </row>
    <row r="36" spans="1:19" s="308" customFormat="1" ht="15" customHeight="1" thickBot="1">
      <c r="A36" s="1173"/>
      <c r="B36" s="2000"/>
      <c r="C36" s="2491"/>
      <c r="D36" s="2491"/>
      <c r="E36" s="2491"/>
      <c r="F36" s="2491"/>
      <c r="G36" s="2491"/>
      <c r="H36" s="1333"/>
      <c r="I36" s="1334"/>
      <c r="J36" s="1334"/>
      <c r="K36" s="1435"/>
      <c r="L36" s="2500"/>
      <c r="M36" s="2484"/>
      <c r="N36" s="2184"/>
      <c r="O36" s="307"/>
      <c r="P36" s="2547"/>
      <c r="Q36" s="2547"/>
      <c r="R36" s="2547"/>
      <c r="S36" s="182"/>
    </row>
    <row r="37" spans="1:19" s="308" customFormat="1" ht="16.5" customHeight="1">
      <c r="A37" s="2003"/>
      <c r="B37" s="2003"/>
      <c r="C37" s="79"/>
      <c r="D37" s="79"/>
      <c r="E37" s="79"/>
      <c r="F37" s="1386"/>
      <c r="G37" s="2246" t="str">
        <f>IF(ABS(SUM(G29:G30,G32)-(SUM(Motpart!Y35:Z35)))&gt;20,ROUND(SUM(G29:G30,G32)-SUM(Motpart!Y35:Z35),0)&amp; " tkr differens försäljning av verksamhet rad 571+575+585 mot belopp i Motpartsfliken rad 585 kol Y+Z","")</f>
        <v/>
      </c>
      <c r="H37" s="306"/>
      <c r="I37" s="2004"/>
      <c r="J37" s="2004"/>
      <c r="K37" s="2004"/>
      <c r="L37" s="306"/>
      <c r="M37" s="306"/>
      <c r="N37" s="306"/>
      <c r="O37" s="307"/>
      <c r="P37" s="182"/>
      <c r="Q37" s="182"/>
      <c r="R37" s="182"/>
      <c r="S37" s="182"/>
    </row>
    <row r="38" spans="1:19" ht="20.25" customHeight="1">
      <c r="A38" s="1355"/>
      <c r="D38" s="79"/>
      <c r="E38" s="79"/>
    </row>
    <row r="39" spans="1:19" hidden="1"/>
    <row r="40" spans="1:19" hidden="1"/>
    <row r="41" spans="1:19" hidden="1"/>
    <row r="42" spans="1:19" hidden="1"/>
    <row r="43" spans="1:19" hidden="1"/>
    <row r="44" spans="1:19" hidden="1"/>
    <row r="45" spans="1:19" hidden="1"/>
    <row r="46" spans="1:19" hidden="1"/>
    <row r="47" spans="1:19" hidden="1"/>
    <row r="48" spans="1:19"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sheetProtection password="CBFD" sheet="1" objects="1" scenarios="1"/>
  <customSheetViews>
    <customSheetView guid="{27C9E95B-0E2B-454F-B637-1CECC9579A10}" showGridLines="0" hiddenRows="1" hiddenColumns="1" showRuler="0">
      <selection activeCell="E12" sqref="E12"/>
      <pageMargins left="0.31496062992125984" right="0.31496062992125984" top="0.74803149606299213" bottom="0.74803149606299213" header="0.31496062992125984" footer="0.31496062992125984"/>
      <pageSetup paperSize="9" scale="85" orientation="landscape" r:id="rId1"/>
      <headerFooter alignWithMargins="0">
        <oddHeader>&amp;L&amp;8Statistiska Centralbyrån
Offentlig ekonomi&amp;R&amp;P</oddHeader>
      </headerFooter>
    </customSheetView>
    <customSheetView guid="{99FBDEB7-DD08-4F57-81F4-3C180403E153}" showGridLines="0" hiddenRows="1" hiddenColumns="1">
      <selection activeCell="H34" sqref="H34"/>
      <pageMargins left="0.31496062992125984" right="0.31496062992125984" top="0.74803149606299213" bottom="0.74803149606299213" header="0.31496062992125984" footer="0.31496062992125984"/>
      <pageSetup paperSize="9" scale="85" orientation="landscape" r:id="rId2"/>
      <headerFooter>
        <oddHeader>&amp;L&amp;8Statistiska Centralbyrån
Offentlig ekonomi&amp;R&amp;P</oddHeader>
      </headerFooter>
    </customSheetView>
    <customSheetView guid="{97D6DB71-3F4C-4C5F-8C5B-51E3EBF78932}" showPageBreaks="1" showGridLines="0" hiddenRows="1" hiddenColumns="1">
      <selection activeCell="H34" sqref="H34"/>
      <pageMargins left="0.31496062992125984" right="0.31496062992125984" top="0.74803149606299213" bottom="0.74803149606299213" header="0.31496062992125984" footer="0.31496062992125984"/>
      <pageSetup paperSize="9" scale="85" orientation="landscape" r:id="rId3"/>
      <headerFooter>
        <oddHeader>&amp;L&amp;8Statistiska Centralbyrån
Offentlig ekonomi&amp;R&amp;P</oddHeader>
      </headerFooter>
    </customSheetView>
  </customSheetViews>
  <mergeCells count="11">
    <mergeCell ref="P33:R36"/>
    <mergeCell ref="L6:L10"/>
    <mergeCell ref="D6:D8"/>
    <mergeCell ref="E6:E8"/>
    <mergeCell ref="F6:F8"/>
    <mergeCell ref="G6:G8"/>
    <mergeCell ref="K4:K6"/>
    <mergeCell ref="D9:D11"/>
    <mergeCell ref="P13:R16"/>
    <mergeCell ref="P22:R25"/>
    <mergeCell ref="P30:R31"/>
  </mergeCells>
  <phoneticPr fontId="92" type="noConversion"/>
  <conditionalFormatting sqref="G14:G17 G23:G25 G29:G30 C13:F17 C22:F25 C33:G34">
    <cfRule type="cellIs" dxfId="4" priority="23" stopIfTrue="1" operator="lessThan">
      <formula>-500</formula>
    </cfRule>
    <cfRule type="cellIs" dxfId="3" priority="24" stopIfTrue="1" operator="lessThan">
      <formula>0</formula>
    </cfRule>
  </conditionalFormatting>
  <conditionalFormatting sqref="B20 B28 B36">
    <cfRule type="expression" dxfId="2" priority="107" stopIfTrue="1">
      <formula>OR(G20&gt;10,G20&lt;-10)</formula>
    </cfRule>
    <cfRule type="expression" dxfId="1" priority="108" stopIfTrue="1">
      <formula>OR(F20&gt;10,F20&lt;-10)</formula>
    </cfRule>
    <cfRule type="expression" dxfId="0" priority="109" stopIfTrue="1">
      <formula>OR(C20&gt;10,C20&lt;-10)</formula>
    </cfRule>
  </conditionalFormatting>
  <dataValidations count="1">
    <dataValidation type="decimal" operator="lessThan" allowBlank="1" showInputMessage="1" showErrorMessage="1" error="Beloppet ska vara i 1000 tal kronor" sqref="G14:G17 G23:G25 G29:G30 C13:F17 C22:F25 C33:G34">
      <formula1>99999999</formula1>
    </dataValidation>
  </dataValidations>
  <pageMargins left="0.31496062992125984" right="0.31496062992125984" top="0.74803149606299213" bottom="0.74803149606299213" header="0.31496062992125984" footer="0.31496062992125984"/>
  <pageSetup paperSize="9" scale="79" orientation="landscape" r:id="rId4"/>
  <headerFooter>
    <oddHeader>&amp;L&amp;8Statistiska Centralbyrån
Offentlig ekonomi&amp;R&amp;P</oddHeader>
  </headerFooter>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topLeftCell="A58" workbookViewId="0">
      <selection activeCell="B97" sqref="B97"/>
    </sheetView>
  </sheetViews>
  <sheetFormatPr defaultRowHeight="12.75"/>
  <cols>
    <col min="1" max="1" width="29.85546875" bestFit="1" customWidth="1"/>
    <col min="2" max="2" width="30.5703125" bestFit="1" customWidth="1"/>
    <col min="3" max="3" width="82.85546875" customWidth="1"/>
    <col min="5" max="5" width="59.28515625" bestFit="1" customWidth="1"/>
  </cols>
  <sheetData>
    <row r="1" spans="1:4">
      <c r="A1" t="str">
        <f>RR!$E$7</f>
        <v/>
      </c>
      <c r="B1" t="s">
        <v>941</v>
      </c>
      <c r="C1" t="str">
        <f t="shared" ref="C1:C6" si="0">IF(AND(A1&lt;&gt;"",D1=0), A1,"")</f>
        <v/>
      </c>
      <c r="D1">
        <f>Extraordinära_RR</f>
        <v>0</v>
      </c>
    </row>
    <row r="2" spans="1:4">
      <c r="A2">
        <f>BR!$F$79</f>
        <v>0</v>
      </c>
      <c r="B2" t="s">
        <v>1224</v>
      </c>
      <c r="C2">
        <f t="shared" si="0"/>
        <v>0</v>
      </c>
      <c r="D2">
        <f>BR</f>
        <v>0</v>
      </c>
    </row>
    <row r="3" spans="1:4">
      <c r="A3" t="str">
        <f>BR!$F$61</f>
        <v/>
      </c>
      <c r="B3" t="s">
        <v>1225</v>
      </c>
      <c r="C3" t="str">
        <f t="shared" si="0"/>
        <v/>
      </c>
      <c r="D3">
        <f>BR</f>
        <v>0</v>
      </c>
    </row>
    <row r="4" spans="1:4">
      <c r="A4">
        <f>Investeringar!I13</f>
        <v>0</v>
      </c>
      <c r="B4" t="s">
        <v>1227</v>
      </c>
      <c r="C4">
        <f t="shared" si="0"/>
        <v>0</v>
      </c>
      <c r="D4">
        <f t="shared" ref="D4:D31" si="1">Förändring_anläggningstillgångar</f>
        <v>0</v>
      </c>
    </row>
    <row r="5" spans="1:4">
      <c r="A5">
        <f>Investeringar!I14</f>
        <v>0</v>
      </c>
      <c r="B5" t="s">
        <v>1292</v>
      </c>
      <c r="C5">
        <f t="shared" si="0"/>
        <v>0</v>
      </c>
      <c r="D5">
        <f t="shared" si="1"/>
        <v>0</v>
      </c>
    </row>
    <row r="6" spans="1:4">
      <c r="A6" s="340" t="str">
        <f>Investeringar!E97</f>
        <v/>
      </c>
      <c r="B6" t="s">
        <v>1229</v>
      </c>
      <c r="C6" t="str">
        <f t="shared" si="0"/>
        <v/>
      </c>
      <c r="D6">
        <f>Tillägg_2_Invest</f>
        <v>0</v>
      </c>
    </row>
    <row r="9" spans="1:4">
      <c r="A9" t="str">
        <f>Drift!$W$123</f>
        <v/>
      </c>
      <c r="B9" t="s">
        <v>953</v>
      </c>
      <c r="C9" t="str">
        <f t="shared" ref="C9:C18" si="2">IF(AND(A9&lt;&gt;"",D9=0),A9,"")</f>
        <v/>
      </c>
      <c r="D9">
        <f t="shared" ref="D9:D35" si="3">Drift</f>
        <v>0</v>
      </c>
    </row>
    <row r="10" spans="1:4">
      <c r="A10" s="340" t="str">
        <f>Drift!$P$126</f>
        <v/>
      </c>
      <c r="B10" t="s">
        <v>1135</v>
      </c>
      <c r="C10" t="str">
        <f t="shared" si="2"/>
        <v/>
      </c>
      <c r="D10">
        <f t="shared" si="3"/>
        <v>0</v>
      </c>
    </row>
    <row r="11" spans="1:4">
      <c r="A11" s="340" t="e">
        <f>Motpart!#REF!</f>
        <v>#REF!</v>
      </c>
      <c r="B11" t="s">
        <v>1232</v>
      </c>
      <c r="C11" t="e">
        <f t="shared" si="2"/>
        <v>#REF!</v>
      </c>
      <c r="D11" t="e">
        <f t="shared" ref="D11:D50" si="4">Köp_huvudvht</f>
        <v>#REF!</v>
      </c>
    </row>
    <row r="12" spans="1:4">
      <c r="A12" s="340" t="e">
        <f>Motpart!#REF!</f>
        <v>#REF!</v>
      </c>
      <c r="B12" t="s">
        <v>1233</v>
      </c>
      <c r="C12" t="e">
        <f t="shared" si="2"/>
        <v>#REF!</v>
      </c>
      <c r="D12" t="e">
        <f t="shared" si="4"/>
        <v>#REF!</v>
      </c>
    </row>
    <row r="13" spans="1:4">
      <c r="A13" s="340" t="e">
        <f>Motpart!#REF!</f>
        <v>#REF!</v>
      </c>
      <c r="B13" t="s">
        <v>1244</v>
      </c>
      <c r="C13" t="e">
        <f t="shared" si="2"/>
        <v>#REF!</v>
      </c>
      <c r="D13" t="e">
        <f t="shared" ref="D13:D54" si="5">Bidrag_o_transfer.</f>
        <v>#REF!</v>
      </c>
    </row>
    <row r="14" spans="1:4">
      <c r="A14" s="340" t="e">
        <f>Motpart!#REF!</f>
        <v>#REF!</v>
      </c>
      <c r="B14" t="s">
        <v>1245</v>
      </c>
      <c r="C14" t="e">
        <f t="shared" si="2"/>
        <v>#REF!</v>
      </c>
      <c r="D14" t="e">
        <f t="shared" si="5"/>
        <v>#REF!</v>
      </c>
    </row>
    <row r="15" spans="1:4">
      <c r="A15" s="340" t="e">
        <f>Motpart!#REF!</f>
        <v>#REF!</v>
      </c>
      <c r="B15" t="s">
        <v>1236</v>
      </c>
      <c r="C15" t="e">
        <f t="shared" si="2"/>
        <v>#REF!</v>
      </c>
      <c r="D15" t="e">
        <f t="shared" si="4"/>
        <v>#REF!</v>
      </c>
    </row>
    <row r="16" spans="1:4">
      <c r="A16" s="340" t="e">
        <f>Motpart!#REF!</f>
        <v>#REF!</v>
      </c>
      <c r="B16" t="s">
        <v>1237</v>
      </c>
      <c r="C16" t="e">
        <f t="shared" si="2"/>
        <v>#REF!</v>
      </c>
      <c r="D16" t="e">
        <f t="shared" si="4"/>
        <v>#REF!</v>
      </c>
    </row>
    <row r="17" spans="1:4">
      <c r="A17" s="340" t="e">
        <f>Motpart!#REF!</f>
        <v>#REF!</v>
      </c>
      <c r="B17" t="s">
        <v>1240</v>
      </c>
      <c r="C17" t="e">
        <f t="shared" si="2"/>
        <v>#REF!</v>
      </c>
      <c r="D17" t="e">
        <f t="shared" si="5"/>
        <v>#REF!</v>
      </c>
    </row>
    <row r="18" spans="1:4">
      <c r="A18" s="340" t="e">
        <f>Motpart!#REF!</f>
        <v>#REF!</v>
      </c>
      <c r="B18" t="s">
        <v>1241</v>
      </c>
      <c r="C18" t="e">
        <f t="shared" si="2"/>
        <v>#REF!</v>
      </c>
      <c r="D18" t="e">
        <f t="shared" si="5"/>
        <v>#REF!</v>
      </c>
    </row>
    <row r="19" spans="1:4">
      <c r="A19" t="str">
        <f>'Verks int o kostn'!$E$20</f>
        <v/>
      </c>
      <c r="B19" t="s">
        <v>942</v>
      </c>
      <c r="C19" t="str">
        <f t="shared" ref="C19:C35" si="6">IF(AND(A19&lt;&gt;"",D19=0), A19,"")</f>
        <v/>
      </c>
      <c r="D19">
        <f>Vht_int</f>
        <v>0</v>
      </c>
    </row>
    <row r="20" spans="1:4">
      <c r="A20" t="str">
        <f>'Verks int o kostn'!$E$21</f>
        <v/>
      </c>
      <c r="B20" t="s">
        <v>943</v>
      </c>
      <c r="C20" t="str">
        <f t="shared" si="6"/>
        <v/>
      </c>
      <c r="D20">
        <f>Vht_int</f>
        <v>0</v>
      </c>
    </row>
    <row r="21" spans="1:4">
      <c r="A21" t="str">
        <f>'Verks int o kostn'!D35</f>
        <v/>
      </c>
      <c r="B21" s="1672" t="s">
        <v>1226</v>
      </c>
      <c r="C21" t="str">
        <f t="shared" si="6"/>
        <v/>
      </c>
      <c r="D21">
        <f>Vht_int</f>
        <v>0</v>
      </c>
    </row>
    <row r="22" spans="1:4">
      <c r="A22" t="str">
        <f>'Verks int o kostn'!$J$41</f>
        <v/>
      </c>
      <c r="B22" t="s">
        <v>945</v>
      </c>
      <c r="C22" t="str">
        <f>IF(AND(A22&lt;&gt;"",D22=0), A22,"")</f>
        <v/>
      </c>
      <c r="D22">
        <f>Vht_kostn</f>
        <v>0</v>
      </c>
    </row>
    <row r="23" spans="1:4">
      <c r="A23" s="340" t="str">
        <f>'Verks int o kostn'!$J$45</f>
        <v/>
      </c>
      <c r="B23" t="s">
        <v>944</v>
      </c>
      <c r="C23" t="str">
        <f t="shared" si="6"/>
        <v/>
      </c>
      <c r="D23">
        <f>Vht_kostn</f>
        <v>0</v>
      </c>
    </row>
    <row r="24" spans="1:4">
      <c r="A24" s="340" t="str">
        <f>'Verks int o kostn'!$D$76</f>
        <v/>
      </c>
      <c r="B24" t="s">
        <v>940</v>
      </c>
      <c r="C24" t="str">
        <f>IF(AND(A24&lt;&gt;"",D24=0), A24,"")</f>
        <v/>
      </c>
      <c r="D24">
        <f>Vht_kostn</f>
        <v>0</v>
      </c>
    </row>
    <row r="25" spans="1:4">
      <c r="A25" t="str">
        <f>'Skatter, bidrag o fin poster'!$E$11</f>
        <v/>
      </c>
      <c r="B25" t="s">
        <v>946</v>
      </c>
      <c r="C25" t="str">
        <f t="shared" si="6"/>
        <v/>
      </c>
      <c r="D25">
        <f>Skatter_bidrag_finpost</f>
        <v>0</v>
      </c>
    </row>
    <row r="26" spans="1:4">
      <c r="A26">
        <f>'Skatter, bidrag o fin poster'!E28</f>
        <v>0</v>
      </c>
      <c r="B26" s="1672" t="s">
        <v>1294</v>
      </c>
      <c r="C26">
        <f t="shared" si="6"/>
        <v>0</v>
      </c>
      <c r="D26">
        <f>Skatter_bidrag_finpost</f>
        <v>0</v>
      </c>
    </row>
    <row r="27" spans="1:4">
      <c r="A27" s="340" t="str">
        <f>Investeringar!$C$16</f>
        <v/>
      </c>
      <c r="B27" t="s">
        <v>947</v>
      </c>
      <c r="C27" t="str">
        <f t="shared" si="6"/>
        <v/>
      </c>
      <c r="D27">
        <f t="shared" si="1"/>
        <v>0</v>
      </c>
    </row>
    <row r="28" spans="1:4">
      <c r="A28" s="340" t="str">
        <f>Investeringar!$D$16</f>
        <v/>
      </c>
      <c r="B28" t="s">
        <v>948</v>
      </c>
      <c r="C28" t="str">
        <f t="shared" si="6"/>
        <v/>
      </c>
      <c r="D28">
        <f t="shared" si="1"/>
        <v>0</v>
      </c>
    </row>
    <row r="29" spans="1:4">
      <c r="A29" s="340" t="str">
        <f>Investeringar!$E$16</f>
        <v/>
      </c>
      <c r="B29" t="s">
        <v>949</v>
      </c>
      <c r="C29" t="str">
        <f t="shared" si="6"/>
        <v/>
      </c>
      <c r="D29">
        <f t="shared" si="1"/>
        <v>0</v>
      </c>
    </row>
    <row r="30" spans="1:4">
      <c r="A30" s="340" t="str">
        <f>Investeringar!$F$16</f>
        <v/>
      </c>
      <c r="B30" t="s">
        <v>950</v>
      </c>
      <c r="C30" t="str">
        <f t="shared" si="6"/>
        <v/>
      </c>
      <c r="D30">
        <f t="shared" si="1"/>
        <v>0</v>
      </c>
    </row>
    <row r="31" spans="1:4">
      <c r="A31" s="340" t="str">
        <f>Investeringar!G66</f>
        <v/>
      </c>
      <c r="B31" t="s">
        <v>1228</v>
      </c>
      <c r="C31" t="str">
        <f t="shared" si="6"/>
        <v/>
      </c>
      <c r="D31">
        <f t="shared" si="1"/>
        <v>0</v>
      </c>
    </row>
    <row r="32" spans="1:4">
      <c r="A32" s="340">
        <f>Drift!AD113</f>
        <v>0</v>
      </c>
      <c r="B32" t="s">
        <v>951</v>
      </c>
      <c r="C32">
        <f>IF(AND(A32&lt;&gt;"",D32=0),A32,"")</f>
        <v>0</v>
      </c>
      <c r="D32">
        <f t="shared" si="3"/>
        <v>0</v>
      </c>
    </row>
    <row r="33" spans="1:4">
      <c r="A33" t="str">
        <f>Drift!$N$114</f>
        <v/>
      </c>
      <c r="B33" t="s">
        <v>952</v>
      </c>
      <c r="C33" t="str">
        <f>IF(AND(A33&lt;&gt;"",D33=0), A33,"")</f>
        <v/>
      </c>
      <c r="D33">
        <f t="shared" si="3"/>
        <v>0</v>
      </c>
    </row>
    <row r="34" spans="1:4">
      <c r="A34" s="340" t="str">
        <f>Drift!X116</f>
        <v/>
      </c>
      <c r="B34" t="s">
        <v>1133</v>
      </c>
      <c r="C34" t="str">
        <f t="shared" si="6"/>
        <v/>
      </c>
      <c r="D34">
        <f t="shared" si="3"/>
        <v>0</v>
      </c>
    </row>
    <row r="35" spans="1:4">
      <c r="A35" t="str">
        <f>Drift!J118</f>
        <v/>
      </c>
      <c r="B35" t="s">
        <v>1134</v>
      </c>
      <c r="C35" t="str">
        <f t="shared" si="6"/>
        <v/>
      </c>
      <c r="D35">
        <f t="shared" si="3"/>
        <v>0</v>
      </c>
    </row>
    <row r="36" spans="1:4">
      <c r="A36" t="str">
        <f>Motpart!$AD$10</f>
        <v/>
      </c>
      <c r="B36" t="s">
        <v>954</v>
      </c>
      <c r="C36" t="e">
        <f t="shared" ref="C36:C46" si="7">IF(AND(A36&lt;&gt;"",D36=0),A36,"")</f>
        <v>#REF!</v>
      </c>
      <c r="D36" t="e">
        <f t="shared" ref="D36:D46" si="8">Spec_intäkter</f>
        <v>#REF!</v>
      </c>
    </row>
    <row r="37" spans="1:4">
      <c r="A37" t="str">
        <f>Motpart!$AD$39</f>
        <v/>
      </c>
      <c r="B37" t="s">
        <v>1075</v>
      </c>
      <c r="C37" t="e">
        <f t="shared" si="7"/>
        <v>#REF!</v>
      </c>
      <c r="D37" t="e">
        <f t="shared" si="8"/>
        <v>#REF!</v>
      </c>
    </row>
    <row r="38" spans="1:4">
      <c r="A38" t="e">
        <f>Motpart!#REF!</f>
        <v>#REF!</v>
      </c>
      <c r="B38" t="s">
        <v>1068</v>
      </c>
      <c r="C38" t="e">
        <f t="shared" si="7"/>
        <v>#REF!</v>
      </c>
      <c r="D38" t="e">
        <f>Köp_huvudvht</f>
        <v>#REF!</v>
      </c>
    </row>
    <row r="39" spans="1:4">
      <c r="A39" s="340" t="e">
        <f>Motpart!#REF!</f>
        <v>#REF!</v>
      </c>
      <c r="B39" t="s">
        <v>1069</v>
      </c>
      <c r="C39" t="e">
        <f t="shared" si="7"/>
        <v>#REF!</v>
      </c>
      <c r="D39" t="e">
        <f>Bidrag_o_transfer.</f>
        <v>#REF!</v>
      </c>
    </row>
    <row r="40" spans="1:4">
      <c r="A40" s="340" t="e">
        <f>Motpart!#REF!</f>
        <v>#REF!</v>
      </c>
      <c r="B40" t="s">
        <v>1141</v>
      </c>
      <c r="C40" t="e">
        <f t="shared" si="7"/>
        <v>#REF!</v>
      </c>
      <c r="D40" t="e">
        <f>Bidrag_o_transfer.</f>
        <v>#REF!</v>
      </c>
    </row>
    <row r="41" spans="1:4">
      <c r="A41" s="340" t="e">
        <f>Motpart!#REF!</f>
        <v>#REF!</v>
      </c>
      <c r="B41" t="s">
        <v>1072</v>
      </c>
      <c r="C41" t="e">
        <f t="shared" si="7"/>
        <v>#REF!</v>
      </c>
      <c r="D41" t="e">
        <f t="shared" si="8"/>
        <v>#REF!</v>
      </c>
    </row>
    <row r="42" spans="1:4">
      <c r="A42" s="340" t="e">
        <f>Motpart!#REF!</f>
        <v>#REF!</v>
      </c>
      <c r="B42" t="s">
        <v>1073</v>
      </c>
      <c r="C42" t="e">
        <f t="shared" si="7"/>
        <v>#REF!</v>
      </c>
      <c r="D42" t="e">
        <f t="shared" si="8"/>
        <v>#REF!</v>
      </c>
    </row>
    <row r="43" spans="1:4">
      <c r="A43" s="340" t="e">
        <f>Motpart!#REF!</f>
        <v>#REF!</v>
      </c>
      <c r="B43" t="s">
        <v>1074</v>
      </c>
      <c r="C43" t="e">
        <f t="shared" si="7"/>
        <v>#REF!</v>
      </c>
      <c r="D43" t="e">
        <f t="shared" si="8"/>
        <v>#REF!</v>
      </c>
    </row>
    <row r="44" spans="1:4">
      <c r="A44" s="340" t="e">
        <f>Motpart!#REF!</f>
        <v>#REF!</v>
      </c>
      <c r="B44" t="s">
        <v>1246</v>
      </c>
      <c r="C44" t="e">
        <f t="shared" si="7"/>
        <v>#REF!</v>
      </c>
      <c r="D44" t="e">
        <f t="shared" si="5"/>
        <v>#REF!</v>
      </c>
    </row>
    <row r="45" spans="1:4">
      <c r="A45" s="340" t="e">
        <f>Motpart!#REF!</f>
        <v>#REF!</v>
      </c>
      <c r="B45" t="s">
        <v>1070</v>
      </c>
      <c r="C45" t="e">
        <f t="shared" si="7"/>
        <v>#REF!</v>
      </c>
      <c r="D45" t="e">
        <f t="shared" si="8"/>
        <v>#REF!</v>
      </c>
    </row>
    <row r="46" spans="1:4">
      <c r="A46" s="340" t="e">
        <f>Motpart!#REF!</f>
        <v>#REF!</v>
      </c>
      <c r="B46" t="s">
        <v>1071</v>
      </c>
      <c r="C46" t="e">
        <f t="shared" si="7"/>
        <v>#REF!</v>
      </c>
      <c r="D46" t="e">
        <f t="shared" si="8"/>
        <v>#REF!</v>
      </c>
    </row>
    <row r="47" spans="1:4">
      <c r="A47" s="340" t="e">
        <f>Motpart!#REF!</f>
        <v>#REF!</v>
      </c>
      <c r="B47" t="s">
        <v>1230</v>
      </c>
      <c r="C47" t="e">
        <f t="shared" ref="C47:C54" si="9">IF(AND(A47&lt;&gt;"",D47=0),A47,"")</f>
        <v>#REF!</v>
      </c>
      <c r="D47" t="e">
        <f t="shared" si="4"/>
        <v>#REF!</v>
      </c>
    </row>
    <row r="48" spans="1:4">
      <c r="A48" s="340" t="e">
        <f>Motpart!#REF!</f>
        <v>#REF!</v>
      </c>
      <c r="B48" t="s">
        <v>1231</v>
      </c>
      <c r="C48" t="e">
        <f t="shared" si="9"/>
        <v>#REF!</v>
      </c>
      <c r="D48" t="e">
        <f t="shared" si="4"/>
        <v>#REF!</v>
      </c>
    </row>
    <row r="49" spans="1:8">
      <c r="A49" s="340" t="e">
        <f>Motpart!#REF!</f>
        <v>#REF!</v>
      </c>
      <c r="B49" t="s">
        <v>1234</v>
      </c>
      <c r="C49" t="e">
        <f>IF(AND(A49&lt;&gt;"",D49=0),A49,"")</f>
        <v>#REF!</v>
      </c>
      <c r="D49" t="e">
        <f t="shared" si="4"/>
        <v>#REF!</v>
      </c>
    </row>
    <row r="50" spans="1:8">
      <c r="A50" s="340" t="e">
        <f>Motpart!#REF!</f>
        <v>#REF!</v>
      </c>
      <c r="B50" t="s">
        <v>1235</v>
      </c>
      <c r="C50" t="e">
        <f>IF(AND(A50&lt;&gt;"",D50=0),A50,"")</f>
        <v>#REF!</v>
      </c>
      <c r="D50" t="e">
        <f t="shared" si="4"/>
        <v>#REF!</v>
      </c>
    </row>
    <row r="51" spans="1:8">
      <c r="A51" s="340" t="e">
        <f>Motpart!#REF!</f>
        <v>#REF!</v>
      </c>
      <c r="B51" t="s">
        <v>1238</v>
      </c>
      <c r="C51" t="e">
        <f t="shared" si="9"/>
        <v>#REF!</v>
      </c>
      <c r="D51" t="e">
        <f t="shared" si="5"/>
        <v>#REF!</v>
      </c>
    </row>
    <row r="52" spans="1:8">
      <c r="A52" s="340" t="e">
        <f>Motpart!#REF!</f>
        <v>#REF!</v>
      </c>
      <c r="B52" t="s">
        <v>1239</v>
      </c>
      <c r="C52" t="e">
        <f t="shared" si="9"/>
        <v>#REF!</v>
      </c>
      <c r="D52" t="e">
        <f t="shared" si="5"/>
        <v>#REF!</v>
      </c>
    </row>
    <row r="53" spans="1:8">
      <c r="A53" s="340" t="e">
        <f>Motpart!#REF!</f>
        <v>#REF!</v>
      </c>
      <c r="B53" t="s">
        <v>1242</v>
      </c>
      <c r="C53" t="e">
        <f t="shared" si="9"/>
        <v>#REF!</v>
      </c>
      <c r="D53" t="e">
        <f t="shared" si="5"/>
        <v>#REF!</v>
      </c>
    </row>
    <row r="54" spans="1:8">
      <c r="A54" s="340" t="e">
        <f>Motpart!#REF!</f>
        <v>#REF!</v>
      </c>
      <c r="B54" t="s">
        <v>1243</v>
      </c>
      <c r="C54" t="e">
        <f t="shared" si="9"/>
        <v>#REF!</v>
      </c>
      <c r="D54" t="e">
        <f t="shared" si="5"/>
        <v>#REF!</v>
      </c>
    </row>
    <row r="55" spans="1:8">
      <c r="A55" s="1867">
        <f>'Pedagogisk verksamhet'!P9</f>
        <v>0</v>
      </c>
      <c r="B55" s="1672" t="s">
        <v>1120</v>
      </c>
      <c r="C55" t="e">
        <f t="shared" ref="C55:C71" si="10">IF(AND(A55&lt;&gt;"",D55=0),CONCATENATE(E55,F55),"")</f>
        <v>#REF!</v>
      </c>
      <c r="D55" t="e">
        <f>Förskola</f>
        <v>#REF!</v>
      </c>
      <c r="E55" t="str">
        <f>CONCATENATE(A55,H55)</f>
        <v>0 förskola</v>
      </c>
      <c r="F55" s="340"/>
      <c r="H55" t="s">
        <v>1249</v>
      </c>
    </row>
    <row r="56" spans="1:8">
      <c r="A56">
        <f>'Pedagogisk verksamhet'!P17</f>
        <v>0</v>
      </c>
      <c r="B56" s="1672" t="s">
        <v>1119</v>
      </c>
      <c r="C56" t="e">
        <f t="shared" si="10"/>
        <v>#REF!</v>
      </c>
      <c r="D56" t="e">
        <f>Fritidshem</f>
        <v>#REF!</v>
      </c>
      <c r="E56" t="str">
        <f>CONCATENATE(A56,H56)</f>
        <v>0 fritidshem</v>
      </c>
      <c r="F56" s="340"/>
      <c r="H56" t="s">
        <v>1250</v>
      </c>
    </row>
    <row r="57" spans="1:8">
      <c r="A57">
        <f>'Pedagogisk verksamhet'!P25</f>
        <v>0</v>
      </c>
      <c r="B57" s="1672" t="s">
        <v>1293</v>
      </c>
      <c r="C57" t="e">
        <f t="shared" si="10"/>
        <v>#REF!</v>
      </c>
      <c r="D57" t="e">
        <f>Förskoleklass</f>
        <v>#REF!</v>
      </c>
      <c r="E57" t="str">
        <f>CONCATENATE(A57,H57)</f>
        <v>0 förskoleklass</v>
      </c>
      <c r="F57" s="340"/>
      <c r="H57" t="s">
        <v>1251</v>
      </c>
    </row>
    <row r="58" spans="1:8">
      <c r="A58">
        <f>'Pedagogisk verksamhet'!P31</f>
        <v>0</v>
      </c>
      <c r="B58" s="1672" t="s">
        <v>1113</v>
      </c>
      <c r="C58" t="e">
        <f t="shared" si="10"/>
        <v>#REF!</v>
      </c>
      <c r="D58" t="e">
        <f>Grundskola</f>
        <v>#REF!</v>
      </c>
      <c r="E58" t="str">
        <f>CONCATENATE(A58,H58)</f>
        <v>0 grundskola</v>
      </c>
      <c r="F58" s="340"/>
      <c r="H58" t="s">
        <v>1252</v>
      </c>
    </row>
    <row r="59" spans="1:8">
      <c r="A59">
        <f>'Pedagogisk verksamhet'!$P$43</f>
        <v>0</v>
      </c>
      <c r="B59" t="s">
        <v>955</v>
      </c>
      <c r="C59" t="e">
        <f t="shared" si="10"/>
        <v>#REF!</v>
      </c>
      <c r="D59" t="e">
        <f>Grundskola</f>
        <v>#REF!</v>
      </c>
      <c r="E59" s="340" t="s">
        <v>1121</v>
      </c>
      <c r="H59" s="340" t="s">
        <v>1121</v>
      </c>
    </row>
    <row r="60" spans="1:8">
      <c r="A60">
        <f>'Pedagogisk verksamhet'!P44</f>
        <v>0</v>
      </c>
      <c r="B60" s="1672" t="s">
        <v>1114</v>
      </c>
      <c r="C60" t="e">
        <f t="shared" si="10"/>
        <v>#REF!</v>
      </c>
      <c r="D60" t="e">
        <f>Grundsärskola</f>
        <v>#REF!</v>
      </c>
      <c r="E60" t="str">
        <f>CONCATENATE(A60,H60)</f>
        <v>0 grundsärskola</v>
      </c>
      <c r="F60" s="340"/>
      <c r="H60" t="s">
        <v>1253</v>
      </c>
    </row>
    <row r="61" spans="1:8">
      <c r="A61">
        <f>'Pedagogisk verksamhet'!$P$53</f>
        <v>0</v>
      </c>
      <c r="B61" t="s">
        <v>956</v>
      </c>
      <c r="C61" t="e">
        <f t="shared" si="10"/>
        <v>#REF!</v>
      </c>
      <c r="D61" t="e">
        <f>Grundsärskola</f>
        <v>#REF!</v>
      </c>
      <c r="E61" t="s">
        <v>1247</v>
      </c>
      <c r="F61" s="340"/>
      <c r="H61" t="s">
        <v>1247</v>
      </c>
    </row>
    <row r="62" spans="1:8">
      <c r="A62">
        <f>'Pedagogisk verksamhet'!P57</f>
        <v>0</v>
      </c>
      <c r="B62" s="1672" t="s">
        <v>1122</v>
      </c>
      <c r="C62" t="e">
        <f t="shared" si="10"/>
        <v>#REF!</v>
      </c>
      <c r="D62" t="e">
        <f>Grundsärskola</f>
        <v>#REF!</v>
      </c>
      <c r="E62" s="340" t="s">
        <v>1123</v>
      </c>
      <c r="H62" s="340" t="s">
        <v>1123</v>
      </c>
    </row>
    <row r="63" spans="1:8">
      <c r="A63">
        <f>'Pedagogisk verksamhet'!P58</f>
        <v>0</v>
      </c>
      <c r="B63" s="1672" t="s">
        <v>1115</v>
      </c>
      <c r="C63" t="e">
        <f t="shared" si="10"/>
        <v>#REF!</v>
      </c>
      <c r="D63" t="e">
        <f>Gymnasieskola</f>
        <v>#REF!</v>
      </c>
      <c r="E63" t="str">
        <f>CONCATENATE(A63,H63)</f>
        <v>0 gymnasieskolan</v>
      </c>
      <c r="F63" s="340"/>
      <c r="H63" t="s">
        <v>1254</v>
      </c>
    </row>
    <row r="64" spans="1:8">
      <c r="A64">
        <f>'Pedagogisk verksamhet'!$P$67</f>
        <v>0</v>
      </c>
      <c r="B64" t="s">
        <v>958</v>
      </c>
      <c r="C64" t="e">
        <f t="shared" si="10"/>
        <v>#REF!</v>
      </c>
      <c r="D64" s="456" t="e">
        <f>Gymnasieskola</f>
        <v>#REF!</v>
      </c>
      <c r="E64" t="s">
        <v>1257</v>
      </c>
      <c r="F64" s="340"/>
      <c r="H64" t="s">
        <v>1124</v>
      </c>
    </row>
    <row r="65" spans="1:8">
      <c r="A65">
        <f>'Pedagogisk verksamhet'!P71</f>
        <v>0</v>
      </c>
      <c r="B65" s="1672" t="s">
        <v>1125</v>
      </c>
      <c r="C65" t="e">
        <f t="shared" si="10"/>
        <v>#REF!</v>
      </c>
      <c r="D65" s="456" t="e">
        <f>Gymnasieskola</f>
        <v>#REF!</v>
      </c>
      <c r="E65" t="s">
        <v>1126</v>
      </c>
      <c r="F65" s="340"/>
      <c r="H65" t="s">
        <v>1126</v>
      </c>
    </row>
    <row r="66" spans="1:8">
      <c r="A66">
        <f>'Pedagogisk verksamhet'!P72</f>
        <v>0</v>
      </c>
      <c r="B66" s="1672" t="s">
        <v>1116</v>
      </c>
      <c r="C66" t="e">
        <f t="shared" si="10"/>
        <v>#REF!</v>
      </c>
      <c r="D66" s="456" t="e">
        <f>Gymnasieskola</f>
        <v>#REF!</v>
      </c>
      <c r="E66" t="s">
        <v>1248</v>
      </c>
      <c r="F66" s="340"/>
      <c r="H66" t="s">
        <v>1248</v>
      </c>
    </row>
    <row r="67" spans="1:8">
      <c r="A67">
        <f>'Pedagogisk verksamhet'!P85</f>
        <v>0</v>
      </c>
      <c r="B67" s="1672" t="s">
        <v>1127</v>
      </c>
      <c r="C67" t="e">
        <f t="shared" si="10"/>
        <v>#REF!</v>
      </c>
      <c r="D67" s="456" t="e">
        <f>Gymnasieskola</f>
        <v>#REF!</v>
      </c>
      <c r="E67" t="s">
        <v>1128</v>
      </c>
      <c r="F67" s="340"/>
      <c r="H67" t="s">
        <v>1128</v>
      </c>
    </row>
    <row r="68" spans="1:8">
      <c r="A68">
        <f>'Pedagogisk verksamhet'!P86</f>
        <v>0</v>
      </c>
      <c r="B68" s="1672" t="s">
        <v>1117</v>
      </c>
      <c r="C68" t="e">
        <f t="shared" si="10"/>
        <v>#REF!</v>
      </c>
      <c r="D68" s="456" t="e">
        <f>Grundvux</f>
        <v>#REF!</v>
      </c>
      <c r="E68" t="str">
        <f>CONCATENATE(A68,H68)</f>
        <v xml:space="preserve">0 grundläggande vuxenutbildning </v>
      </c>
      <c r="F68" s="340"/>
      <c r="H68" t="s">
        <v>1255</v>
      </c>
    </row>
    <row r="69" spans="1:8">
      <c r="A69">
        <f>'Pedagogisk verksamhet'!P93</f>
        <v>0</v>
      </c>
      <c r="B69" s="1672" t="s">
        <v>1129</v>
      </c>
      <c r="C69" t="e">
        <f t="shared" si="10"/>
        <v>#REF!</v>
      </c>
      <c r="D69" s="456" t="e">
        <f>Grundvux</f>
        <v>#REF!</v>
      </c>
      <c r="E69" t="s">
        <v>1130</v>
      </c>
      <c r="F69" s="340"/>
      <c r="H69" t="s">
        <v>1130</v>
      </c>
    </row>
    <row r="70" spans="1:8">
      <c r="A70">
        <f>'Pedagogisk verksamhet'!P95</f>
        <v>0</v>
      </c>
      <c r="B70" s="1672" t="s">
        <v>1118</v>
      </c>
      <c r="C70" t="e">
        <f t="shared" si="10"/>
        <v>#REF!</v>
      </c>
      <c r="D70" t="e">
        <f>Gymnvux</f>
        <v>#REF!</v>
      </c>
      <c r="E70" t="str">
        <f>CONCATENATE(A70,H70)</f>
        <v xml:space="preserve">0 gymnasial vuxen- och påbyggnadsutbildning </v>
      </c>
      <c r="F70" s="340"/>
      <c r="H70" t="s">
        <v>1256</v>
      </c>
    </row>
    <row r="71" spans="1:8">
      <c r="A71">
        <f>'Pedagogisk verksamhet'!P102</f>
        <v>0</v>
      </c>
      <c r="B71" s="1672" t="s">
        <v>1131</v>
      </c>
      <c r="C71" t="e">
        <f t="shared" si="10"/>
        <v>#REF!</v>
      </c>
      <c r="D71" t="e">
        <f>Gymnvux</f>
        <v>#REF!</v>
      </c>
      <c r="E71" t="s">
        <v>1132</v>
      </c>
      <c r="F71" s="340"/>
      <c r="H71" t="s">
        <v>1132</v>
      </c>
    </row>
    <row r="72" spans="1:8">
      <c r="A72" s="340">
        <f>'Äldre o personer funktionsn'!$P$20</f>
        <v>0</v>
      </c>
      <c r="B72" t="s">
        <v>972</v>
      </c>
      <c r="C72">
        <f t="shared" ref="C72:C79" si="11">IF(AND(A72&lt;&gt;"",D72=0),A72,"")</f>
        <v>0</v>
      </c>
      <c r="D72">
        <f>Äldre</f>
        <v>0</v>
      </c>
    </row>
    <row r="73" spans="1:8">
      <c r="A73" s="340">
        <f>'Äldre o personer funktionsn'!$P$30</f>
        <v>0</v>
      </c>
      <c r="B73" s="1672" t="s">
        <v>1258</v>
      </c>
      <c r="C73">
        <f t="shared" si="11"/>
        <v>0</v>
      </c>
      <c r="D73">
        <f>Funktionsnedsättning</f>
        <v>0</v>
      </c>
    </row>
    <row r="74" spans="1:8">
      <c r="A74" s="340">
        <f>'Äldre o personer funktionsn'!$P$38</f>
        <v>0</v>
      </c>
      <c r="B74" s="1672" t="s">
        <v>1259</v>
      </c>
      <c r="C74">
        <f t="shared" si="11"/>
        <v>0</v>
      </c>
      <c r="D74">
        <f>LSS</f>
        <v>0</v>
      </c>
    </row>
    <row r="75" spans="1:8">
      <c r="A75" t="str">
        <f>'Äldre o personer funktionsn'!$D$59</f>
        <v/>
      </c>
      <c r="B75" t="s">
        <v>973</v>
      </c>
      <c r="C75" t="str">
        <f t="shared" si="11"/>
        <v/>
      </c>
      <c r="D75">
        <f>Spec_VoO</f>
        <v>0</v>
      </c>
    </row>
    <row r="76" spans="1:8">
      <c r="A76" s="340">
        <f>IFO!$L$20</f>
        <v>0</v>
      </c>
      <c r="B76" t="s">
        <v>1277</v>
      </c>
      <c r="C76">
        <f t="shared" si="11"/>
        <v>0</v>
      </c>
      <c r="D76">
        <f>Vuxna_missb.</f>
        <v>0</v>
      </c>
    </row>
    <row r="77" spans="1:8">
      <c r="A77" s="340">
        <f>IFO!$L$28</f>
        <v>0</v>
      </c>
      <c r="B77" t="s">
        <v>1278</v>
      </c>
      <c r="C77">
        <f t="shared" si="11"/>
        <v>0</v>
      </c>
      <c r="D77">
        <f>Barn_o_ungdomsvård</f>
        <v>0</v>
      </c>
    </row>
    <row r="78" spans="1:8">
      <c r="A78" s="340">
        <f>IFO!$L$30</f>
        <v>0</v>
      </c>
      <c r="B78" t="s">
        <v>1276</v>
      </c>
      <c r="C78">
        <f>IF(AND(A78&lt;&gt;"",D78=0),A78,"")</f>
        <v>0</v>
      </c>
      <c r="D78">
        <f>Övr._o_ek.bistånd</f>
        <v>0</v>
      </c>
    </row>
    <row r="79" spans="1:8">
      <c r="A79" s="340">
        <f>IFO!$L$36</f>
        <v>0</v>
      </c>
      <c r="B79" t="s">
        <v>1279</v>
      </c>
      <c r="C79">
        <f t="shared" si="11"/>
        <v>0</v>
      </c>
      <c r="D79">
        <f>Familjerätt</f>
        <v>0</v>
      </c>
    </row>
    <row r="80" spans="1:8">
      <c r="A80" s="340" t="e">
        <f>#REF!</f>
        <v>#REF!</v>
      </c>
      <c r="B80" t="s">
        <v>957</v>
      </c>
      <c r="C80" t="e">
        <f>IF(AND(A80&lt;&gt;"",D80=0,E80=0),A80,"")</f>
        <v>#REF!</v>
      </c>
      <c r="D80" t="e">
        <f>Kontrollblad_1</f>
        <v>#REF!</v>
      </c>
      <c r="E80">
        <f t="shared" ref="E80:E93" si="12">Drift</f>
        <v>0</v>
      </c>
    </row>
    <row r="81" spans="1:5">
      <c r="A81" s="340" t="e">
        <f>#REF!</f>
        <v>#REF!</v>
      </c>
      <c r="B81" t="s">
        <v>959</v>
      </c>
      <c r="C81" t="e">
        <f>IF(AND(A81&lt;&gt;"",D81=0,E81=0),A81,"")</f>
        <v>#REF!</v>
      </c>
      <c r="D81" t="e">
        <f>Kontrollblad_2</f>
        <v>#REF!</v>
      </c>
      <c r="E81">
        <f t="shared" si="12"/>
        <v>0</v>
      </c>
    </row>
    <row r="82" spans="1:5">
      <c r="A82" s="340" t="e">
        <f>#REF!</f>
        <v>#REF!</v>
      </c>
      <c r="B82" t="s">
        <v>960</v>
      </c>
      <c r="C82" t="e">
        <f>IF(AND(A82&lt;&gt;"",D82=0,E82=0),A82,"")</f>
        <v>#REF!</v>
      </c>
      <c r="D82" t="e">
        <f>Kontrollblad_3</f>
        <v>#REF!</v>
      </c>
      <c r="E82">
        <f t="shared" si="12"/>
        <v>0</v>
      </c>
    </row>
    <row r="83" spans="1:5">
      <c r="A83" s="340" t="e">
        <f>#REF!</f>
        <v>#REF!</v>
      </c>
      <c r="B83" t="s">
        <v>961</v>
      </c>
      <c r="C83" t="e">
        <f>IF(AND(A83&lt;&gt;"",D83=0,E83=0),A83,"")</f>
        <v>#REF!</v>
      </c>
      <c r="D83" t="e">
        <f>Kontrollblad_4</f>
        <v>#REF!</v>
      </c>
      <c r="E83">
        <f t="shared" si="12"/>
        <v>0</v>
      </c>
    </row>
    <row r="84" spans="1:5">
      <c r="A84" s="340" t="e">
        <f>#REF!</f>
        <v>#REF!</v>
      </c>
      <c r="B84" t="s">
        <v>962</v>
      </c>
      <c r="C84" t="e">
        <f>IF(AND(A84&lt;&gt;"",D84=0,E84=0),A84,"")</f>
        <v>#REF!</v>
      </c>
      <c r="D84" t="e">
        <f>Kontrollblad_5</f>
        <v>#REF!</v>
      </c>
      <c r="E84">
        <f t="shared" si="12"/>
        <v>0</v>
      </c>
    </row>
    <row r="85" spans="1:5">
      <c r="A85" s="340" t="e">
        <f>#REF!</f>
        <v>#REF!</v>
      </c>
      <c r="B85" t="s">
        <v>963</v>
      </c>
      <c r="C85" t="e">
        <f t="shared" ref="C85:C93" si="13">IF(AND(A85&lt;&gt;"",D85=0,E85=0),A85,"")</f>
        <v>#REF!</v>
      </c>
      <c r="D85" t="e">
        <f>Kontrollblad_6</f>
        <v>#REF!</v>
      </c>
      <c r="E85">
        <f t="shared" si="12"/>
        <v>0</v>
      </c>
    </row>
    <row r="86" spans="1:5">
      <c r="A86" s="340" t="e">
        <f>#REF!</f>
        <v>#REF!</v>
      </c>
      <c r="B86" t="s">
        <v>964</v>
      </c>
      <c r="C86" t="e">
        <f t="shared" si="13"/>
        <v>#REF!</v>
      </c>
      <c r="D86" t="e">
        <f>Kontrollblad_7</f>
        <v>#REF!</v>
      </c>
      <c r="E86">
        <f t="shared" si="12"/>
        <v>0</v>
      </c>
    </row>
    <row r="87" spans="1:5">
      <c r="A87" s="340" t="e">
        <f>#REF!</f>
        <v>#REF!</v>
      </c>
      <c r="B87" t="s">
        <v>965</v>
      </c>
      <c r="C87" t="e">
        <f t="shared" si="13"/>
        <v>#REF!</v>
      </c>
      <c r="D87" t="e">
        <f>Kontrollblad_8</f>
        <v>#REF!</v>
      </c>
      <c r="E87">
        <f t="shared" si="12"/>
        <v>0</v>
      </c>
    </row>
    <row r="88" spans="1:5">
      <c r="A88" s="340" t="e">
        <f>#REF!</f>
        <v>#REF!</v>
      </c>
      <c r="B88" t="s">
        <v>966</v>
      </c>
      <c r="C88" t="e">
        <f t="shared" si="13"/>
        <v>#REF!</v>
      </c>
      <c r="D88" t="e">
        <f>Kontrollblad_9</f>
        <v>#REF!</v>
      </c>
      <c r="E88">
        <f t="shared" si="12"/>
        <v>0</v>
      </c>
    </row>
    <row r="89" spans="1:5">
      <c r="A89" s="340" t="e">
        <f>#REF!</f>
        <v>#REF!</v>
      </c>
      <c r="B89" t="s">
        <v>967</v>
      </c>
      <c r="C89" t="e">
        <f t="shared" si="13"/>
        <v>#REF!</v>
      </c>
      <c r="D89" t="e">
        <f>Kontrollblad_10</f>
        <v>#REF!</v>
      </c>
      <c r="E89">
        <f t="shared" si="12"/>
        <v>0</v>
      </c>
    </row>
    <row r="90" spans="1:5">
      <c r="A90" s="340" t="e">
        <f>#REF!</f>
        <v>#REF!</v>
      </c>
      <c r="B90" t="s">
        <v>968</v>
      </c>
      <c r="C90" t="e">
        <f t="shared" si="13"/>
        <v>#REF!</v>
      </c>
      <c r="D90" t="e">
        <f>Kontrollblad_11</f>
        <v>#REF!</v>
      </c>
      <c r="E90">
        <f t="shared" si="12"/>
        <v>0</v>
      </c>
    </row>
    <row r="91" spans="1:5">
      <c r="A91" s="340" t="e">
        <f>#REF!</f>
        <v>#REF!</v>
      </c>
      <c r="B91" t="s">
        <v>969</v>
      </c>
      <c r="C91" t="e">
        <f t="shared" si="13"/>
        <v>#REF!</v>
      </c>
      <c r="D91" t="e">
        <f>Kontrollblad_12</f>
        <v>#REF!</v>
      </c>
      <c r="E91">
        <f t="shared" si="12"/>
        <v>0</v>
      </c>
    </row>
    <row r="92" spans="1:5">
      <c r="A92" s="340" t="e">
        <f>#REF!</f>
        <v>#REF!</v>
      </c>
      <c r="B92" t="s">
        <v>970</v>
      </c>
      <c r="C92" t="e">
        <f t="shared" si="13"/>
        <v>#REF!</v>
      </c>
      <c r="D92" t="e">
        <f>Kontrollblad_13</f>
        <v>#REF!</v>
      </c>
      <c r="E92">
        <f t="shared" si="12"/>
        <v>0</v>
      </c>
    </row>
    <row r="93" spans="1:5">
      <c r="A93" s="340" t="e">
        <f>#REF!</f>
        <v>#REF!</v>
      </c>
      <c r="B93" t="s">
        <v>971</v>
      </c>
      <c r="C93" t="e">
        <f t="shared" si="13"/>
        <v>#REF!</v>
      </c>
      <c r="D93" t="e">
        <f>Kontrollblad_14</f>
        <v>#REF!</v>
      </c>
      <c r="E93">
        <f t="shared" si="12"/>
        <v>0</v>
      </c>
    </row>
    <row r="94" spans="1:5">
      <c r="A94" t="e">
        <f>IF(AND(A84&lt;&gt;"",D84=0,E84=0),A84,"")</f>
        <v>#REF!</v>
      </c>
    </row>
  </sheetData>
  <sheetProtection password="CBFD"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73"/>
  <sheetViews>
    <sheetView showGridLines="0" zoomScaleNormal="100" workbookViewId="0">
      <pane ySplit="1" topLeftCell="A2" activePane="bottomLeft" state="frozen"/>
      <selection activeCell="F32" sqref="F32"/>
      <selection pane="bottomLeft" activeCell="G29" sqref="G29"/>
    </sheetView>
  </sheetViews>
  <sheetFormatPr defaultColWidth="0" defaultRowHeight="12.75" zeroHeight="1"/>
  <cols>
    <col min="1" max="1" width="4" style="178" customWidth="1"/>
    <col min="2" max="2" width="37.85546875" style="178" customWidth="1"/>
    <col min="3" max="3" width="11.5703125" style="178" customWidth="1"/>
    <col min="4" max="4" width="11.7109375" style="178" customWidth="1"/>
    <col min="5" max="5" width="12.140625" style="178" customWidth="1"/>
    <col min="6" max="6" width="5.7109375" style="178" customWidth="1"/>
    <col min="7" max="7" width="24" style="178" customWidth="1"/>
    <col min="8" max="8" width="15" style="178" customWidth="1"/>
    <col min="9" max="9" width="8.7109375" style="178" customWidth="1"/>
    <col min="10" max="10" width="9.140625" style="178" customWidth="1"/>
    <col min="11" max="11" width="10.140625" style="178" customWidth="1"/>
    <col min="12" max="12" width="0" style="178" hidden="1" customWidth="1"/>
    <col min="13" max="16384" width="9.140625" style="178" hidden="1"/>
  </cols>
  <sheetData>
    <row r="1" spans="1:11" ht="21.75">
      <c r="A1" s="84" t="str">
        <f>"Resultaträkning "&amp;År&amp;", miljoner kr"</f>
        <v>Resultaträkning 2018, miljoner kr</v>
      </c>
      <c r="B1" s="85"/>
      <c r="C1" s="85"/>
      <c r="D1" s="85"/>
      <c r="E1" s="85"/>
      <c r="F1" s="534" t="s">
        <v>474</v>
      </c>
      <c r="G1" s="535" t="str">
        <f>'Kn Information'!B2</f>
        <v>RIKSTOTAL</v>
      </c>
      <c r="H1" s="177"/>
      <c r="I1" s="177"/>
      <c r="J1" s="177"/>
      <c r="K1" s="177"/>
    </row>
    <row r="2" spans="1:11" ht="12.75" customHeight="1">
      <c r="A2" s="1338"/>
      <c r="C2" s="2297"/>
      <c r="D2" s="47"/>
      <c r="G2" s="1335"/>
      <c r="H2" s="1437"/>
      <c r="I2" s="47"/>
      <c r="J2" s="4"/>
      <c r="K2" s="179"/>
    </row>
    <row r="3" spans="1:11" ht="12.75" customHeight="1" thickBot="1">
      <c r="C3" s="2"/>
      <c r="D3" s="47"/>
      <c r="G3" s="179"/>
      <c r="H3" s="1437"/>
      <c r="I3" s="47"/>
      <c r="J3" s="179"/>
      <c r="K3" s="179"/>
    </row>
    <row r="4" spans="1:11" ht="12.75" customHeight="1">
      <c r="A4" s="627" t="s">
        <v>658</v>
      </c>
      <c r="B4" s="628"/>
      <c r="C4" s="639" t="s">
        <v>660</v>
      </c>
      <c r="D4" s="640" t="s">
        <v>787</v>
      </c>
      <c r="G4" s="4"/>
      <c r="H4" s="4"/>
      <c r="I4" s="2518" t="s">
        <v>479</v>
      </c>
      <c r="J4" s="2519"/>
      <c r="K4" s="179"/>
    </row>
    <row r="5" spans="1:11" ht="12.75" customHeight="1">
      <c r="A5" s="629" t="s">
        <v>661</v>
      </c>
      <c r="B5" s="630"/>
      <c r="C5" s="641" t="s">
        <v>1310</v>
      </c>
      <c r="D5" s="642" t="s">
        <v>1310</v>
      </c>
      <c r="E5" s="2"/>
      <c r="F5" s="4"/>
      <c r="G5" s="4"/>
      <c r="H5" s="4"/>
      <c r="I5" s="645" t="s">
        <v>660</v>
      </c>
      <c r="J5" s="646" t="s">
        <v>787</v>
      </c>
      <c r="K5" s="179"/>
    </row>
    <row r="6" spans="1:11" ht="12.75" customHeight="1">
      <c r="A6" s="629"/>
      <c r="B6" s="631"/>
      <c r="C6" s="630"/>
      <c r="D6" s="643"/>
      <c r="E6" s="2"/>
      <c r="F6" s="4"/>
      <c r="G6" s="4"/>
      <c r="H6" s="4"/>
      <c r="I6" s="647"/>
      <c r="J6" s="648"/>
      <c r="K6" s="179"/>
    </row>
    <row r="7" spans="1:11">
      <c r="A7" s="612" t="s">
        <v>290</v>
      </c>
      <c r="B7" s="632" t="s">
        <v>803</v>
      </c>
      <c r="C7" s="183">
        <v>164752</v>
      </c>
      <c r="D7" s="184">
        <v>317807</v>
      </c>
      <c r="E7" s="188" t="str">
        <f>IF(OR(C7=0,D7=0),"Belopp saknas","")</f>
        <v/>
      </c>
      <c r="F7" s="71"/>
      <c r="G7" s="71"/>
      <c r="H7" s="4"/>
      <c r="I7" s="649">
        <f>C7*1000000/invanare</f>
        <v>16104.498598998944</v>
      </c>
      <c r="J7" s="650">
        <f>D7*1000000/invanare</f>
        <v>31065.616115446592</v>
      </c>
      <c r="K7" s="179"/>
    </row>
    <row r="8" spans="1:11">
      <c r="A8" s="610" t="s">
        <v>291</v>
      </c>
      <c r="B8" s="632" t="s">
        <v>804</v>
      </c>
      <c r="C8" s="183">
        <v>697110</v>
      </c>
      <c r="D8" s="184">
        <v>793290</v>
      </c>
      <c r="E8" s="188" t="str">
        <f>IF(OR(C8=0,D8=0),"Belopp saknas","")</f>
        <v/>
      </c>
      <c r="F8" s="71"/>
      <c r="G8" s="71"/>
      <c r="H8" s="4"/>
      <c r="I8" s="651">
        <f>C8*1000000/invanare*-1</f>
        <v>-68142.462721837379</v>
      </c>
      <c r="J8" s="650">
        <f>D8*1000000/invanare*-1</f>
        <v>-77544.052233659502</v>
      </c>
      <c r="K8" s="179"/>
    </row>
    <row r="9" spans="1:11">
      <c r="A9" s="610" t="s">
        <v>292</v>
      </c>
      <c r="B9" s="632" t="s">
        <v>1112</v>
      </c>
      <c r="C9" s="68">
        <v>24179</v>
      </c>
      <c r="D9" s="185">
        <v>54377</v>
      </c>
      <c r="E9" s="188" t="str">
        <f>IF(OR(C9=0,D9=0),"Belopp saknas","")</f>
        <v/>
      </c>
      <c r="F9" s="71"/>
      <c r="G9" s="71"/>
      <c r="H9" s="4"/>
      <c r="I9" s="649">
        <f>C9*1000000/invanare*-1</f>
        <v>-2363.4958703092857</v>
      </c>
      <c r="J9" s="650">
        <f>D9*1000000/invanare*-1</f>
        <v>-5315.3486471652268</v>
      </c>
      <c r="K9" s="179"/>
    </row>
    <row r="10" spans="1:11" ht="13.5" thickBot="1">
      <c r="A10" s="603" t="s">
        <v>293</v>
      </c>
      <c r="B10" s="633" t="s">
        <v>662</v>
      </c>
      <c r="C10" s="358">
        <f>C7-SUM(C8:C9)</f>
        <v>-556537</v>
      </c>
      <c r="D10" s="359">
        <f>D7-SUM(D8:D9)</f>
        <v>-529860</v>
      </c>
      <c r="E10" s="189"/>
      <c r="F10" s="71"/>
      <c r="G10" s="71"/>
      <c r="H10" s="4"/>
      <c r="I10" s="652">
        <f t="shared" ref="I10:J12" si="0">C10*1000000/invanare</f>
        <v>-54401.459993147728</v>
      </c>
      <c r="J10" s="650">
        <f t="shared" si="0"/>
        <v>-51793.784765378143</v>
      </c>
      <c r="K10" s="179"/>
    </row>
    <row r="11" spans="1:11">
      <c r="A11" s="634" t="s">
        <v>294</v>
      </c>
      <c r="B11" s="635" t="s">
        <v>663</v>
      </c>
      <c r="C11" s="105">
        <f>'Skatter, bidrag o fin poster'!D14</f>
        <v>467123</v>
      </c>
      <c r="D11" s="1336">
        <f>C11</f>
        <v>467123</v>
      </c>
      <c r="E11" s="189"/>
      <c r="F11" s="71"/>
      <c r="G11" s="71"/>
      <c r="H11" s="4"/>
      <c r="I11" s="653">
        <f t="shared" si="0"/>
        <v>45661.246595247299</v>
      </c>
      <c r="J11" s="654">
        <f t="shared" si="0"/>
        <v>45661.246595247299</v>
      </c>
      <c r="K11" s="179"/>
    </row>
    <row r="12" spans="1:11" ht="18">
      <c r="A12" s="610" t="s">
        <v>295</v>
      </c>
      <c r="B12" s="636" t="s">
        <v>205</v>
      </c>
      <c r="C12" s="106">
        <f>'Skatter, bidrag o fin poster'!D28-'Skatter, bidrag o fin poster'!D39+'Skatter, bidrag o fin poster'!D41</f>
        <v>96256</v>
      </c>
      <c r="D12" s="1337">
        <f>C12</f>
        <v>96256</v>
      </c>
      <c r="E12" s="189"/>
      <c r="F12" s="71"/>
      <c r="G12" s="71"/>
      <c r="H12" s="4"/>
      <c r="I12" s="649">
        <f t="shared" si="0"/>
        <v>9409.0185074854471</v>
      </c>
      <c r="J12" s="655">
        <f t="shared" si="0"/>
        <v>9409.0185074854471</v>
      </c>
      <c r="K12" s="179"/>
    </row>
    <row r="13" spans="1:11">
      <c r="A13" s="612" t="s">
        <v>296</v>
      </c>
      <c r="B13" s="637" t="s">
        <v>664</v>
      </c>
      <c r="C13" s="183">
        <v>12601</v>
      </c>
      <c r="D13" s="184">
        <v>5896</v>
      </c>
      <c r="E13" s="188" t="str">
        <f>IF(OR(C13=0,D13=0),"Belopp saknas","")</f>
        <v/>
      </c>
      <c r="F13" s="82"/>
      <c r="G13" s="71"/>
      <c r="H13" s="4"/>
      <c r="I13" s="2521">
        <f>(C13-C14)*1000000/invanare</f>
        <v>714.06333316552923</v>
      </c>
      <c r="J13" s="2523">
        <f>(D13-D14)*1000000/invanare</f>
        <v>-463.43247947129009</v>
      </c>
      <c r="K13" s="179"/>
    </row>
    <row r="14" spans="1:11">
      <c r="A14" s="612" t="s">
        <v>297</v>
      </c>
      <c r="B14" s="637" t="s">
        <v>665</v>
      </c>
      <c r="C14" s="183">
        <v>5296</v>
      </c>
      <c r="D14" s="184">
        <v>10637</v>
      </c>
      <c r="E14" s="188" t="str">
        <f>IF(OR(C14=0,D14=0),"Belopp saknas","")</f>
        <v/>
      </c>
      <c r="F14" s="82"/>
      <c r="G14" s="71"/>
      <c r="H14" s="4"/>
      <c r="I14" s="2522"/>
      <c r="J14" s="2524"/>
      <c r="K14" s="179"/>
    </row>
    <row r="15" spans="1:11" ht="13.5" thickBot="1">
      <c r="A15" s="558" t="s">
        <v>298</v>
      </c>
      <c r="B15" s="638" t="s">
        <v>666</v>
      </c>
      <c r="C15" s="358">
        <f>SUM(C10:C13)-C14</f>
        <v>14147</v>
      </c>
      <c r="D15" s="360">
        <f>SUM(D10:D13)-D14</f>
        <v>28778</v>
      </c>
      <c r="E15" s="189"/>
      <c r="G15" s="2294"/>
      <c r="H15" s="4"/>
      <c r="I15" s="649">
        <f>C15*1000000/invanare</f>
        <v>1382.8684427505466</v>
      </c>
      <c r="J15" s="656">
        <f>D15*1000000/invanare</f>
        <v>2813.0478578833131</v>
      </c>
      <c r="K15" s="179"/>
    </row>
    <row r="16" spans="1:11">
      <c r="A16" s="634" t="s">
        <v>221</v>
      </c>
      <c r="B16" s="635" t="s">
        <v>667</v>
      </c>
      <c r="C16" s="183">
        <v>322</v>
      </c>
      <c r="D16" s="184">
        <v>90</v>
      </c>
      <c r="E16" s="187"/>
      <c r="F16" s="2295"/>
      <c r="G16" s="2513"/>
      <c r="H16" s="4"/>
      <c r="I16" s="2521">
        <f>(C16-C17)*1000000/invanare</f>
        <v>-27.956483680402652</v>
      </c>
      <c r="J16" s="2523">
        <f>(D16-D17-D18)*1000000/invanare</f>
        <v>-288.85108138318122</v>
      </c>
      <c r="K16" s="179"/>
    </row>
    <row r="17" spans="1:11">
      <c r="A17" s="612" t="s">
        <v>222</v>
      </c>
      <c r="B17" s="632" t="s">
        <v>668</v>
      </c>
      <c r="C17" s="183">
        <v>608</v>
      </c>
      <c r="D17" s="184">
        <v>610</v>
      </c>
      <c r="E17" s="187"/>
      <c r="F17" s="2295"/>
      <c r="G17" s="2513"/>
      <c r="H17" s="4"/>
      <c r="I17" s="2522"/>
      <c r="J17" s="2524"/>
      <c r="K17" s="179"/>
    </row>
    <row r="18" spans="1:11">
      <c r="A18" s="610" t="s">
        <v>299</v>
      </c>
      <c r="B18" s="637" t="s">
        <v>649</v>
      </c>
      <c r="C18" s="357"/>
      <c r="D18" s="185">
        <v>2435</v>
      </c>
      <c r="E18" s="188"/>
      <c r="F18" s="2295"/>
      <c r="G18" s="2513"/>
      <c r="H18" s="180"/>
      <c r="I18" s="657"/>
      <c r="J18" s="658"/>
      <c r="K18" s="179"/>
    </row>
    <row r="19" spans="1:11" ht="13.5" thickBot="1">
      <c r="A19" s="603" t="s">
        <v>223</v>
      </c>
      <c r="B19" s="633" t="s">
        <v>669</v>
      </c>
      <c r="C19" s="358">
        <f>SUM(C15:C16)-C17</f>
        <v>13861</v>
      </c>
      <c r="D19" s="360">
        <f>SUM(D15:D16)-D17-D18</f>
        <v>25823</v>
      </c>
      <c r="E19" s="189"/>
      <c r="F19" s="2295"/>
      <c r="G19" s="2513"/>
      <c r="H19" s="4"/>
      <c r="I19" s="652">
        <f>C19*1000000/invanare</f>
        <v>1354.9119590701439</v>
      </c>
      <c r="J19" s="659">
        <f>D19*1000000/invanare</f>
        <v>2524.1967765001318</v>
      </c>
      <c r="K19" s="179"/>
    </row>
    <row r="20" spans="1:11" ht="15.75" customHeight="1">
      <c r="A20" s="16"/>
      <c r="B20" s="3"/>
      <c r="C20" s="3"/>
      <c r="D20" s="3"/>
      <c r="E20" s="2"/>
      <c r="F20" s="181"/>
      <c r="G20" s="232"/>
      <c r="H20" s="4"/>
      <c r="I20" s="4"/>
      <c r="J20" s="4"/>
      <c r="K20" s="179"/>
    </row>
    <row r="21" spans="1:11" ht="15.75" customHeight="1" thickBot="1">
      <c r="A21" s="81" t="s">
        <v>1284</v>
      </c>
      <c r="B21" s="3"/>
      <c r="C21" s="3"/>
      <c r="D21" s="3"/>
      <c r="E21" s="2"/>
      <c r="F21" s="181"/>
      <c r="G21" s="232"/>
      <c r="H21" s="4"/>
      <c r="I21" s="4"/>
      <c r="J21" s="4"/>
      <c r="K21" s="179"/>
    </row>
    <row r="22" spans="1:11" ht="15.75" customHeight="1">
      <c r="A22" s="634"/>
      <c r="B22" s="2185"/>
      <c r="C22" s="2187" t="s">
        <v>1311</v>
      </c>
      <c r="D22" s="3"/>
      <c r="E22" s="2"/>
      <c r="F22" s="181"/>
      <c r="G22" s="2296"/>
      <c r="H22" s="4"/>
      <c r="I22" s="4"/>
      <c r="J22" s="4"/>
      <c r="K22" s="179"/>
    </row>
    <row r="23" spans="1:11" ht="15.75" customHeight="1">
      <c r="A23" s="612" t="s">
        <v>355</v>
      </c>
      <c r="B23" s="2186" t="s">
        <v>1305</v>
      </c>
      <c r="C23" s="2194">
        <v>6313</v>
      </c>
      <c r="D23" s="3"/>
      <c r="E23" s="2189"/>
      <c r="F23" s="181"/>
      <c r="G23" s="2525"/>
      <c r="H23" s="4"/>
      <c r="I23" s="4"/>
      <c r="J23" s="4"/>
      <c r="K23" s="179"/>
    </row>
    <row r="24" spans="1:11" ht="15.75" customHeight="1">
      <c r="A24" s="612" t="s">
        <v>686</v>
      </c>
      <c r="B24" s="2186" t="s">
        <v>1306</v>
      </c>
      <c r="C24" s="2194">
        <v>3672</v>
      </c>
      <c r="D24" s="3"/>
      <c r="E24" s="2189"/>
      <c r="F24" s="181"/>
      <c r="G24" s="2526"/>
      <c r="H24" s="4"/>
      <c r="I24" s="4"/>
      <c r="J24" s="4"/>
      <c r="K24" s="179"/>
    </row>
    <row r="25" spans="1:11" ht="15.75" customHeight="1">
      <c r="A25" s="612" t="s">
        <v>1285</v>
      </c>
      <c r="B25" s="2186" t="s">
        <v>1307</v>
      </c>
      <c r="C25" s="2194">
        <v>223</v>
      </c>
      <c r="D25" s="3"/>
      <c r="E25" s="2189"/>
      <c r="F25" s="181"/>
      <c r="G25" s="2526"/>
      <c r="H25" s="4"/>
      <c r="I25" s="4"/>
      <c r="J25" s="4"/>
      <c r="K25" s="179"/>
    </row>
    <row r="26" spans="1:11" ht="15.75" customHeight="1">
      <c r="A26" s="612" t="s">
        <v>1286</v>
      </c>
      <c r="B26" s="2186" t="s">
        <v>1308</v>
      </c>
      <c r="C26" s="2194">
        <v>1076</v>
      </c>
      <c r="D26" s="3"/>
      <c r="E26" s="2189"/>
      <c r="F26" s="181"/>
      <c r="G26" s="2526"/>
      <c r="H26" s="4"/>
      <c r="I26" s="4"/>
      <c r="J26" s="4"/>
      <c r="K26" s="179"/>
    </row>
    <row r="27" spans="1:11" ht="15.75" customHeight="1" thickBot="1">
      <c r="A27" s="614" t="s">
        <v>1287</v>
      </c>
      <c r="B27" s="2188" t="s">
        <v>1309</v>
      </c>
      <c r="C27" s="2195">
        <v>243</v>
      </c>
      <c r="D27" s="3"/>
      <c r="E27" s="2189"/>
      <c r="F27" s="181"/>
      <c r="G27" s="232"/>
      <c r="H27" s="4"/>
      <c r="I27" s="4"/>
      <c r="J27" s="4"/>
      <c r="K27" s="179"/>
    </row>
    <row r="28" spans="1:11" ht="15.75" customHeight="1" thickBot="1">
      <c r="A28" s="16"/>
      <c r="B28" s="3"/>
      <c r="C28" s="3"/>
      <c r="D28" s="3"/>
      <c r="E28" s="2"/>
      <c r="F28" s="181"/>
      <c r="G28" s="232"/>
      <c r="H28" s="4"/>
      <c r="I28" s="4"/>
      <c r="J28" s="4"/>
      <c r="K28" s="179"/>
    </row>
    <row r="29" spans="1:11" ht="18" customHeight="1" thickBot="1">
      <c r="A29" s="81" t="s">
        <v>152</v>
      </c>
      <c r="B29" s="4"/>
      <c r="C29" s="4"/>
      <c r="D29" s="4"/>
      <c r="E29" s="4"/>
      <c r="F29" s="180"/>
      <c r="G29" s="2294"/>
      <c r="H29" s="4"/>
      <c r="I29" s="660" t="s">
        <v>479</v>
      </c>
      <c r="J29" s="182"/>
      <c r="K29" s="179"/>
    </row>
    <row r="30" spans="1:11">
      <c r="A30" s="131">
        <v>130</v>
      </c>
      <c r="B30" s="1625" t="s">
        <v>153</v>
      </c>
      <c r="C30" s="361">
        <f>C19</f>
        <v>13861</v>
      </c>
      <c r="D30" s="4"/>
      <c r="E30" s="4"/>
      <c r="F30" s="180"/>
      <c r="G30" s="2512"/>
      <c r="H30" s="4"/>
      <c r="I30" s="661">
        <f>C30*1000000/invanare</f>
        <v>1354.9119590701439</v>
      </c>
      <c r="J30" s="180"/>
      <c r="K30" s="179"/>
    </row>
    <row r="31" spans="1:11">
      <c r="A31" s="132">
        <v>131</v>
      </c>
      <c r="B31" s="644" t="str">
        <f>"- reducering av samtliga realisationsvinster"</f>
        <v>- reducering av samtliga realisationsvinster</v>
      </c>
      <c r="C31" s="107">
        <v>4077</v>
      </c>
      <c r="D31" s="188"/>
      <c r="E31" s="4"/>
      <c r="F31" s="180"/>
      <c r="G31" s="2513"/>
      <c r="H31" s="4"/>
      <c r="I31" s="662"/>
      <c r="J31" s="180"/>
      <c r="K31" s="179"/>
    </row>
    <row r="32" spans="1:11">
      <c r="A32" s="132">
        <v>132</v>
      </c>
      <c r="B32" s="644" t="str">
        <f>"+ justering för realisationsvinster enl. undantagsmöjlighet"</f>
        <v>+ justering för realisationsvinster enl. undantagsmöjlighet</v>
      </c>
      <c r="C32" s="107">
        <v>74</v>
      </c>
      <c r="D32" s="188"/>
      <c r="E32" s="4"/>
      <c r="G32" s="2513"/>
      <c r="H32" s="4"/>
      <c r="I32" s="664"/>
      <c r="J32" s="180"/>
      <c r="K32" s="179"/>
    </row>
    <row r="33" spans="1:11">
      <c r="A33" s="132">
        <v>135</v>
      </c>
      <c r="B33" s="644" t="str">
        <f>"+ justering av realisationsförluster enl. undantagsmöjlighet"</f>
        <v>+ justering av realisationsförluster enl. undantagsmöjlighet</v>
      </c>
      <c r="C33" s="186">
        <v>56</v>
      </c>
      <c r="D33" s="188"/>
      <c r="E33" s="4"/>
      <c r="F33" s="180"/>
      <c r="G33" s="2513"/>
      <c r="H33" s="4"/>
      <c r="I33" s="1398"/>
      <c r="J33" s="180"/>
      <c r="K33" s="179"/>
    </row>
    <row r="34" spans="1:11" ht="16.5" customHeight="1">
      <c r="A34" s="132">
        <v>136</v>
      </c>
      <c r="B34" s="644" t="str">
        <f>"+ orealiserade förluster i värdepapper"</f>
        <v>+ orealiserade förluster i värdepapper</v>
      </c>
      <c r="C34" s="186">
        <v>135</v>
      </c>
      <c r="D34" s="188"/>
      <c r="E34" s="4"/>
      <c r="F34" s="180"/>
      <c r="G34" s="226"/>
      <c r="H34" s="4"/>
      <c r="I34" s="664"/>
      <c r="J34" s="180"/>
      <c r="K34" s="179"/>
    </row>
    <row r="35" spans="1:11" ht="12.75" customHeight="1">
      <c r="A35" s="587">
        <v>140</v>
      </c>
      <c r="B35" s="637" t="str">
        <f>"- justering för återföring av orealiserade förluster i värdepapper"</f>
        <v>- justering för återföring av orealiserade förluster i värdepapper</v>
      </c>
      <c r="C35" s="186">
        <v>16</v>
      </c>
      <c r="D35" s="188"/>
      <c r="E35" s="4"/>
      <c r="F35" s="180"/>
      <c r="H35" s="4"/>
      <c r="I35" s="664"/>
      <c r="J35" s="4"/>
      <c r="K35" s="179"/>
    </row>
    <row r="36" spans="1:11" ht="12.75" customHeight="1">
      <c r="A36" s="1560">
        <v>141</v>
      </c>
      <c r="B36" s="1391" t="str">
        <f xml:space="preserve"> " = Årets resultat efter balanskravsjusteringar"</f>
        <v xml:space="preserve"> = Årets resultat efter balanskravsjusteringar</v>
      </c>
      <c r="C36" s="362">
        <f>C30-C31+C32+C33+C34-C35</f>
        <v>10033</v>
      </c>
      <c r="D36" s="188"/>
      <c r="E36" s="4"/>
      <c r="F36" s="4"/>
      <c r="G36" s="1356"/>
      <c r="H36" s="4"/>
      <c r="I36" s="664"/>
      <c r="J36" s="4"/>
      <c r="K36" s="179"/>
    </row>
    <row r="37" spans="1:11" ht="13.5" customHeight="1">
      <c r="A37" s="599">
        <v>142</v>
      </c>
      <c r="B37" s="632" t="str">
        <f>"- reservering av medel till resultatutjämningsreserv"</f>
        <v>- reservering av medel till resultatutjämningsreserv</v>
      </c>
      <c r="C37" s="186">
        <v>1805</v>
      </c>
      <c r="D37" s="188"/>
      <c r="E37" s="4"/>
      <c r="F37" s="4"/>
      <c r="G37" s="1356"/>
      <c r="H37" s="4"/>
      <c r="I37" s="664"/>
      <c r="J37" s="4"/>
      <c r="K37" s="179"/>
    </row>
    <row r="38" spans="1:11" ht="12.75" customHeight="1">
      <c r="A38" s="587">
        <v>143</v>
      </c>
      <c r="B38" s="637" t="str">
        <f>"+ användning av medel från resultatutjämninsreserv"</f>
        <v>+ användning av medel från resultatutjämninsreserv</v>
      </c>
      <c r="C38" s="186">
        <v>126</v>
      </c>
      <c r="D38" s="188"/>
      <c r="E38" s="4"/>
      <c r="F38" s="4"/>
      <c r="G38" s="1356"/>
      <c r="H38" s="4"/>
      <c r="I38" s="664"/>
      <c r="J38" s="4"/>
      <c r="K38" s="179"/>
    </row>
    <row r="39" spans="1:11" ht="12.75" customHeight="1">
      <c r="A39" s="133">
        <v>133</v>
      </c>
      <c r="B39" s="1391" t="str">
        <f>"= Balanskravsresultat"</f>
        <v>= Balanskravsresultat</v>
      </c>
      <c r="C39" s="362">
        <f>C36-C37+C38</f>
        <v>8354</v>
      </c>
      <c r="D39" s="188"/>
      <c r="E39" s="4"/>
      <c r="F39" s="4"/>
      <c r="G39" s="1357"/>
      <c r="H39" s="4"/>
      <c r="I39" s="1864">
        <f>C39*1000000/invanare</f>
        <v>816.60302330798515</v>
      </c>
      <c r="J39" s="4"/>
      <c r="K39" s="179"/>
    </row>
    <row r="40" spans="1:11" ht="33" customHeight="1">
      <c r="A40" s="1820"/>
      <c r="B40" s="1821" t="s">
        <v>1103</v>
      </c>
      <c r="C40" s="768"/>
      <c r="D40" s="4"/>
      <c r="E40" s="4"/>
      <c r="F40" s="4"/>
      <c r="G40" s="1357"/>
      <c r="H40" s="4"/>
      <c r="I40" s="664"/>
      <c r="J40" s="4"/>
      <c r="K40" s="179"/>
    </row>
    <row r="41" spans="1:11" ht="12.75" customHeight="1">
      <c r="A41" s="1654">
        <v>144</v>
      </c>
      <c r="B41" s="1626" t="s">
        <v>1104</v>
      </c>
      <c r="C41" s="1627">
        <v>72</v>
      </c>
      <c r="D41" s="4"/>
      <c r="E41" s="4"/>
      <c r="F41" s="4"/>
      <c r="G41" s="1357"/>
      <c r="H41" s="4"/>
      <c r="I41" s="664"/>
      <c r="J41" s="4"/>
      <c r="K41" s="179"/>
    </row>
    <row r="42" spans="1:11" ht="12.75" customHeight="1">
      <c r="A42" s="587">
        <v>145</v>
      </c>
      <c r="B42" s="1628" t="s">
        <v>1105</v>
      </c>
      <c r="C42" s="186">
        <v>839</v>
      </c>
      <c r="D42" s="188"/>
      <c r="E42" s="4"/>
      <c r="F42" s="4"/>
      <c r="G42" s="1357"/>
      <c r="H42" s="4"/>
      <c r="I42" s="663"/>
      <c r="J42" s="4"/>
      <c r="K42" s="179"/>
    </row>
    <row r="43" spans="1:11" ht="13.5" customHeight="1" thickBot="1">
      <c r="A43" s="596">
        <v>146</v>
      </c>
      <c r="B43" s="1629" t="str">
        <f>"= Resultat efter synnerliga skäl m.m."</f>
        <v>= Resultat efter synnerliga skäl m.m.</v>
      </c>
      <c r="C43" s="359">
        <f>C39-C41+C42</f>
        <v>9121</v>
      </c>
      <c r="D43" s="1365"/>
      <c r="E43" s="4"/>
      <c r="F43" s="4"/>
      <c r="G43" s="1357"/>
      <c r="H43" s="4"/>
      <c r="I43" s="665">
        <f>C43*1000000/invanare</f>
        <v>891.57722954179224</v>
      </c>
      <c r="J43" s="4"/>
      <c r="K43" s="179"/>
    </row>
    <row r="44" spans="1:11" ht="21.75" customHeight="1" thickBot="1">
      <c r="A44" s="1680">
        <v>137</v>
      </c>
      <c r="B44" s="1631" t="s">
        <v>1106</v>
      </c>
      <c r="C44" s="1630">
        <v>104</v>
      </c>
      <c r="D44" s="1522"/>
      <c r="E44" s="4"/>
      <c r="F44" s="4"/>
      <c r="G44" s="4"/>
      <c r="H44" s="4"/>
      <c r="I44" s="4"/>
      <c r="J44" s="4"/>
      <c r="K44" s="179"/>
    </row>
    <row r="45" spans="1:11" ht="12.75" customHeight="1">
      <c r="A45" s="179"/>
      <c r="B45" s="179"/>
      <c r="C45" s="179"/>
      <c r="D45" s="4"/>
      <c r="E45" s="4"/>
      <c r="F45" s="4"/>
      <c r="G45" s="666" t="s">
        <v>542</v>
      </c>
      <c r="H45" s="667"/>
      <c r="I45" s="2518" t="s">
        <v>148</v>
      </c>
      <c r="J45" s="2520"/>
      <c r="K45" s="179"/>
    </row>
    <row r="46" spans="1:11" ht="21.75" customHeight="1">
      <c r="A46" s="179"/>
      <c r="B46" s="179"/>
      <c r="C46" s="179"/>
      <c r="D46" s="4"/>
      <c r="E46" s="4"/>
      <c r="F46" s="179"/>
      <c r="G46" s="668"/>
      <c r="H46" s="669"/>
      <c r="I46" s="670" t="s">
        <v>660</v>
      </c>
      <c r="J46" s="671" t="s">
        <v>787</v>
      </c>
      <c r="K46" s="179"/>
    </row>
    <row r="47" spans="1:11" ht="19.5" customHeight="1">
      <c r="A47" s="179"/>
      <c r="B47" s="179"/>
      <c r="C47" s="179"/>
      <c r="D47" s="179"/>
      <c r="E47" s="179"/>
      <c r="F47" s="179"/>
      <c r="G47" s="2514" t="s">
        <v>555</v>
      </c>
      <c r="H47" s="2515"/>
      <c r="I47" s="649">
        <f>IF(ISERROR(C10*100/SUM(C11:C12)*-1),0,C10*100/SUM(C11:C12)*-1)</f>
        <v>98.785542237108587</v>
      </c>
      <c r="J47" s="672">
        <f>IF(ISERROR(D10*100/SUM(D11:D12)*-1),0,D10*100/SUM(D11:D12)*-1)</f>
        <v>94.050363964578025</v>
      </c>
      <c r="K47" s="179"/>
    </row>
    <row r="48" spans="1:11" ht="15" customHeight="1">
      <c r="A48" s="4"/>
      <c r="B48" s="4"/>
      <c r="C48" s="4"/>
      <c r="D48" s="179"/>
      <c r="E48" s="179"/>
      <c r="F48" s="179"/>
      <c r="G48" s="673" t="s">
        <v>556</v>
      </c>
      <c r="H48" s="674"/>
      <c r="I48" s="651">
        <f>IF(ISERROR((C13-C14)*100/SUM(C11:C12)),0,(C13-C14)*100/SUM(C11:C12))</f>
        <v>1.2966404498570234</v>
      </c>
      <c r="J48" s="672">
        <f>IF(ISERROR((D13-D14)*100/SUM(D11:D12)),0,(D13-D14)*100/SUM(D11:D12))</f>
        <v>-0.84152941447941798</v>
      </c>
      <c r="K48" s="179"/>
    </row>
    <row r="49" spans="1:11" ht="19.5" customHeight="1">
      <c r="A49" s="4"/>
      <c r="B49" s="4"/>
      <c r="C49" s="4"/>
      <c r="D49" s="179"/>
      <c r="E49" s="179"/>
      <c r="F49" s="179"/>
      <c r="G49" s="2516" t="s">
        <v>558</v>
      </c>
      <c r="H49" s="2517"/>
      <c r="I49" s="651">
        <f>IF(ISERROR(C15*100/SUM(C11:C12)),0,C15*100/SUM(C11:C12))</f>
        <v>2.511098212748434</v>
      </c>
      <c r="J49" s="672">
        <f>IF(ISERROR(D15*100/SUM(D11:D12)),0,D15*100/SUM(D11:D12))</f>
        <v>5.1081066209425625</v>
      </c>
      <c r="K49" s="179"/>
    </row>
    <row r="50" spans="1:11" ht="19.5" customHeight="1">
      <c r="A50" s="179"/>
      <c r="B50" s="179"/>
      <c r="C50" s="179"/>
      <c r="D50" s="179"/>
      <c r="E50" s="179"/>
      <c r="F50" s="179"/>
      <c r="G50" s="673" t="s">
        <v>794</v>
      </c>
      <c r="H50" s="674"/>
      <c r="I50" s="651">
        <f>IF(ISERROR(C19*100/SUM(C11:C12)),0,C19*100/SUM(C11:C12))</f>
        <v>2.4603330972577964</v>
      </c>
      <c r="J50" s="672">
        <f>IF(ISERROR(D19*100/SUM(D11:D12)),0,D19*100/SUM(D11:D12))</f>
        <v>4.5835929276739105</v>
      </c>
      <c r="K50" s="179"/>
    </row>
    <row r="51" spans="1:11" ht="13.5" customHeight="1">
      <c r="A51" s="179"/>
      <c r="B51" s="179"/>
      <c r="C51" s="179"/>
      <c r="D51" s="179"/>
      <c r="E51" s="179"/>
      <c r="F51" s="179"/>
      <c r="G51" s="675" t="s">
        <v>559</v>
      </c>
      <c r="H51" s="676"/>
      <c r="I51" s="651">
        <f>IF(C8&gt;0,C7*100/(C8+C9),0)</f>
        <v>22.841329896892923</v>
      </c>
      <c r="J51" s="672">
        <f>IF(D8&gt;0,D7*100/(D8+D9),0)</f>
        <v>37.49196323556302</v>
      </c>
      <c r="K51" s="179"/>
    </row>
    <row r="52" spans="1:11" ht="14.25" customHeight="1">
      <c r="A52" s="179"/>
      <c r="B52" s="179"/>
      <c r="C52" s="179"/>
      <c r="D52" s="179"/>
      <c r="E52" s="179"/>
      <c r="F52" s="179"/>
      <c r="G52" s="675" t="s">
        <v>795</v>
      </c>
      <c r="H52" s="677"/>
      <c r="I52" s="651">
        <f>IF(ISERROR((Investeringar!C7+Investeringar!D7+Investeringar!E7-Investeringar!C78)*100/SUM(C11:C12)),0,(Investeringar!C7+Investeringar!D7+Investeringar!E7-Investeringar!C78)*100/SUM(C11:C12))</f>
        <v>16.433164885450115</v>
      </c>
      <c r="J52" s="678"/>
      <c r="K52" s="179"/>
    </row>
    <row r="53" spans="1:11" ht="12.75" customHeight="1">
      <c r="A53" s="179"/>
      <c r="B53" s="179"/>
      <c r="C53" s="179"/>
      <c r="D53" s="179"/>
      <c r="E53" s="179"/>
      <c r="F53" s="179"/>
      <c r="G53" s="675" t="s">
        <v>544</v>
      </c>
      <c r="H53" s="677"/>
      <c r="I53" s="651">
        <f>IF(ISERROR((Investeringar!C8+Investeringar!D8+Investeringar!E8)*100/SUM(C11:C12)*-1),0,(Investeringar!C8+Investeringar!D8+Investeringar!E8)*100/SUM(C11:C12)*-1)</f>
        <v>1.3598305936146005</v>
      </c>
      <c r="J53" s="679"/>
      <c r="K53" s="179"/>
    </row>
    <row r="54" spans="1:11" ht="12.75" customHeight="1">
      <c r="A54" s="179"/>
      <c r="B54" s="179"/>
      <c r="C54" s="179"/>
      <c r="D54" s="179"/>
      <c r="E54" s="179"/>
      <c r="F54" s="179"/>
      <c r="G54" s="675" t="s">
        <v>545</v>
      </c>
      <c r="H54" s="677"/>
      <c r="I54" s="651">
        <f>IF(ISERROR(SUM(Investeringar!C8:E8)/(Investeringar!C66)*-1),0,(SUM(Investeringar!C8:E8)/(Investeringar!C66)*-1)*100)</f>
        <v>10.53739185453145</v>
      </c>
      <c r="J54" s="679"/>
      <c r="K54" s="179"/>
    </row>
    <row r="55" spans="1:11" ht="12.75" customHeight="1" thickBot="1">
      <c r="A55" s="179"/>
      <c r="B55" s="179"/>
      <c r="C55" s="179"/>
      <c r="D55" s="179"/>
      <c r="E55" s="179"/>
      <c r="F55" s="179"/>
      <c r="G55" s="680" t="s">
        <v>543</v>
      </c>
      <c r="H55" s="681"/>
      <c r="I55" s="682">
        <f>IF(ISERROR(BR!D32*100/RR!C8),0,BR!D32*100/RR!C8)</f>
        <v>4.7230709644102076</v>
      </c>
      <c r="J55" s="683"/>
      <c r="K55" s="179"/>
    </row>
    <row r="56" spans="1:11" ht="12.75" customHeight="1">
      <c r="A56" s="179"/>
      <c r="B56" s="179"/>
      <c r="C56" s="179"/>
      <c r="D56" s="179"/>
      <c r="E56" s="179"/>
      <c r="F56" s="179"/>
      <c r="G56" s="154"/>
      <c r="H56" s="1395"/>
      <c r="I56" s="1396"/>
      <c r="J56" s="1397"/>
      <c r="K56" s="216"/>
    </row>
    <row r="57" spans="1:11" ht="12.75" customHeight="1">
      <c r="A57" s="179"/>
      <c r="B57" s="179"/>
      <c r="C57" s="179"/>
      <c r="D57" s="179"/>
      <c r="E57" s="179"/>
      <c r="F57" s="179"/>
      <c r="G57" s="154"/>
      <c r="H57" s="1395"/>
      <c r="I57" s="1396"/>
      <c r="J57" s="1397"/>
      <c r="K57" s="216"/>
    </row>
    <row r="58" spans="1:11" ht="19.5" customHeight="1">
      <c r="A58" s="179"/>
      <c r="B58" s="179"/>
      <c r="C58" s="179"/>
      <c r="D58" s="179"/>
      <c r="E58" s="179"/>
      <c r="F58" s="179"/>
      <c r="G58" s="154"/>
      <c r="H58" s="1395"/>
      <c r="I58" s="1396"/>
      <c r="J58" s="1397"/>
      <c r="K58" s="216"/>
    </row>
    <row r="59" spans="1:11">
      <c r="A59" s="179"/>
      <c r="B59" s="179"/>
      <c r="C59" s="179"/>
      <c r="D59" s="179"/>
      <c r="E59" s="179"/>
      <c r="F59" s="179"/>
      <c r="G59" s="154"/>
      <c r="H59" s="1395"/>
      <c r="I59" s="1396"/>
      <c r="J59" s="1397"/>
      <c r="K59" s="179"/>
    </row>
    <row r="60" spans="1:11" hidden="1">
      <c r="A60" s="179"/>
      <c r="B60" s="179"/>
      <c r="C60" s="179"/>
      <c r="G60" s="883"/>
      <c r="H60" s="1392"/>
      <c r="I60" s="1393"/>
      <c r="J60" s="1394"/>
      <c r="K60" s="179"/>
    </row>
    <row r="61" spans="1:11" hidden="1">
      <c r="A61" s="179"/>
      <c r="B61" s="179"/>
      <c r="C61" s="179"/>
      <c r="G61" s="179"/>
      <c r="H61" s="179"/>
      <c r="I61" s="179"/>
      <c r="J61" s="179"/>
      <c r="K61" s="179"/>
    </row>
    <row r="62" spans="1:11" hidden="1">
      <c r="A62" s="179"/>
      <c r="B62" s="179"/>
      <c r="C62" s="179"/>
    </row>
    <row r="63" spans="1:11" hidden="1"/>
    <row r="64" spans="1:11" hidden="1"/>
    <row r="65" hidden="1"/>
    <row r="66" hidden="1"/>
    <row r="67" hidden="1"/>
    <row r="68" hidden="1"/>
    <row r="69" hidden="1"/>
    <row r="70" hidden="1"/>
    <row r="71" hidden="1"/>
    <row r="72" hidden="1"/>
    <row r="73" hidden="1"/>
  </sheetData>
  <sheetProtection password="CBFD" sheet="1" objects="1" scenarios="1"/>
  <customSheetViews>
    <customSheetView guid="{27C9E95B-0E2B-454F-B637-1CECC9579A10}" showGridLines="0" hiddenRows="1" hiddenColumns="1" showRuler="0">
      <selection activeCell="G15" sqref="G15"/>
      <pageMargins left="0.70866141732283472" right="0.70866141732283472" top="0.74803149606299213" bottom="0.52" header="0.31496062992125984" footer="0.31496062992125984"/>
      <pageSetup paperSize="9" scale="85" orientation="landscape" r:id="rId1"/>
      <headerFooter alignWithMargins="0">
        <oddHeader>&amp;L&amp;8Statistiska Centralbyrån
Offentlig ekonomi&amp;R&amp;P</oddHeader>
      </headerFooter>
    </customSheetView>
    <customSheetView guid="{99FBDEB7-DD08-4F57-81F4-3C180403E153}" showGridLines="0" hiddenRows="1" hiddenColumns="1">
      <selection activeCell="E17" sqref="E17"/>
      <pageMargins left="0.70866141732283472" right="0.70866141732283472" top="0.74803149606299213" bottom="0.52" header="0.31496062992125984" footer="0.31496062992125984"/>
      <pageSetup paperSize="9" scale="85" orientation="landscape" r:id="rId2"/>
      <headerFooter>
        <oddHeader>&amp;L&amp;8Statistiska Centralbyrån
Offentlig ekonomi&amp;R&amp;P</oddHeader>
      </headerFooter>
    </customSheetView>
    <customSheetView guid="{97D6DB71-3F4C-4C5F-8C5B-51E3EBF78932}" showPageBreaks="1" showGridLines="0" hiddenRows="1" hiddenColumns="1">
      <selection activeCell="E17" sqref="E17"/>
      <pageMargins left="0.70866141732283472" right="0.70866141732283472" top="0.74803149606299213" bottom="0.52" header="0.31496062992125984" footer="0.31496062992125984"/>
      <pageSetup paperSize="9" scale="85" orientation="landscape" r:id="rId3"/>
      <headerFooter>
        <oddHeader>&amp;L&amp;8Statistiska Centralbyrån
Offentlig ekonomi&amp;R&amp;P</oddHeader>
      </headerFooter>
    </customSheetView>
  </customSheetViews>
  <mergeCells count="11">
    <mergeCell ref="G30:G33"/>
    <mergeCell ref="G47:H47"/>
    <mergeCell ref="G49:H49"/>
    <mergeCell ref="I4:J4"/>
    <mergeCell ref="I45:J45"/>
    <mergeCell ref="I13:I14"/>
    <mergeCell ref="J13:J14"/>
    <mergeCell ref="I16:I17"/>
    <mergeCell ref="J16:J17"/>
    <mergeCell ref="G16:G19"/>
    <mergeCell ref="G23:G26"/>
  </mergeCells>
  <phoneticPr fontId="92" type="noConversion"/>
  <conditionalFormatting sqref="C7:D9 C13:D14 C16:D17 C41">
    <cfRule type="cellIs" dxfId="135" priority="6" stopIfTrue="1" operator="lessThan">
      <formula>-500</formula>
    </cfRule>
  </conditionalFormatting>
  <conditionalFormatting sqref="C31:C34">
    <cfRule type="cellIs" dxfId="134" priority="8" stopIfTrue="1" operator="lessThan">
      <formula>-5</formula>
    </cfRule>
  </conditionalFormatting>
  <conditionalFormatting sqref="C35">
    <cfRule type="cellIs" dxfId="133" priority="5" stopIfTrue="1" operator="lessThan">
      <formula>-5</formula>
    </cfRule>
  </conditionalFormatting>
  <conditionalFormatting sqref="C37">
    <cfRule type="cellIs" dxfId="132" priority="4" stopIfTrue="1" operator="lessThan">
      <formula>-5</formula>
    </cfRule>
  </conditionalFormatting>
  <conditionalFormatting sqref="C38">
    <cfRule type="cellIs" dxfId="131" priority="3" stopIfTrue="1" operator="lessThan">
      <formula>-5</formula>
    </cfRule>
  </conditionalFormatting>
  <conditionalFormatting sqref="C42">
    <cfRule type="cellIs" dxfId="130" priority="2" stopIfTrue="1" operator="lessThan">
      <formula>-5</formula>
    </cfRule>
  </conditionalFormatting>
  <dataValidations count="5">
    <dataValidation type="decimal" operator="lessThan" allowBlank="1" showInputMessage="1" showErrorMessage="1" error="Beloppet ska vara i 1000 tal kronor" sqref="C38 C33:C34 D18 C42:C44 C16:D17">
      <formula1>99999999</formula1>
    </dataValidation>
    <dataValidation type="decimal" operator="lessThan" allowBlank="1" showInputMessage="1" showErrorMessage="1" error="Beloppet ska vara i 1000 tal kronoer" sqref="C7:D9">
      <formula1>99999999</formula1>
    </dataValidation>
    <dataValidation type="decimal" operator="lessThan" allowBlank="1" showInputMessage="1" showErrorMessage="1" error="Beloppet ska vara i tusental kronor" sqref="C13:D14">
      <formula1>99999999</formula1>
    </dataValidation>
    <dataValidation type="decimal" allowBlank="1" showInputMessage="1" showErrorMessage="1" error="Beloppet ska vara i 1000 tal kronor_x000a_Inget minusbelopp anges, beräkningen sker automatiskt." sqref="C31:C32 C35 C37 C41">
      <formula1>0</formula1>
      <formula2>99999999</formula2>
    </dataValidation>
    <dataValidation type="decimal" operator="greaterThanOrEqual" allowBlank="1" showInputMessage="1" showErrorMessage="1" error="Belopp anges utan minustecken" sqref="C23:C27">
      <formula1>0</formula1>
    </dataValidation>
  </dataValidations>
  <pageMargins left="0.70866141732283472" right="0.70866141732283472" top="0.74803149606299213" bottom="0.52" header="0.31496062992125984" footer="0.31496062992125984"/>
  <pageSetup paperSize="9" scale="85" orientation="landscape" r:id="rId4"/>
  <headerFooter>
    <oddHeader>&amp;L&amp;8Statistiska Centralbyrån
Offentlig ekonomi&amp;R&amp;P</oddHead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112"/>
  <sheetViews>
    <sheetView showGridLines="0" zoomScaleNormal="100" workbookViewId="0">
      <pane ySplit="1" topLeftCell="A33" activePane="bottomLeft" state="frozen"/>
      <selection activeCell="F32" sqref="F32"/>
      <selection pane="bottomLeft" activeCell="K81" sqref="K81"/>
    </sheetView>
  </sheetViews>
  <sheetFormatPr defaultColWidth="0" defaultRowHeight="12.75" zeroHeight="1"/>
  <cols>
    <col min="1" max="1" width="4" style="151" customWidth="1"/>
    <col min="2" max="2" width="10.85546875" style="151" customWidth="1"/>
    <col min="3" max="3" width="35.85546875" style="151" customWidth="1"/>
    <col min="4" max="4" width="10.5703125" style="151" customWidth="1"/>
    <col min="5" max="5" width="10.140625" style="151" customWidth="1"/>
    <col min="6" max="6" width="23" style="178" customWidth="1"/>
    <col min="7" max="7" width="4" style="178" customWidth="1"/>
    <col min="8" max="8" width="7.28515625" style="178" customWidth="1"/>
    <col min="9" max="9" width="30.28515625" style="178" customWidth="1"/>
    <col min="10" max="10" width="11.28515625" style="178" customWidth="1"/>
    <col min="11" max="11" width="12.28515625" style="178" customWidth="1"/>
    <col min="12" max="12" width="32" style="178" customWidth="1"/>
    <col min="13" max="14" width="9.85546875" style="178" customWidth="1"/>
    <col min="15" max="15" width="2.140625" style="178" customWidth="1"/>
    <col min="16" max="16" width="6" style="178" customWidth="1"/>
    <col min="17" max="17" width="10.7109375" style="151" customWidth="1"/>
    <col min="18" max="18" width="3.85546875" style="151" customWidth="1"/>
    <col min="19" max="20" width="6" style="178" customWidth="1"/>
    <col min="21" max="21" width="0" hidden="1" customWidth="1"/>
    <col min="22" max="16384" width="0" style="178" hidden="1"/>
  </cols>
  <sheetData>
    <row r="1" spans="1:20" ht="20.25">
      <c r="A1" s="98" t="str">
        <f>"Balansräkning "&amp;År&amp;", miljoner kr"</f>
        <v>Balansräkning 2018, miljoner kr</v>
      </c>
      <c r="B1" s="99"/>
      <c r="C1" s="99"/>
      <c r="D1" s="100"/>
      <c r="E1" s="536" t="s">
        <v>474</v>
      </c>
      <c r="F1" s="537" t="str">
        <f>'Kn Information'!B2</f>
        <v>RIKSTOTAL</v>
      </c>
      <c r="G1" s="537"/>
      <c r="H1" s="537"/>
      <c r="I1" s="537"/>
      <c r="J1" s="177"/>
      <c r="K1" s="177"/>
      <c r="L1" s="177"/>
      <c r="M1" s="177"/>
      <c r="N1" s="177"/>
      <c r="O1" s="206"/>
      <c r="P1" s="206"/>
      <c r="Q1" s="1686"/>
      <c r="R1" s="1686"/>
      <c r="S1" s="206"/>
      <c r="T1" s="177"/>
    </row>
    <row r="2" spans="1:20" ht="12.75" customHeight="1">
      <c r="A2" s="1338"/>
      <c r="E2" s="154"/>
      <c r="I2" s="4"/>
      <c r="J2" s="1437"/>
      <c r="K2" s="86"/>
      <c r="M2" s="47"/>
      <c r="N2" s="4"/>
      <c r="P2" s="180"/>
    </row>
    <row r="3" spans="1:20" ht="12.75" customHeight="1" thickBot="1">
      <c r="D3" s="2298"/>
      <c r="E3" s="154"/>
      <c r="I3" s="216"/>
      <c r="J3" s="4"/>
      <c r="K3" s="4"/>
      <c r="L3" s="4"/>
      <c r="M3" s="4"/>
      <c r="N3" s="4"/>
      <c r="P3" s="180"/>
    </row>
    <row r="4" spans="1:20" s="191" customFormat="1">
      <c r="A4" s="2301" t="s">
        <v>670</v>
      </c>
      <c r="B4" s="2300" t="s">
        <v>814</v>
      </c>
      <c r="C4" s="685" t="s">
        <v>790</v>
      </c>
      <c r="D4" s="2299" t="s">
        <v>660</v>
      </c>
      <c r="E4" s="712" t="s">
        <v>787</v>
      </c>
      <c r="H4" s="190"/>
      <c r="I4" s="190"/>
      <c r="J4" s="190"/>
      <c r="K4" s="190"/>
      <c r="L4" s="190"/>
      <c r="M4" s="2518" t="s">
        <v>479</v>
      </c>
      <c r="N4" s="2527"/>
      <c r="O4" s="1469"/>
      <c r="P4" s="1387"/>
      <c r="Q4" s="1687"/>
      <c r="R4" s="1468"/>
      <c r="S4" s="1388"/>
      <c r="T4" s="1388"/>
    </row>
    <row r="5" spans="1:20" s="191" customFormat="1" ht="32.25" customHeight="1">
      <c r="A5" s="2302" t="s">
        <v>661</v>
      </c>
      <c r="B5" s="2537"/>
      <c r="C5" s="687"/>
      <c r="D5" s="713"/>
      <c r="E5" s="714"/>
      <c r="F5" s="190"/>
      <c r="G5" s="190"/>
      <c r="H5" s="190"/>
      <c r="I5" s="190"/>
      <c r="J5" s="190"/>
      <c r="K5" s="190"/>
      <c r="L5" s="190"/>
      <c r="M5" s="722" t="s">
        <v>660</v>
      </c>
      <c r="N5" s="723" t="s">
        <v>787</v>
      </c>
      <c r="O5" s="1469"/>
      <c r="P5" s="1387"/>
      <c r="Q5" s="1388"/>
      <c r="R5" s="1388"/>
      <c r="S5" s="2535"/>
      <c r="T5" s="2533"/>
    </row>
    <row r="6" spans="1:20" ht="15">
      <c r="A6" s="688"/>
      <c r="B6" s="2538"/>
      <c r="C6" s="689"/>
      <c r="D6" s="715"/>
      <c r="E6" s="716"/>
      <c r="F6" s="4"/>
      <c r="G6" s="4"/>
      <c r="H6" s="4"/>
      <c r="I6" s="4"/>
      <c r="J6" s="4"/>
      <c r="K6" s="4"/>
      <c r="L6" s="4"/>
      <c r="M6" s="724"/>
      <c r="N6" s="725"/>
      <c r="O6" s="1470"/>
      <c r="P6" s="1387"/>
      <c r="Q6" s="1477"/>
      <c r="R6" s="1477"/>
      <c r="S6" s="2535"/>
      <c r="T6" s="2534"/>
    </row>
    <row r="7" spans="1:20" ht="15">
      <c r="A7" s="690"/>
      <c r="B7" s="691"/>
      <c r="C7" s="692" t="s">
        <v>671</v>
      </c>
      <c r="D7" s="717"/>
      <c r="E7" s="718"/>
      <c r="F7" s="73"/>
      <c r="G7" s="4"/>
      <c r="H7" s="4"/>
      <c r="I7" s="4"/>
      <c r="J7" s="4"/>
      <c r="K7" s="4"/>
      <c r="L7" s="4"/>
      <c r="M7" s="726"/>
      <c r="N7" s="727"/>
      <c r="O7" s="79"/>
      <c r="P7" s="260"/>
      <c r="Q7" s="1689"/>
      <c r="R7" s="260"/>
    </row>
    <row r="8" spans="1:20" ht="7.5" customHeight="1">
      <c r="A8" s="690"/>
      <c r="B8" s="691"/>
      <c r="C8" s="693"/>
      <c r="D8" s="719"/>
      <c r="E8" s="720"/>
      <c r="F8" s="73"/>
      <c r="G8" s="4"/>
      <c r="H8" s="4"/>
      <c r="I8" s="4"/>
      <c r="J8" s="4"/>
      <c r="K8" s="4"/>
      <c r="L8" s="4"/>
      <c r="M8" s="726"/>
      <c r="N8" s="727"/>
      <c r="O8" s="79"/>
      <c r="P8" s="260"/>
      <c r="Q8" s="1689"/>
      <c r="R8" s="260"/>
    </row>
    <row r="9" spans="1:20" ht="14.45" customHeight="1">
      <c r="A9" s="610" t="s">
        <v>300</v>
      </c>
      <c r="B9" s="694">
        <v>10</v>
      </c>
      <c r="C9" s="695" t="s">
        <v>672</v>
      </c>
      <c r="D9" s="195">
        <v>801</v>
      </c>
      <c r="E9" s="464">
        <v>2038</v>
      </c>
      <c r="F9" s="188" t="str">
        <f>IF(OR(D9="",E9=""),"Skriv belopp eller 0","")</f>
        <v/>
      </c>
      <c r="G9" s="4"/>
      <c r="H9" s="4"/>
      <c r="I9" s="4"/>
      <c r="J9" s="4"/>
      <c r="K9" s="4"/>
      <c r="L9" s="4"/>
      <c r="M9" s="728"/>
      <c r="N9" s="729"/>
      <c r="O9" s="1437"/>
      <c r="P9" s="1478"/>
      <c r="Q9" s="1690"/>
      <c r="R9" s="1691"/>
    </row>
    <row r="10" spans="1:20" ht="14.45" customHeight="1">
      <c r="A10" s="610" t="s">
        <v>301</v>
      </c>
      <c r="B10" s="696">
        <v>11</v>
      </c>
      <c r="C10" s="581" t="s">
        <v>673</v>
      </c>
      <c r="D10" s="195">
        <v>500031</v>
      </c>
      <c r="E10" s="721"/>
      <c r="F10" s="73"/>
      <c r="G10" s="4"/>
      <c r="H10" s="4"/>
      <c r="I10" s="4"/>
      <c r="J10" s="4"/>
      <c r="K10" s="4"/>
      <c r="L10" s="4"/>
      <c r="M10" s="730"/>
      <c r="N10" s="731"/>
      <c r="O10" s="1437"/>
      <c r="P10" s="1478"/>
      <c r="Q10" s="1478"/>
      <c r="R10" s="1478"/>
    </row>
    <row r="11" spans="1:20" ht="14.45" customHeight="1">
      <c r="A11" s="610" t="s">
        <v>302</v>
      </c>
      <c r="B11" s="696">
        <v>12</v>
      </c>
      <c r="C11" s="581" t="s">
        <v>674</v>
      </c>
      <c r="D11" s="195">
        <v>26445</v>
      </c>
      <c r="E11" s="721"/>
      <c r="F11" s="73"/>
      <c r="G11" s="83" t="s">
        <v>480</v>
      </c>
      <c r="H11" s="4"/>
      <c r="I11" s="4"/>
      <c r="J11" s="4"/>
      <c r="K11" s="4"/>
      <c r="L11" s="4"/>
      <c r="M11" s="730"/>
      <c r="N11" s="731"/>
      <c r="O11" s="1437"/>
      <c r="P11" s="1478"/>
      <c r="Q11" s="1478"/>
      <c r="R11" s="1478"/>
    </row>
    <row r="12" spans="1:20" ht="14.45" customHeight="1">
      <c r="A12" s="610" t="s">
        <v>292</v>
      </c>
      <c r="B12" s="697">
        <v>11.12</v>
      </c>
      <c r="C12" s="698" t="s">
        <v>675</v>
      </c>
      <c r="D12" s="363">
        <f>SUM(D10:D11)</f>
        <v>526476</v>
      </c>
      <c r="E12" s="196">
        <v>1279459</v>
      </c>
      <c r="F12" s="188" t="str">
        <f>IF(D12&gt;E12,"konc. &lt; kom.",IF(OR(D12=0,E12=0),"Belopp saknas",""))</f>
        <v/>
      </c>
      <c r="G12" s="1650" t="s">
        <v>581</v>
      </c>
      <c r="H12" s="1650" t="s">
        <v>814</v>
      </c>
      <c r="I12" s="1648"/>
      <c r="J12" s="1649"/>
      <c r="K12" s="180"/>
      <c r="L12" s="4"/>
      <c r="M12" s="649">
        <f>(D9+D12)*1000000/invanare</f>
        <v>51541.296662768073</v>
      </c>
      <c r="N12" s="650">
        <f>(E9+E12)*1000000/invanare</f>
        <v>125266.25862582153</v>
      </c>
      <c r="O12" s="1397"/>
      <c r="P12" s="1478"/>
      <c r="Q12" s="1691"/>
      <c r="R12" s="1691"/>
      <c r="S12" s="154"/>
      <c r="T12" s="154"/>
    </row>
    <row r="13" spans="1:20" ht="14.45" customHeight="1">
      <c r="A13" s="610" t="s">
        <v>303</v>
      </c>
      <c r="B13" s="699" t="s">
        <v>927</v>
      </c>
      <c r="C13" s="637" t="s">
        <v>676</v>
      </c>
      <c r="D13" s="197">
        <v>77072</v>
      </c>
      <c r="E13" s="721"/>
      <c r="F13" s="73"/>
      <c r="G13" s="738" t="s">
        <v>307</v>
      </c>
      <c r="H13" s="739" t="s">
        <v>580</v>
      </c>
      <c r="I13" s="740" t="s">
        <v>0</v>
      </c>
      <c r="J13" s="309">
        <v>63430</v>
      </c>
      <c r="K13" s="1624"/>
      <c r="L13" s="4"/>
      <c r="M13" s="732"/>
      <c r="N13" s="733"/>
      <c r="O13" s="1397"/>
      <c r="P13" s="1478"/>
      <c r="Q13" s="1467"/>
      <c r="R13" s="1478"/>
      <c r="S13" s="319"/>
      <c r="T13" s="319"/>
    </row>
    <row r="14" spans="1:20" ht="14.45" customHeight="1">
      <c r="A14" s="610" t="s">
        <v>304</v>
      </c>
      <c r="B14" s="699" t="s">
        <v>926</v>
      </c>
      <c r="C14" s="586" t="s">
        <v>12</v>
      </c>
      <c r="D14" s="197">
        <v>7694</v>
      </c>
      <c r="E14" s="721"/>
      <c r="F14" s="73"/>
      <c r="G14" s="192"/>
      <c r="H14" s="4"/>
      <c r="I14" s="4"/>
      <c r="J14" s="149" t="str">
        <f>IF(AND(D13=0,J13=0),"",IF(SUM(J13)&gt;D13,"Däravrad 031 &gt; rad 036",IF(AND(D13&gt;10,J13=""),"Rad 031: skriv belopp eller 0","")))</f>
        <v/>
      </c>
      <c r="K14" s="149"/>
      <c r="L14" s="4"/>
      <c r="M14" s="732"/>
      <c r="N14" s="733"/>
      <c r="O14" s="1397"/>
      <c r="P14" s="1478"/>
      <c r="Q14" s="1467"/>
      <c r="R14" s="1478"/>
    </row>
    <row r="15" spans="1:20" ht="14.45" customHeight="1">
      <c r="A15" s="610" t="s">
        <v>305</v>
      </c>
      <c r="B15" s="700" t="s">
        <v>5</v>
      </c>
      <c r="C15" s="593" t="s">
        <v>677</v>
      </c>
      <c r="D15" s="195">
        <v>193564</v>
      </c>
      <c r="E15" s="721"/>
      <c r="F15" s="73"/>
      <c r="G15" s="738" t="s">
        <v>308</v>
      </c>
      <c r="H15" s="739" t="s">
        <v>792</v>
      </c>
      <c r="I15" s="1411" t="s">
        <v>1</v>
      </c>
      <c r="J15" s="309">
        <v>165974</v>
      </c>
      <c r="K15" s="1624"/>
      <c r="L15" s="4"/>
      <c r="M15" s="734"/>
      <c r="N15" s="735"/>
      <c r="O15" s="1397"/>
      <c r="P15" s="1478"/>
      <c r="Q15" s="1478"/>
      <c r="R15" s="1478"/>
      <c r="S15" s="319"/>
      <c r="T15" s="319"/>
    </row>
    <row r="16" spans="1:20" ht="14.45" customHeight="1">
      <c r="A16" s="610" t="s">
        <v>306</v>
      </c>
      <c r="B16" s="696" t="s">
        <v>924</v>
      </c>
      <c r="C16" s="581" t="s">
        <v>925</v>
      </c>
      <c r="D16" s="195">
        <v>190</v>
      </c>
      <c r="E16" s="721"/>
      <c r="F16" s="73"/>
      <c r="G16" s="192"/>
      <c r="H16" s="4"/>
      <c r="I16" s="4"/>
      <c r="J16" s="149" t="str">
        <f>IF(AND(D15=0,J15=0),"",IF(SUM(J15)&gt;D15,"Däravrad 034 &gt; rad 033",IF(AND(D15&gt;10,J15=""),"Rad 034: skriv belopp eller 0","")))</f>
        <v/>
      </c>
      <c r="K16" s="149"/>
      <c r="L16" s="4"/>
      <c r="M16" s="734"/>
      <c r="N16" s="735"/>
      <c r="O16" s="1397"/>
      <c r="P16" s="1478"/>
      <c r="Q16" s="1478"/>
      <c r="R16" s="1692"/>
    </row>
    <row r="17" spans="1:20" ht="14.45" customHeight="1">
      <c r="A17" s="610" t="s">
        <v>309</v>
      </c>
      <c r="B17" s="701" t="s">
        <v>8</v>
      </c>
      <c r="C17" s="695" t="s">
        <v>678</v>
      </c>
      <c r="D17" s="363">
        <f>SUM(D13:D16)</f>
        <v>278520</v>
      </c>
      <c r="E17" s="198">
        <v>47927</v>
      </c>
      <c r="F17" s="188" t="str">
        <f>IF(OR(D17=0,E17=""),"Belopp saknas","")</f>
        <v/>
      </c>
      <c r="G17" s="192"/>
      <c r="H17" s="4"/>
      <c r="I17" s="4"/>
      <c r="J17" s="4"/>
      <c r="K17" s="4"/>
      <c r="L17" s="4"/>
      <c r="M17" s="649">
        <f>D17*1000000/invanare</f>
        <v>27225.31410722289</v>
      </c>
      <c r="N17" s="650">
        <f>E17*1000000/invanare</f>
        <v>4684.8615152120901</v>
      </c>
      <c r="O17" s="1397"/>
      <c r="P17" s="1478"/>
      <c r="Q17" s="1692"/>
      <c r="R17" s="1692"/>
    </row>
    <row r="18" spans="1:20" ht="14.45" customHeight="1" thickBot="1">
      <c r="A18" s="603" t="s">
        <v>310</v>
      </c>
      <c r="B18" s="702" t="s">
        <v>9</v>
      </c>
      <c r="C18" s="595" t="s">
        <v>681</v>
      </c>
      <c r="D18" s="364">
        <f>SUM(D9,D12,D17)</f>
        <v>805797</v>
      </c>
      <c r="E18" s="365">
        <f>SUM(E9,E12,E17)</f>
        <v>1329424</v>
      </c>
      <c r="F18" s="73"/>
      <c r="G18" s="192"/>
      <c r="H18" s="4"/>
      <c r="I18" s="4"/>
      <c r="J18" s="4"/>
      <c r="K18" s="4"/>
      <c r="L18" s="4"/>
      <c r="M18" s="732"/>
      <c r="N18" s="733"/>
      <c r="O18" s="1397"/>
      <c r="P18" s="1478"/>
      <c r="Q18" s="1692"/>
      <c r="R18" s="1692"/>
    </row>
    <row r="19" spans="1:20" ht="14.45" customHeight="1" thickBot="1">
      <c r="A19" s="558" t="s">
        <v>321</v>
      </c>
      <c r="B19" s="559" t="s">
        <v>7</v>
      </c>
      <c r="C19" s="560" t="s">
        <v>1076</v>
      </c>
      <c r="D19" s="1483">
        <v>3682</v>
      </c>
      <c r="E19" s="314">
        <v>3682</v>
      </c>
      <c r="F19" s="188" t="str">
        <f>IF(D19&lt;0,"inga minusbelopp",IF(D19&lt;&gt;E19,"koncernen och kommunens belopp borde vara lika",""))</f>
        <v/>
      </c>
      <c r="G19" s="4"/>
      <c r="H19" s="4"/>
      <c r="I19" s="4"/>
      <c r="J19" s="4"/>
      <c r="K19" s="4"/>
      <c r="L19" s="4"/>
      <c r="M19" s="649">
        <f>D19*1000000/invanare</f>
        <v>359.91528989944953</v>
      </c>
      <c r="N19" s="656">
        <f>E19*1000000/invanare</f>
        <v>359.91528989944953</v>
      </c>
      <c r="O19" s="1397"/>
      <c r="P19" s="1478"/>
      <c r="Q19" s="1478"/>
      <c r="R19" s="1478"/>
    </row>
    <row r="20" spans="1:20" ht="14.45" customHeight="1">
      <c r="A20" s="703"/>
      <c r="B20" s="704"/>
      <c r="C20" s="705" t="s">
        <v>651</v>
      </c>
      <c r="D20" s="748"/>
      <c r="E20" s="749"/>
      <c r="F20" s="73"/>
      <c r="G20" s="1564" t="s">
        <v>1045</v>
      </c>
      <c r="H20" s="1565" t="s">
        <v>1034</v>
      </c>
      <c r="I20" s="1411" t="s">
        <v>1037</v>
      </c>
      <c r="J20" s="1670">
        <v>11386</v>
      </c>
      <c r="K20" s="1876"/>
      <c r="L20" s="4"/>
      <c r="M20" s="736"/>
      <c r="N20" s="737"/>
      <c r="O20" s="1471"/>
      <c r="P20" s="319"/>
      <c r="Q20" s="319"/>
      <c r="R20" s="319"/>
      <c r="S20" s="319"/>
    </row>
    <row r="21" spans="1:20" ht="14.45" customHeight="1">
      <c r="A21" s="610" t="s">
        <v>294</v>
      </c>
      <c r="B21" s="706">
        <v>14</v>
      </c>
      <c r="C21" s="581" t="s">
        <v>791</v>
      </c>
      <c r="D21" s="68">
        <v>12279</v>
      </c>
      <c r="E21" s="199">
        <v>16227</v>
      </c>
      <c r="F21" s="249" t="str">
        <f>IF(D21&gt;E21,"konc. &lt; kom.",IF(OR(D21="",E21=""),"Belopp saknas",IF(OR(D21&lt;-500,E21&lt;-500),"Kommentera varför minuspost","")))</f>
        <v/>
      </c>
      <c r="G21" s="1632"/>
      <c r="H21" s="1633"/>
      <c r="I21" s="1634"/>
      <c r="J21" s="149" t="str">
        <f>IF(AND(D21=0,J20=0),"",IF(SUM(J20)&gt;D21,"Däravrad 042 &gt; rad040",IF(AND(D21&gt;10,J20=""),"Rad 042: skriv belopp eller 0","")))</f>
        <v/>
      </c>
      <c r="K21" s="149"/>
      <c r="L21" s="194"/>
      <c r="M21" s="736"/>
      <c r="N21" s="737"/>
      <c r="O21" s="1471"/>
      <c r="P21" s="1478"/>
      <c r="Q21" s="1691"/>
      <c r="R21" s="1691"/>
    </row>
    <row r="22" spans="1:20" ht="14.45" customHeight="1">
      <c r="A22" s="610" t="s">
        <v>311</v>
      </c>
      <c r="B22" s="696" t="s">
        <v>682</v>
      </c>
      <c r="C22" s="581" t="s">
        <v>683</v>
      </c>
      <c r="D22" s="55">
        <v>10431</v>
      </c>
      <c r="E22" s="721"/>
      <c r="F22" s="1363"/>
      <c r="G22" s="738" t="s">
        <v>312</v>
      </c>
      <c r="H22" s="1561" t="s">
        <v>815</v>
      </c>
      <c r="I22" s="740" t="s">
        <v>1</v>
      </c>
      <c r="J22" s="309">
        <v>1728</v>
      </c>
      <c r="K22" s="1624"/>
      <c r="L22" s="4"/>
      <c r="M22" s="736"/>
      <c r="N22" s="737"/>
      <c r="O22" s="1471"/>
      <c r="P22" s="1478"/>
      <c r="Q22" s="1478"/>
      <c r="R22" s="1478"/>
      <c r="S22" s="319"/>
      <c r="T22" s="319"/>
    </row>
    <row r="23" spans="1:20" ht="14.45" customHeight="1">
      <c r="A23" s="610" t="s">
        <v>295</v>
      </c>
      <c r="B23" s="696" t="s">
        <v>684</v>
      </c>
      <c r="C23" s="581" t="s">
        <v>685</v>
      </c>
      <c r="D23" s="55">
        <v>118024</v>
      </c>
      <c r="E23" s="721"/>
      <c r="F23" s="1364"/>
      <c r="G23" s="192"/>
      <c r="H23" s="4"/>
      <c r="I23" s="4"/>
      <c r="J23" s="149" t="str">
        <f>IF(AND(D22=0,J22=0),"",IF(SUM(J22)&gt;D22,"Däravrad 046 &gt; rad 045",IF(AND(D22&gt;10,J22=""),"Rad 046: skriv belopp eller 0","")))</f>
        <v/>
      </c>
      <c r="K23" s="149"/>
      <c r="L23" s="4"/>
      <c r="M23" s="736"/>
      <c r="N23" s="737"/>
      <c r="O23" s="1471"/>
      <c r="P23" s="1478"/>
      <c r="Q23" s="1478"/>
      <c r="R23" s="1478"/>
    </row>
    <row r="24" spans="1:20" ht="14.45" customHeight="1">
      <c r="A24" s="610" t="s">
        <v>314</v>
      </c>
      <c r="B24" s="696" t="s">
        <v>181</v>
      </c>
      <c r="C24" s="581" t="s">
        <v>557</v>
      </c>
      <c r="D24" s="195">
        <v>21741</v>
      </c>
      <c r="E24" s="721"/>
      <c r="F24" s="1364"/>
      <c r="G24" s="741" t="s">
        <v>313</v>
      </c>
      <c r="H24" s="742" t="s">
        <v>686</v>
      </c>
      <c r="I24" s="743" t="s">
        <v>2</v>
      </c>
      <c r="J24" s="311">
        <v>10920</v>
      </c>
      <c r="K24" s="1624"/>
      <c r="L24" s="4"/>
      <c r="M24" s="736"/>
      <c r="N24" s="737"/>
      <c r="O24" s="1471"/>
      <c r="P24" s="1478"/>
      <c r="Q24" s="1478"/>
      <c r="R24" s="1478"/>
      <c r="S24" s="319"/>
      <c r="T24" s="319"/>
    </row>
    <row r="25" spans="1:20" ht="14.45" customHeight="1">
      <c r="A25" s="610" t="s">
        <v>323</v>
      </c>
      <c r="B25" s="696" t="s">
        <v>214</v>
      </c>
      <c r="C25" s="581" t="s">
        <v>506</v>
      </c>
      <c r="D25" s="195">
        <v>2956</v>
      </c>
      <c r="E25" s="721"/>
      <c r="F25" s="1364"/>
      <c r="G25" s="746" t="s">
        <v>322</v>
      </c>
      <c r="H25" s="2250" t="s">
        <v>1290</v>
      </c>
      <c r="I25" s="747" t="s">
        <v>1</v>
      </c>
      <c r="J25" s="310">
        <v>95848</v>
      </c>
      <c r="K25" s="79"/>
      <c r="L25" s="4"/>
      <c r="M25" s="736"/>
      <c r="N25" s="737"/>
      <c r="O25" s="1471"/>
      <c r="P25" s="1478"/>
      <c r="Q25" s="1478"/>
      <c r="R25" s="1478"/>
      <c r="S25" s="319"/>
      <c r="T25" s="319"/>
    </row>
    <row r="26" spans="1:20" ht="14.45" customHeight="1">
      <c r="A26" s="2140" t="s">
        <v>1148</v>
      </c>
      <c r="B26" s="706" t="s">
        <v>1149</v>
      </c>
      <c r="C26" s="602" t="s">
        <v>1150</v>
      </c>
      <c r="D26" s="363">
        <f>SUM(D22:D25)</f>
        <v>153152</v>
      </c>
      <c r="E26" s="2194">
        <v>79124</v>
      </c>
      <c r="F26" s="249" t="str">
        <f>IF(OR(D26=0,E26=""),"Belopp saknas","")</f>
        <v/>
      </c>
      <c r="G26" s="1877"/>
      <c r="H26" s="1877"/>
      <c r="I26" s="1878"/>
      <c r="J26" s="149" t="str">
        <f>IF(AND(D23=0,SUM(J24+J25)=0),"",IF(SUM(J24:J25)&gt;D23,"Däravr.051+ 052&gt;rad 050",IF(AND(D23&gt;10,J24=""),"Rad 051: skriv belopp eller 0",IF(AND(D23&gt;10,J25=""),"Rad 052: skriv belopp eller 0 ",""))))</f>
        <v/>
      </c>
      <c r="K26" s="149"/>
      <c r="L26" s="4"/>
      <c r="M26" s="736"/>
      <c r="N26" s="737"/>
      <c r="O26" s="1471"/>
      <c r="P26" s="1478"/>
      <c r="Q26" s="1478"/>
      <c r="R26" s="1478"/>
      <c r="S26" s="319"/>
      <c r="T26" s="319"/>
    </row>
    <row r="27" spans="1:20" ht="14.45" customHeight="1">
      <c r="A27" s="610" t="s">
        <v>315</v>
      </c>
      <c r="B27" s="699" t="s">
        <v>687</v>
      </c>
      <c r="C27" s="586" t="s">
        <v>688</v>
      </c>
      <c r="D27" s="195">
        <v>23894</v>
      </c>
      <c r="E27" s="721"/>
      <c r="F27" s="1364"/>
      <c r="G27" s="319"/>
      <c r="H27" s="319"/>
      <c r="I27" s="1479"/>
      <c r="J27" s="1879"/>
      <c r="K27" s="1624"/>
      <c r="L27" s="4"/>
      <c r="M27" s="736"/>
      <c r="N27" s="737"/>
      <c r="O27" s="1471"/>
      <c r="P27" s="1478"/>
      <c r="Q27" s="1467"/>
      <c r="R27" s="1478"/>
      <c r="S27" s="319"/>
      <c r="T27" s="319"/>
    </row>
    <row r="28" spans="1:20" ht="14.45" customHeight="1">
      <c r="A28" s="610" t="s">
        <v>316</v>
      </c>
      <c r="B28" s="699" t="s">
        <v>689</v>
      </c>
      <c r="C28" s="586" t="s">
        <v>691</v>
      </c>
      <c r="D28" s="195">
        <v>16917</v>
      </c>
      <c r="E28" s="721"/>
      <c r="F28" s="1364"/>
      <c r="G28" s="192"/>
      <c r="H28" s="4"/>
      <c r="I28" s="4"/>
      <c r="J28" s="149"/>
      <c r="K28" s="149"/>
      <c r="L28" s="4"/>
      <c r="M28" s="736"/>
      <c r="N28" s="737"/>
      <c r="O28" s="1471"/>
      <c r="P28" s="1478"/>
      <c r="Q28" s="1467"/>
      <c r="R28" s="1478"/>
    </row>
    <row r="29" spans="1:20" ht="14.45" customHeight="1">
      <c r="A29" s="610" t="s">
        <v>317</v>
      </c>
      <c r="B29" s="699" t="s">
        <v>692</v>
      </c>
      <c r="C29" s="586" t="s">
        <v>693</v>
      </c>
      <c r="D29" s="195">
        <v>726</v>
      </c>
      <c r="E29" s="721"/>
      <c r="F29" s="1364"/>
      <c r="G29" s="4"/>
      <c r="H29" s="4"/>
      <c r="I29" s="4"/>
      <c r="J29" s="4"/>
      <c r="K29" s="4"/>
      <c r="L29" s="4"/>
      <c r="M29" s="736"/>
      <c r="N29" s="737"/>
      <c r="O29" s="1471"/>
      <c r="P29" s="1478"/>
      <c r="Q29" s="1467"/>
      <c r="R29" s="1478"/>
    </row>
    <row r="30" spans="1:20" ht="14.45" customHeight="1">
      <c r="A30" s="610" t="s">
        <v>318</v>
      </c>
      <c r="B30" s="699" t="s">
        <v>694</v>
      </c>
      <c r="C30" s="586" t="s">
        <v>690</v>
      </c>
      <c r="D30" s="195">
        <v>-171</v>
      </c>
      <c r="E30" s="721"/>
      <c r="F30" s="1364"/>
      <c r="G30" s="4"/>
      <c r="H30" s="4"/>
      <c r="I30" s="4"/>
      <c r="J30" s="4"/>
      <c r="K30" s="4"/>
      <c r="L30" s="4"/>
      <c r="M30" s="736"/>
      <c r="N30" s="737"/>
      <c r="O30" s="1471"/>
      <c r="P30" s="1478"/>
      <c r="Q30" s="1467"/>
      <c r="R30" s="1478"/>
    </row>
    <row r="31" spans="1:20" ht="14.45" customHeight="1">
      <c r="A31" s="2140" t="s">
        <v>296</v>
      </c>
      <c r="B31" s="706" t="s">
        <v>1151</v>
      </c>
      <c r="C31" s="602" t="s">
        <v>1152</v>
      </c>
      <c r="D31" s="363">
        <f>SUM(D27:D30)</f>
        <v>41366</v>
      </c>
      <c r="E31" s="199">
        <v>43103</v>
      </c>
      <c r="F31" s="249" t="str">
        <f>IF(OR(D27="",D28="",D29="",D30=""),"Skriv belopp eller 0 på raderna 053-058 för kommunen",IF(E31="","Skriv belopp eller 0 för koncernen",""))</f>
        <v/>
      </c>
      <c r="G31" s="4"/>
      <c r="H31" s="4"/>
      <c r="I31" s="4"/>
      <c r="J31" s="4"/>
      <c r="K31" s="4"/>
      <c r="L31" s="4"/>
      <c r="M31" s="736"/>
      <c r="N31" s="737"/>
      <c r="O31" s="1471"/>
      <c r="P31" s="1478"/>
      <c r="Q31" s="1691"/>
      <c r="R31" s="1691"/>
    </row>
    <row r="32" spans="1:20" ht="14.45" customHeight="1">
      <c r="A32" s="610" t="s">
        <v>319</v>
      </c>
      <c r="B32" s="706">
        <v>19</v>
      </c>
      <c r="C32" s="695" t="s">
        <v>695</v>
      </c>
      <c r="D32" s="195">
        <v>32925</v>
      </c>
      <c r="E32" s="199">
        <v>45891</v>
      </c>
      <c r="F32" s="249" t="str">
        <f>IF(D32&gt;E32,"konc. &lt; kom.",IF(OR(D32&lt;0,E32&lt;0),"Varför minusbelopp?",IF(OR(D32=0,E32=0),"Belopp saknas","")))</f>
        <v/>
      </c>
      <c r="G32" s="4"/>
      <c r="H32" s="4"/>
      <c r="I32" s="4"/>
      <c r="J32" s="4"/>
      <c r="K32" s="4"/>
      <c r="L32" s="4"/>
      <c r="M32" s="736"/>
      <c r="N32" s="737"/>
      <c r="O32" s="1471"/>
      <c r="P32" s="1478"/>
      <c r="Q32" s="1691"/>
      <c r="R32" s="1691"/>
    </row>
    <row r="33" spans="1:20" ht="14.45" customHeight="1" thickBot="1">
      <c r="A33" s="614" t="s">
        <v>320</v>
      </c>
      <c r="B33" s="707" t="s">
        <v>696</v>
      </c>
      <c r="C33" s="595" t="s">
        <v>697</v>
      </c>
      <c r="D33" s="366">
        <f>SUM(D21,D26,D31,D32)</f>
        <v>239722</v>
      </c>
      <c r="E33" s="367">
        <f>SUM(E21,E26,E31,E32)</f>
        <v>184345</v>
      </c>
      <c r="F33" s="1364"/>
      <c r="G33" s="180"/>
      <c r="H33" s="180"/>
      <c r="I33" s="180"/>
      <c r="J33" s="180"/>
      <c r="K33" s="4"/>
      <c r="L33" s="4"/>
      <c r="M33" s="652">
        <f>D33*1000000/invanare</f>
        <v>23432.8118210961</v>
      </c>
      <c r="N33" s="659">
        <f>E33*1000000/invanare</f>
        <v>18019.713230992402</v>
      </c>
      <c r="O33" s="1397"/>
      <c r="P33" s="1478"/>
      <c r="Q33" s="1691"/>
      <c r="R33" s="1691"/>
    </row>
    <row r="34" spans="1:20" ht="14.45" customHeight="1" thickBot="1">
      <c r="A34" s="708" t="s">
        <v>297</v>
      </c>
      <c r="B34" s="709" t="s">
        <v>698</v>
      </c>
      <c r="C34" s="710" t="s">
        <v>699</v>
      </c>
      <c r="D34" s="369">
        <f>SUM(D18,D19,D33)</f>
        <v>1049201</v>
      </c>
      <c r="E34" s="368">
        <f>SUM(E18,E19,E33)</f>
        <v>1517451</v>
      </c>
      <c r="F34" s="1364"/>
      <c r="G34" s="180"/>
      <c r="H34" s="180"/>
      <c r="I34" s="180"/>
      <c r="J34" s="180"/>
      <c r="K34" s="4"/>
      <c r="L34" s="4"/>
      <c r="M34" s="4"/>
      <c r="N34" s="4"/>
      <c r="P34" s="1478"/>
      <c r="Q34" s="1691"/>
      <c r="R34" s="1691"/>
    </row>
    <row r="35" spans="1:20" ht="14.45" customHeight="1">
      <c r="A35" s="6"/>
      <c r="B35" s="7"/>
      <c r="C35" s="8"/>
      <c r="D35" s="9"/>
      <c r="E35" s="9"/>
      <c r="F35" s="1364"/>
      <c r="G35" s="180"/>
      <c r="H35" s="180"/>
      <c r="I35" s="180"/>
      <c r="J35" s="180"/>
      <c r="K35" s="4"/>
      <c r="L35" s="4"/>
      <c r="M35" s="4"/>
      <c r="N35" s="4"/>
      <c r="Q35" s="1477"/>
      <c r="R35" s="1387"/>
    </row>
    <row r="36" spans="1:20" ht="14.45" customHeight="1" thickBot="1">
      <c r="A36" s="1"/>
      <c r="B36" s="7"/>
      <c r="C36" s="8"/>
      <c r="D36" s="9"/>
      <c r="E36" s="9"/>
      <c r="F36" s="1364"/>
      <c r="G36" s="180"/>
      <c r="H36" s="180"/>
      <c r="I36" s="180"/>
      <c r="J36" s="180"/>
      <c r="K36" s="4"/>
      <c r="L36" s="4"/>
      <c r="M36" s="4"/>
      <c r="N36" s="4"/>
      <c r="Q36" s="1477"/>
      <c r="R36" s="1387"/>
    </row>
    <row r="37" spans="1:20" ht="14.45" customHeight="1">
      <c r="A37" s="2301" t="s">
        <v>670</v>
      </c>
      <c r="B37" s="2300" t="s">
        <v>814</v>
      </c>
      <c r="C37" s="750" t="s">
        <v>373</v>
      </c>
      <c r="D37" s="711" t="s">
        <v>660</v>
      </c>
      <c r="E37" s="712" t="s">
        <v>787</v>
      </c>
      <c r="F37" s="1364"/>
      <c r="G37" s="180"/>
      <c r="H37" s="180"/>
      <c r="I37" s="180"/>
      <c r="J37" s="180"/>
      <c r="K37" s="4"/>
      <c r="L37" s="4"/>
      <c r="M37" s="2528" t="s">
        <v>479</v>
      </c>
      <c r="N37" s="2529"/>
      <c r="O37" s="1472"/>
      <c r="P37" s="1387"/>
      <c r="Q37" s="1468"/>
      <c r="R37" s="1691"/>
      <c r="S37" s="1468"/>
    </row>
    <row r="38" spans="1:20" ht="14.45" customHeight="1">
      <c r="A38" s="2303" t="s">
        <v>661</v>
      </c>
      <c r="B38" s="751"/>
      <c r="C38" s="752"/>
      <c r="D38" s="753"/>
      <c r="E38" s="754"/>
      <c r="F38" s="1364"/>
      <c r="G38" s="180"/>
      <c r="H38" s="180"/>
      <c r="I38" s="180"/>
      <c r="J38" s="180"/>
      <c r="K38" s="4"/>
      <c r="L38" s="4"/>
      <c r="M38" s="770" t="s">
        <v>660</v>
      </c>
      <c r="N38" s="771" t="s">
        <v>787</v>
      </c>
      <c r="O38" s="1473"/>
      <c r="P38" s="1387"/>
      <c r="Q38" s="1468"/>
      <c r="R38" s="1691"/>
      <c r="S38" s="1693"/>
    </row>
    <row r="39" spans="1:20" ht="14.45" customHeight="1">
      <c r="A39" s="610" t="s">
        <v>324</v>
      </c>
      <c r="B39" s="696">
        <v>201</v>
      </c>
      <c r="C39" s="581" t="s">
        <v>700</v>
      </c>
      <c r="D39" s="370">
        <v>446569</v>
      </c>
      <c r="E39" s="367">
        <v>581834</v>
      </c>
      <c r="F39" s="1869"/>
      <c r="G39" s="180"/>
      <c r="H39" s="180"/>
      <c r="I39" s="180"/>
      <c r="J39" s="180"/>
      <c r="K39" s="4"/>
      <c r="L39" s="4"/>
      <c r="M39" s="772"/>
      <c r="N39" s="773"/>
      <c r="O39" s="1437"/>
      <c r="P39" s="1478"/>
      <c r="Q39" s="1478"/>
      <c r="R39" s="1478"/>
      <c r="S39" s="1674"/>
    </row>
    <row r="40" spans="1:20" ht="14.45" customHeight="1">
      <c r="A40" s="610" t="s">
        <v>325</v>
      </c>
      <c r="B40" s="696">
        <v>202</v>
      </c>
      <c r="C40" s="581" t="s">
        <v>669</v>
      </c>
      <c r="D40" s="106">
        <f>RR!C19</f>
        <v>13861</v>
      </c>
      <c r="E40" s="1337">
        <f>RR!D19</f>
        <v>25823</v>
      </c>
      <c r="F40" s="249"/>
      <c r="G40" s="4"/>
      <c r="H40" s="4"/>
      <c r="I40" s="4"/>
      <c r="J40" s="4"/>
      <c r="K40" s="4"/>
      <c r="L40" s="4"/>
      <c r="M40" s="772"/>
      <c r="N40" s="773"/>
      <c r="O40" s="1437"/>
      <c r="P40" s="1478"/>
      <c r="Q40" s="1478"/>
      <c r="R40" s="1478"/>
    </row>
    <row r="41" spans="1:20" ht="14.45" customHeight="1">
      <c r="A41" s="612" t="s">
        <v>904</v>
      </c>
      <c r="B41" s="1562"/>
      <c r="C41" s="586" t="s">
        <v>933</v>
      </c>
      <c r="D41" s="55">
        <v>417</v>
      </c>
      <c r="E41" s="186">
        <v>-1609</v>
      </c>
      <c r="F41" s="249"/>
      <c r="G41" s="4"/>
      <c r="H41" s="4"/>
      <c r="I41" s="4"/>
      <c r="J41" s="4"/>
      <c r="K41" s="4"/>
      <c r="L41" s="4"/>
      <c r="M41" s="772"/>
      <c r="N41" s="773"/>
      <c r="O41" s="1437"/>
      <c r="P41" s="1478"/>
      <c r="Q41" s="1478"/>
      <c r="R41" s="1478"/>
    </row>
    <row r="42" spans="1:20" ht="17.25" customHeight="1">
      <c r="A42" s="612" t="s">
        <v>326</v>
      </c>
      <c r="B42" s="762" t="s">
        <v>974</v>
      </c>
      <c r="C42" s="763" t="s">
        <v>975</v>
      </c>
      <c r="D42" s="370">
        <f>SUM(D39:D41)</f>
        <v>460847</v>
      </c>
      <c r="E42" s="367">
        <f>SUM(E39:E41)</f>
        <v>606048</v>
      </c>
      <c r="F42" s="249" t="str">
        <f>IF(ABS(SUM(D34-D42-D49-D67))&gt;100,(ROUND((D34-D42-D49-D67),0))&amp;" tkr differens mellan kommunens UB EK här och summan tillgångar - summa skulder och avsättningar - måste åtgärdas!",IF(ABS(SUM(E34-E42-E49-E67))&gt;100,(ROUND((E34-E42-E49-E67),1))&amp;" tkr differens mellan koncernens UB EK här och summan tillgångar - summa skulder och avsättningar - måste åtgärdas!",""))</f>
        <v/>
      </c>
      <c r="G42" s="4"/>
      <c r="H42" s="4"/>
      <c r="I42" s="4"/>
      <c r="J42" s="4"/>
      <c r="K42" s="4"/>
      <c r="L42" s="4"/>
      <c r="M42" s="774">
        <f>D42*1000000/invanare</f>
        <v>45047.767953365459</v>
      </c>
      <c r="N42" s="650">
        <f>E42*1000000/invanare</f>
        <v>59241.157417974355</v>
      </c>
      <c r="O42" s="1437"/>
      <c r="P42" s="1478"/>
      <c r="Q42" s="1691"/>
      <c r="R42" s="1478"/>
    </row>
    <row r="43" spans="1:20" ht="15" customHeight="1">
      <c r="A43" s="613" t="s">
        <v>903</v>
      </c>
      <c r="B43" s="758"/>
      <c r="C43" s="586" t="s">
        <v>976</v>
      </c>
      <c r="D43" s="55">
        <v>15768</v>
      </c>
      <c r="E43" s="186">
        <v>15738</v>
      </c>
      <c r="F43" s="249"/>
      <c r="G43" s="2539"/>
      <c r="H43" s="2540"/>
      <c r="I43" s="2540"/>
      <c r="J43" s="2540"/>
      <c r="K43" s="2540"/>
      <c r="L43" s="4"/>
      <c r="M43" s="772"/>
      <c r="N43" s="773"/>
      <c r="O43" s="2275"/>
      <c r="P43" s="1478"/>
      <c r="Q43" s="1478"/>
      <c r="R43" s="1478"/>
    </row>
    <row r="44" spans="1:20" ht="18.75" customHeight="1" thickBot="1">
      <c r="A44" s="614"/>
      <c r="B44" s="760"/>
      <c r="C44" s="601"/>
      <c r="D44" s="1696"/>
      <c r="E44" s="1697"/>
      <c r="F44" s="249"/>
      <c r="G44" s="2540"/>
      <c r="H44" s="2540"/>
      <c r="I44" s="2540"/>
      <c r="J44" s="2540"/>
      <c r="K44" s="2540"/>
      <c r="L44" s="4"/>
      <c r="M44" s="1532"/>
      <c r="N44" s="655"/>
      <c r="O44" s="1397"/>
      <c r="P44" s="1478"/>
      <c r="Q44" s="1691"/>
      <c r="R44" s="1691"/>
    </row>
    <row r="45" spans="1:20" ht="14.45" customHeight="1">
      <c r="A45" s="610" t="s">
        <v>327</v>
      </c>
      <c r="B45" s="756" t="s">
        <v>701</v>
      </c>
      <c r="C45" s="757" t="s">
        <v>921</v>
      </c>
      <c r="D45" s="195">
        <v>32741</v>
      </c>
      <c r="E45" s="755"/>
      <c r="F45" s="249" t="str">
        <f>IF(D45=0,"Varför inga avsättningar för pensioner?","")</f>
        <v/>
      </c>
      <c r="G45" s="190" t="s">
        <v>1199</v>
      </c>
      <c r="H45" s="4"/>
      <c r="I45" s="4"/>
      <c r="J45" s="4"/>
      <c r="K45" s="4"/>
      <c r="L45" s="4"/>
      <c r="M45" s="775"/>
      <c r="N45" s="776"/>
      <c r="O45" s="1397"/>
      <c r="P45" s="1478"/>
      <c r="Q45" s="1478"/>
      <c r="R45" s="1478"/>
    </row>
    <row r="46" spans="1:20" ht="14.45" customHeight="1">
      <c r="A46" s="610" t="s">
        <v>328</v>
      </c>
      <c r="B46" s="696" t="s">
        <v>702</v>
      </c>
      <c r="C46" s="581" t="s">
        <v>922</v>
      </c>
      <c r="D46" s="195">
        <v>858</v>
      </c>
      <c r="E46" s="755"/>
      <c r="F46" s="1364"/>
      <c r="G46" s="83"/>
      <c r="H46" s="4"/>
      <c r="I46" s="4"/>
      <c r="J46" s="222"/>
      <c r="L46" s="4"/>
      <c r="M46" s="649">
        <f>SUM(D45:D47)*1000000/invanare</f>
        <v>4071.6761231590631</v>
      </c>
      <c r="N46" s="777"/>
      <c r="O46" s="1397"/>
      <c r="P46" s="1478"/>
      <c r="Q46" s="1478"/>
      <c r="R46" s="1478"/>
    </row>
    <row r="47" spans="1:20" ht="14.45" customHeight="1">
      <c r="A47" s="610" t="s">
        <v>329</v>
      </c>
      <c r="B47" s="758" t="s">
        <v>703</v>
      </c>
      <c r="C47" s="759" t="s">
        <v>834</v>
      </c>
      <c r="D47" s="195">
        <v>8055</v>
      </c>
      <c r="E47" s="755"/>
      <c r="F47" s="249" t="str">
        <f>IF(D47=0,"Varför inga avsättningar för särskild löneskatt pens.?","")</f>
        <v/>
      </c>
      <c r="G47" s="4"/>
      <c r="H47" s="4"/>
      <c r="I47" s="15"/>
      <c r="J47" s="1890" t="s">
        <v>660</v>
      </c>
      <c r="L47" s="1884"/>
      <c r="M47" s="778"/>
      <c r="N47" s="776"/>
      <c r="O47" s="1397"/>
      <c r="P47" s="1478"/>
      <c r="Q47" s="1478"/>
      <c r="R47" s="1478"/>
    </row>
    <row r="48" spans="1:20" ht="14.45" customHeight="1">
      <c r="A48" s="610" t="s">
        <v>330</v>
      </c>
      <c r="B48" s="696" t="s">
        <v>704</v>
      </c>
      <c r="C48" s="759" t="s">
        <v>705</v>
      </c>
      <c r="D48" s="195">
        <v>24766</v>
      </c>
      <c r="E48" s="755"/>
      <c r="F48" s="1364"/>
      <c r="G48" s="738" t="s">
        <v>298</v>
      </c>
      <c r="H48" s="739" t="s">
        <v>706</v>
      </c>
      <c r="I48" s="1880" t="s">
        <v>835</v>
      </c>
      <c r="J48" s="1883">
        <v>2336</v>
      </c>
      <c r="K48" s="1879"/>
      <c r="L48" s="2052"/>
      <c r="M48" s="649">
        <f>D48*1000000/invanare</f>
        <v>2420.8750868141683</v>
      </c>
      <c r="N48" s="776"/>
      <c r="O48" s="1397"/>
      <c r="P48" s="1478"/>
      <c r="Q48" s="1478"/>
      <c r="R48" s="1478"/>
      <c r="S48" s="319"/>
      <c r="T48" s="319"/>
    </row>
    <row r="49" spans="1:20" ht="14.45" customHeight="1" thickBot="1">
      <c r="A49" s="614" t="s">
        <v>331</v>
      </c>
      <c r="B49" s="707">
        <v>22</v>
      </c>
      <c r="C49" s="560" t="s">
        <v>707</v>
      </c>
      <c r="D49" s="366">
        <f>SUM(D45:D48)</f>
        <v>66420</v>
      </c>
      <c r="E49" s="200">
        <v>100483</v>
      </c>
      <c r="F49" s="249" t="str">
        <f>IF(D49&gt;E49,"konc. &lt; komm.",IF(OR(D49=0,E49=0),"Belopp saknas",""))</f>
        <v/>
      </c>
      <c r="G49" s="1564" t="s">
        <v>1153</v>
      </c>
      <c r="H49" s="1565" t="s">
        <v>1209</v>
      </c>
      <c r="I49" s="1880" t="s">
        <v>1154</v>
      </c>
      <c r="J49" s="1883">
        <v>17033</v>
      </c>
      <c r="K49" s="1879"/>
      <c r="L49" s="2052"/>
      <c r="M49" s="774">
        <f>D49*1000000/invanare</f>
        <v>6492.5512099732314</v>
      </c>
      <c r="N49" s="650">
        <f>E49*1000000/invanare</f>
        <v>9822.2075162863621</v>
      </c>
      <c r="O49" s="1397"/>
      <c r="P49" s="1478"/>
      <c r="Q49" s="1691"/>
      <c r="R49" s="1691"/>
    </row>
    <row r="50" spans="1:20" ht="14.45" customHeight="1">
      <c r="A50" s="610" t="s">
        <v>332</v>
      </c>
      <c r="B50" s="696">
        <v>234</v>
      </c>
      <c r="C50" s="581" t="s">
        <v>708</v>
      </c>
      <c r="D50" s="195">
        <v>259135</v>
      </c>
      <c r="E50" s="1875">
        <v>474016</v>
      </c>
      <c r="F50" s="249" t="str">
        <f>IF(D50&gt;E50,"konc. &lt; komm.",IF(OR(D50="",E50=""),"Skriv belopp eller 0",""))</f>
        <v/>
      </c>
      <c r="G50" s="192"/>
      <c r="H50" s="4"/>
      <c r="I50" s="180"/>
      <c r="J50" s="149" t="str">
        <f>IF(AND(D48=0,SUM(J48+J49)=0),"",IF(SUM(J48:J49)&gt;D48,"Däravr.080+ 131&gt;rad 078",IF(AND(D48&gt;10,J48=""),"Rad 080: skriv belopp eller 0",IF(AND(D48&gt;10,J49=""),"Rad 131: skriv belopp eller 0 ",""))))</f>
        <v/>
      </c>
      <c r="K50" s="180"/>
      <c r="L50" s="2052"/>
      <c r="M50" s="775"/>
      <c r="N50" s="776"/>
      <c r="O50" s="1397"/>
      <c r="P50" s="1478"/>
      <c r="Q50" s="1478"/>
      <c r="R50" s="1478"/>
    </row>
    <row r="51" spans="1:20" ht="14.45" customHeight="1">
      <c r="A51" s="610" t="s">
        <v>333</v>
      </c>
      <c r="B51" s="696">
        <v>235</v>
      </c>
      <c r="C51" s="581" t="s">
        <v>709</v>
      </c>
      <c r="D51" s="195">
        <v>17395</v>
      </c>
      <c r="E51" s="1875">
        <v>17394</v>
      </c>
      <c r="F51" s="249" t="str">
        <f>IF(OR(D51="",E51=""),"Skriv belopp eller 0","")</f>
        <v/>
      </c>
      <c r="G51" s="192"/>
      <c r="H51" s="4"/>
      <c r="I51" s="180"/>
      <c r="J51" s="233"/>
      <c r="K51" s="1886"/>
      <c r="L51" s="2052"/>
      <c r="M51" s="775"/>
      <c r="N51" s="776"/>
      <c r="O51" s="1397"/>
      <c r="P51" s="1478"/>
      <c r="Q51" s="1478"/>
      <c r="R51" s="1478"/>
    </row>
    <row r="52" spans="1:20" ht="14.45" customHeight="1">
      <c r="A52" s="610" t="s">
        <v>334</v>
      </c>
      <c r="B52" s="696">
        <v>236</v>
      </c>
      <c r="C52" s="581" t="s">
        <v>710</v>
      </c>
      <c r="D52" s="195">
        <v>2144</v>
      </c>
      <c r="E52" s="755"/>
      <c r="F52" s="1364"/>
      <c r="G52" s="192"/>
      <c r="H52" s="4"/>
      <c r="I52" s="1887"/>
      <c r="J52" s="1881" t="s">
        <v>660</v>
      </c>
      <c r="K52" s="1882" t="s">
        <v>787</v>
      </c>
      <c r="L52" s="216"/>
      <c r="M52" s="775"/>
      <c r="N52" s="776"/>
      <c r="O52" s="1397"/>
      <c r="P52" s="1478"/>
      <c r="Q52" s="1478"/>
      <c r="R52" s="1478"/>
    </row>
    <row r="53" spans="1:20" ht="14.45" customHeight="1">
      <c r="A53" s="610" t="s">
        <v>335</v>
      </c>
      <c r="B53" s="696" t="s">
        <v>862</v>
      </c>
      <c r="C53" s="581" t="s">
        <v>1217</v>
      </c>
      <c r="D53" s="201">
        <v>11310</v>
      </c>
      <c r="E53" s="1875">
        <v>25663</v>
      </c>
      <c r="F53" s="249" t="str">
        <f>IF(OR(D53="",E53=""),"Skriv belopp eller 0","")</f>
        <v/>
      </c>
      <c r="G53" s="1564" t="s">
        <v>1155</v>
      </c>
      <c r="H53" s="1791" t="s">
        <v>1207</v>
      </c>
      <c r="I53" s="1880" t="s">
        <v>1156</v>
      </c>
      <c r="J53" s="1883">
        <v>5502</v>
      </c>
      <c r="K53" s="1883">
        <v>5585</v>
      </c>
      <c r="L53" s="2052"/>
      <c r="M53" s="734"/>
      <c r="N53" s="776"/>
      <c r="O53" s="1397"/>
      <c r="P53" s="1478"/>
      <c r="Q53" s="1478"/>
      <c r="R53" s="1478"/>
      <c r="S53" s="1387"/>
      <c r="T53" s="1387"/>
    </row>
    <row r="54" spans="1:20" ht="14.45" customHeight="1">
      <c r="A54" s="610" t="s">
        <v>902</v>
      </c>
      <c r="B54" s="696" t="s">
        <v>860</v>
      </c>
      <c r="C54" s="581" t="s">
        <v>861</v>
      </c>
      <c r="D54" s="201">
        <v>28483</v>
      </c>
      <c r="E54" s="1875">
        <v>31439</v>
      </c>
      <c r="F54" s="249" t="str">
        <f>IF(D54&gt;E54,"konc. &lt; komm.",IF(OR(D54="",E54=""),"Skriv belopp eller 0",""))</f>
        <v/>
      </c>
      <c r="G54" s="1888"/>
      <c r="H54" s="1888"/>
      <c r="I54" s="1634"/>
      <c r="J54" s="149" t="str">
        <f>IF(AND(D54=0,J53=0),"",IF(SUM(J53)&gt;D54,"Däravrad 132 &gt; rad 087",IF(AND(D54&gt;10,J53=""),"Rad 132: skriv belopp eller 0","")))</f>
        <v/>
      </c>
      <c r="K54" s="149" t="str">
        <f>IF(AND(E54=0,K53=0),"",IF(SUM(K53)&gt;E54,"Däravrad 132 &gt; rad 087",IF(AND(E54&gt;10,K53=""),"Rad 132: skriv belopp eller 0",IF(J53&gt;K53,"konc.&lt;kommun",""))))</f>
        <v/>
      </c>
      <c r="L54" s="4"/>
      <c r="M54" s="734"/>
      <c r="N54" s="776"/>
      <c r="O54" s="1397"/>
      <c r="P54" s="1478"/>
      <c r="Q54" s="1478"/>
      <c r="R54" s="1478"/>
      <c r="S54" s="1387"/>
      <c r="T54" s="1387"/>
    </row>
    <row r="55" spans="1:20" ht="14.45" customHeight="1">
      <c r="A55" s="610" t="s">
        <v>336</v>
      </c>
      <c r="B55" s="699" t="s">
        <v>711</v>
      </c>
      <c r="C55" s="637" t="s">
        <v>712</v>
      </c>
      <c r="D55" s="202">
        <v>3533</v>
      </c>
      <c r="E55" s="1875">
        <v>5338</v>
      </c>
      <c r="F55" s="249" t="str">
        <f>IF(D55&gt;E55,"konc. &lt; komm.",IF(OR(D55="",E55=""),"Skriv belopp eller 0",""))</f>
        <v/>
      </c>
      <c r="G55" s="1568" t="s">
        <v>1157</v>
      </c>
      <c r="H55" s="1569" t="s">
        <v>1208</v>
      </c>
      <c r="I55" s="2086" t="s">
        <v>1160</v>
      </c>
      <c r="J55" s="2111">
        <v>50589</v>
      </c>
      <c r="K55" s="2112">
        <v>71897</v>
      </c>
      <c r="L55" s="1365" t="str">
        <f>IF(AND(D56=0,J55=0,E56=0,K55=0),"",IF(SUM(J55)&gt;D56,"Däravrad 133 &gt; rad 089",IF(AND(D56&gt;10,J55=""),"Rad 133,kommun: skriv belopp eller 0",IF(AND(E56=0,K55=0),"",IF(SUM(K55)&gt;E56,"Koncern:Däravrad 133&gt;rad 089",IF(AND(E56&gt;10,K55=""),"Rad 133,koncern:skriv belopp eller 0",""))))))</f>
        <v/>
      </c>
      <c r="M55" s="734"/>
      <c r="N55" s="776"/>
      <c r="O55" s="1397"/>
      <c r="P55" s="1478"/>
      <c r="Q55" s="1467"/>
      <c r="R55" s="1478"/>
      <c r="S55" s="1387"/>
      <c r="T55" s="1387"/>
    </row>
    <row r="56" spans="1:20" ht="14.45" customHeight="1" thickBot="1">
      <c r="A56" s="614" t="s">
        <v>337</v>
      </c>
      <c r="B56" s="760">
        <v>23</v>
      </c>
      <c r="C56" s="598" t="s">
        <v>713</v>
      </c>
      <c r="D56" s="366">
        <f>SUM(D50:D55)</f>
        <v>322000</v>
      </c>
      <c r="E56" s="366">
        <f>SUM(E50:E51,E53:E55)</f>
        <v>553850</v>
      </c>
      <c r="F56" s="249"/>
      <c r="G56" s="2087" t="s">
        <v>356</v>
      </c>
      <c r="H56" s="2097" t="s">
        <v>1208</v>
      </c>
      <c r="I56" s="2088" t="s">
        <v>1211</v>
      </c>
      <c r="J56" s="2037">
        <v>151129</v>
      </c>
      <c r="K56" s="2119"/>
      <c r="L56" s="1365" t="str">
        <f>IF(AND(D56=0,J56=0),"",IF(SUM(J56)&gt;D56,"Däravrad 088 &gt; rad 089",IF(AND(D56&gt;10,J56=""),"Rad 088,kommun: skriv belopp eller 0","")))</f>
        <v/>
      </c>
      <c r="M56" s="649">
        <f>D56*1000000/invanare</f>
        <v>31475.4816261876</v>
      </c>
      <c r="N56" s="650">
        <f>E56*1000000/invanare</f>
        <v>54138.805896472055</v>
      </c>
      <c r="O56" s="1397"/>
      <c r="P56" s="1478"/>
      <c r="Q56" s="1691"/>
      <c r="R56" s="1691"/>
    </row>
    <row r="57" spans="1:20" ht="18" customHeight="1">
      <c r="A57" s="610" t="s">
        <v>338</v>
      </c>
      <c r="B57" s="761" t="s">
        <v>714</v>
      </c>
      <c r="C57" s="581" t="s">
        <v>715</v>
      </c>
      <c r="D57" s="195">
        <v>73827</v>
      </c>
      <c r="E57" s="755"/>
      <c r="F57" s="249"/>
      <c r="G57" s="849" t="s">
        <v>340</v>
      </c>
      <c r="H57" s="850" t="s">
        <v>793</v>
      </c>
      <c r="I57" s="2082" t="s">
        <v>3</v>
      </c>
      <c r="J57" s="1889">
        <v>20254</v>
      </c>
      <c r="K57" s="2098" t="s">
        <v>1213</v>
      </c>
      <c r="L57" s="149" t="str">
        <f>IF(AND(D57=0,J57=0),"",IF(SUM(J57)&gt;D57,"Däravrad 091 &gt; rad 090",IF(AND(D57&gt;10,J57=""),"Rad 091: skriv belopp eller 0","")))</f>
        <v/>
      </c>
      <c r="M57" s="775"/>
      <c r="N57" s="776"/>
      <c r="O57" s="1397"/>
      <c r="P57" s="1478"/>
      <c r="Q57" s="1467"/>
      <c r="R57" s="1478"/>
      <c r="S57" s="319"/>
      <c r="T57" s="319"/>
    </row>
    <row r="58" spans="1:20" ht="14.45" customHeight="1">
      <c r="A58" s="610" t="s">
        <v>339</v>
      </c>
      <c r="B58" s="699" t="s">
        <v>716</v>
      </c>
      <c r="C58" s="586" t="s">
        <v>717</v>
      </c>
      <c r="D58" s="195">
        <v>34286</v>
      </c>
      <c r="E58" s="755"/>
      <c r="F58" s="1364"/>
      <c r="G58" s="1570" t="s">
        <v>1158</v>
      </c>
      <c r="H58" s="2084" t="s">
        <v>1159</v>
      </c>
      <c r="I58" s="2089" t="s">
        <v>1216</v>
      </c>
      <c r="J58" s="2090">
        <v>27961</v>
      </c>
      <c r="K58" s="2099" t="s">
        <v>1212</v>
      </c>
      <c r="L58" s="1855" t="str">
        <f>IF(AND(D57=0,J58=0),"",IF(SUM(J58)&gt;D57,"Däravrad 091 &gt; rad 090",IF(J58="","skriv belopp eller 0","")))</f>
        <v/>
      </c>
      <c r="M58" s="775"/>
      <c r="N58" s="776"/>
      <c r="O58" s="1397"/>
      <c r="P58" s="1478"/>
      <c r="Q58" s="1467"/>
      <c r="R58" s="1478"/>
      <c r="S58" s="319"/>
      <c r="T58" s="319"/>
    </row>
    <row r="59" spans="1:20" ht="14.45" customHeight="1">
      <c r="A59" s="610" t="s">
        <v>357</v>
      </c>
      <c r="B59" s="699">
        <v>271</v>
      </c>
      <c r="C59" s="586" t="s">
        <v>13</v>
      </c>
      <c r="D59" s="195">
        <v>6148</v>
      </c>
      <c r="E59" s="755"/>
      <c r="F59" s="1364"/>
      <c r="G59" s="2083" t="s">
        <v>341</v>
      </c>
      <c r="H59" s="2084" t="s">
        <v>816</v>
      </c>
      <c r="I59" s="2085" t="s">
        <v>4</v>
      </c>
      <c r="J59" s="2091">
        <v>3189</v>
      </c>
      <c r="K59" s="2119"/>
      <c r="L59" s="1365" t="str">
        <f>IF(AND(D58=0,J59=0),"",IF(SUM(J59)&gt;D58,"Däravrad 092 &gt; rad 086",IF(J59="","skriv belopp eller 0","")))</f>
        <v/>
      </c>
      <c r="M59" s="775"/>
      <c r="N59" s="776"/>
      <c r="O59" s="1397"/>
      <c r="P59" s="1478"/>
      <c r="Q59" s="1467"/>
      <c r="R59" s="1478"/>
    </row>
    <row r="60" spans="1:20" ht="14.45" customHeight="1">
      <c r="A60" s="610" t="s">
        <v>342</v>
      </c>
      <c r="B60" s="699">
        <v>281</v>
      </c>
      <c r="C60" s="586" t="s">
        <v>718</v>
      </c>
      <c r="D60" s="203">
        <v>3311</v>
      </c>
      <c r="E60" s="768"/>
      <c r="F60" s="1364"/>
      <c r="G60" s="4"/>
      <c r="H60" s="11"/>
      <c r="I60" s="180"/>
      <c r="J60" s="1856"/>
      <c r="K60" s="2096"/>
      <c r="L60" s="216"/>
      <c r="M60" s="775"/>
      <c r="N60" s="735"/>
      <c r="O60" s="1397"/>
      <c r="P60" s="1478"/>
      <c r="Q60" s="1467"/>
      <c r="R60" s="1478"/>
    </row>
    <row r="61" spans="1:20" ht="14.45" customHeight="1">
      <c r="A61" s="610" t="s">
        <v>343</v>
      </c>
      <c r="B61" s="699" t="s">
        <v>719</v>
      </c>
      <c r="C61" s="586" t="s">
        <v>720</v>
      </c>
      <c r="D61" s="202">
        <v>18390</v>
      </c>
      <c r="E61" s="769"/>
      <c r="F61" s="249" t="str">
        <f>IF(D61&lt;&gt;0,"","Belopp saknas för kommunen")</f>
        <v/>
      </c>
      <c r="G61" s="4"/>
      <c r="H61" s="4"/>
      <c r="I61" s="180"/>
      <c r="J61" s="1890" t="s">
        <v>660</v>
      </c>
      <c r="K61" s="180"/>
      <c r="L61" s="216"/>
      <c r="M61" s="775"/>
      <c r="N61" s="735"/>
      <c r="O61" s="1397"/>
      <c r="P61" s="1478"/>
      <c r="Q61" s="1467"/>
      <c r="R61" s="1478"/>
    </row>
    <row r="62" spans="1:20" ht="14.45" customHeight="1">
      <c r="A62" s="610" t="s">
        <v>928</v>
      </c>
      <c r="B62" s="699">
        <v>293</v>
      </c>
      <c r="C62" s="586" t="s">
        <v>864</v>
      </c>
      <c r="D62" s="201">
        <v>12734</v>
      </c>
      <c r="E62" s="767"/>
      <c r="F62" s="249" t="str">
        <f>IF(D62&lt;&gt;0,"","Belopp saknas för kommunen")</f>
        <v/>
      </c>
      <c r="G62" s="1564" t="s">
        <v>344</v>
      </c>
      <c r="H62" s="1565" t="s">
        <v>721</v>
      </c>
      <c r="I62" s="1880" t="s">
        <v>863</v>
      </c>
      <c r="J62" s="1883">
        <v>3500</v>
      </c>
      <c r="K62" s="1624"/>
      <c r="L62" s="1855"/>
      <c r="M62" s="775"/>
      <c r="N62" s="735"/>
      <c r="O62" s="1397"/>
      <c r="P62" s="1478"/>
      <c r="Q62" s="1467"/>
      <c r="R62" s="1478"/>
      <c r="S62" s="319"/>
    </row>
    <row r="63" spans="1:20" ht="14.45" customHeight="1">
      <c r="A63" s="610" t="s">
        <v>345</v>
      </c>
      <c r="B63" s="699" t="s">
        <v>722</v>
      </c>
      <c r="C63" s="586" t="s">
        <v>836</v>
      </c>
      <c r="D63" s="201">
        <v>12334</v>
      </c>
      <c r="E63" s="767"/>
      <c r="F63" s="249" t="str">
        <f>IF(D63&lt;&gt;0,"","Belopp saknas för kommunen")</f>
        <v/>
      </c>
      <c r="G63" s="4"/>
      <c r="H63" s="4"/>
      <c r="I63" s="4"/>
      <c r="J63" s="149" t="str">
        <f>IF(AND(D62=0,J62=0),"",IF(SUM(J62)&gt;D62,"Däravrad 095 &gt; rad 104",IF(J62="","skriv belopp eller 0","")))</f>
        <v/>
      </c>
      <c r="K63" s="149"/>
      <c r="L63" s="216"/>
      <c r="M63" s="775"/>
      <c r="N63" s="735"/>
      <c r="O63" s="1397"/>
      <c r="P63" s="1478"/>
      <c r="Q63" s="1467"/>
      <c r="R63" s="1478"/>
    </row>
    <row r="64" spans="1:20" ht="14.45" customHeight="1">
      <c r="A64" s="610" t="s">
        <v>465</v>
      </c>
      <c r="B64" s="699" t="s">
        <v>14</v>
      </c>
      <c r="C64" s="586" t="s">
        <v>15</v>
      </c>
      <c r="D64" s="201">
        <v>3562</v>
      </c>
      <c r="E64" s="767"/>
      <c r="F64" s="1364"/>
      <c r="G64" s="4"/>
      <c r="H64" s="193"/>
      <c r="I64" s="4"/>
      <c r="J64" s="180"/>
      <c r="K64" s="1886"/>
      <c r="L64" s="216"/>
      <c r="M64" s="775"/>
      <c r="N64" s="735"/>
      <c r="O64" s="1397"/>
      <c r="P64" s="1478"/>
      <c r="Q64" s="1467"/>
      <c r="R64" s="1478"/>
    </row>
    <row r="65" spans="1:19" ht="14.45" customHeight="1">
      <c r="A65" s="610" t="s">
        <v>346</v>
      </c>
      <c r="B65" s="696" t="s">
        <v>723</v>
      </c>
      <c r="C65" s="581" t="s">
        <v>725</v>
      </c>
      <c r="D65" s="201">
        <v>35342</v>
      </c>
      <c r="E65" s="767"/>
      <c r="F65" s="1364"/>
      <c r="G65" s="4"/>
      <c r="H65" s="193"/>
      <c r="I65" s="4"/>
      <c r="J65" s="180"/>
      <c r="K65" s="1890" t="s">
        <v>787</v>
      </c>
      <c r="L65" s="216"/>
      <c r="M65" s="775"/>
      <c r="N65" s="735"/>
      <c r="O65" s="1397"/>
      <c r="P65" s="1478"/>
      <c r="Q65" s="1478"/>
      <c r="R65" s="1478"/>
    </row>
    <row r="66" spans="1:19" ht="14.45" customHeight="1" thickBot="1">
      <c r="A66" s="612" t="s">
        <v>347</v>
      </c>
      <c r="B66" s="762" t="s">
        <v>726</v>
      </c>
      <c r="C66" s="763" t="s">
        <v>727</v>
      </c>
      <c r="D66" s="370">
        <f>SUM(D57:D65)</f>
        <v>199934</v>
      </c>
      <c r="E66" s="198">
        <v>257070</v>
      </c>
      <c r="F66" s="249" t="str">
        <f>IF(E66="","Skriv belopp eller 0 för koncernen","")</f>
        <v/>
      </c>
      <c r="G66" s="1568" t="s">
        <v>338</v>
      </c>
      <c r="H66" s="1569">
        <v>24</v>
      </c>
      <c r="I66" s="2093" t="s">
        <v>1214</v>
      </c>
      <c r="J66" s="2095"/>
      <c r="K66" s="2109">
        <v>78569</v>
      </c>
      <c r="L66" s="1855" t="str">
        <f>IF(AND(E66=0,K66=0),"",IF(SUM(K66)&gt;E66,"Därav-rad 090&gt;rad 098 (Excel K66&gt;E66)",IF(AND(E66&gt;100,K66=""),"Rad 090: skriv belopp eller 0","")))</f>
        <v/>
      </c>
      <c r="M66" s="779">
        <f>D66*1000000/invanare</f>
        <v>19543.537091460224</v>
      </c>
      <c r="N66" s="780">
        <f>E66*1000000/invanare</f>
        <v>25128.577831192692</v>
      </c>
      <c r="O66" s="1397"/>
      <c r="P66" s="1478"/>
      <c r="Q66" s="1691"/>
      <c r="R66" s="1691"/>
    </row>
    <row r="67" spans="1:19" ht="14.25" customHeight="1" thickBot="1">
      <c r="A67" s="603" t="s">
        <v>348</v>
      </c>
      <c r="B67" s="707" t="s">
        <v>728</v>
      </c>
      <c r="C67" s="560" t="s">
        <v>729</v>
      </c>
      <c r="D67" s="358">
        <f>SUM(D56,D66)</f>
        <v>521934</v>
      </c>
      <c r="E67" s="371">
        <f>SUM(E56,E66)</f>
        <v>810920</v>
      </c>
      <c r="F67" s="1364"/>
      <c r="G67" s="1570" t="s">
        <v>1158</v>
      </c>
      <c r="H67" s="2141" t="s">
        <v>1159</v>
      </c>
      <c r="I67" s="2094" t="s">
        <v>1215</v>
      </c>
      <c r="J67" s="2092"/>
      <c r="K67" s="2110">
        <v>41121</v>
      </c>
      <c r="L67" s="1855" t="str">
        <f>IF(AND(K66=0,K67=0),"",IF(SUM(K67)&gt;K66,"Varav-rad 134&gt;rad 090",IF(AND(K66&gt;100,K67=""),"Rad 134, skriv belopp eller 0","")))</f>
        <v/>
      </c>
      <c r="M67" s="1397"/>
      <c r="N67" s="1397"/>
      <c r="O67" s="1397"/>
      <c r="P67" s="1478"/>
      <c r="Q67" s="1691"/>
      <c r="R67" s="1691"/>
    </row>
    <row r="68" spans="1:19" ht="14.45" customHeight="1" thickBot="1">
      <c r="A68" s="764">
        <v>100</v>
      </c>
      <c r="B68" s="765" t="s">
        <v>730</v>
      </c>
      <c r="C68" s="766" t="s">
        <v>731</v>
      </c>
      <c r="D68" s="372">
        <f>SUM(D42,D49,D56,D66)</f>
        <v>1049201</v>
      </c>
      <c r="E68" s="368">
        <f>SUM(E42,E49,E56,E66)</f>
        <v>1517451</v>
      </c>
      <c r="F68" s="1364"/>
      <c r="G68" s="4"/>
      <c r="H68" s="194"/>
      <c r="I68" s="4"/>
      <c r="J68" s="1855"/>
      <c r="K68" s="1855"/>
      <c r="L68" s="216"/>
      <c r="M68" s="71"/>
      <c r="N68" s="71"/>
      <c r="O68" s="236"/>
      <c r="P68" s="1478"/>
      <c r="Q68" s="1691"/>
      <c r="R68" s="1691"/>
    </row>
    <row r="69" spans="1:19">
      <c r="A69" s="1484" t="s">
        <v>905</v>
      </c>
      <c r="B69" s="152"/>
      <c r="C69" s="154"/>
      <c r="D69" s="12"/>
      <c r="E69" s="12"/>
      <c r="F69" s="1364"/>
      <c r="G69" s="782" t="s">
        <v>562</v>
      </c>
      <c r="H69" s="783"/>
      <c r="I69" s="783"/>
      <c r="J69" s="784"/>
      <c r="L69" s="216"/>
      <c r="M69" s="653">
        <f>J56*1000000/invanare</f>
        <v>14772.851126348154</v>
      </c>
      <c r="N69" s="781"/>
      <c r="O69" s="1437"/>
      <c r="P69" s="1694"/>
      <c r="Q69" s="1695"/>
      <c r="R69" s="1695"/>
    </row>
    <row r="70" spans="1:19">
      <c r="A70" s="1484"/>
      <c r="B70" s="152"/>
      <c r="C70" s="154"/>
      <c r="D70" s="12"/>
      <c r="E70" s="12"/>
      <c r="F70" s="1364"/>
      <c r="G70" s="785" t="s">
        <v>554</v>
      </c>
      <c r="H70" s="786"/>
      <c r="I70" s="786"/>
      <c r="J70" s="787"/>
      <c r="M70" s="2051">
        <f>SUM(D56-J56)*1000000/invanare</f>
        <v>16702.630499839444</v>
      </c>
      <c r="N70" s="731"/>
      <c r="O70" s="1437"/>
      <c r="Q70" s="2536"/>
      <c r="R70" s="2536"/>
      <c r="S70" s="2536"/>
    </row>
    <row r="71" spans="1:19" ht="15" customHeight="1">
      <c r="A71" s="179"/>
      <c r="B71" s="10"/>
      <c r="C71" s="8"/>
      <c r="D71" s="12"/>
      <c r="E71" s="12"/>
      <c r="F71" s="1364"/>
      <c r="G71" s="788" t="s">
        <v>552</v>
      </c>
      <c r="H71" s="789"/>
      <c r="I71" s="789"/>
      <c r="J71" s="787"/>
      <c r="L71" s="179"/>
      <c r="M71" s="649">
        <f>IF(D34=0,"",D42*100/D34)</f>
        <v>43.923614255037883</v>
      </c>
      <c r="N71" s="650">
        <f>IF(E34=0,"",E42*100/E34)</f>
        <v>39.938554852842039</v>
      </c>
      <c r="O71" s="1397"/>
      <c r="Q71" s="2536"/>
      <c r="R71" s="2536"/>
      <c r="S71" s="2536"/>
    </row>
    <row r="72" spans="1:19" ht="18" customHeight="1" thickBot="1">
      <c r="A72" s="81" t="s">
        <v>808</v>
      </c>
      <c r="B72" s="12"/>
      <c r="C72" s="12"/>
      <c r="D72" s="12"/>
      <c r="E72" s="12"/>
      <c r="F72" s="1364"/>
      <c r="G72" s="2530" t="s">
        <v>553</v>
      </c>
      <c r="H72" s="2531"/>
      <c r="I72" s="2531"/>
      <c r="J72" s="2532"/>
      <c r="K72" s="307"/>
      <c r="L72" s="179"/>
      <c r="M72" s="652">
        <f>IF(D34=0,"",(D42-E79)*100/D34)</f>
        <v>25.931732813826901</v>
      </c>
      <c r="N72" s="780">
        <f>IF(E34=0,"",(E42-E79)*100/E34)</f>
        <v>27.498548552803353</v>
      </c>
      <c r="O72" s="1397"/>
      <c r="Q72" s="152"/>
      <c r="R72" s="152"/>
    </row>
    <row r="73" spans="1:19" ht="18">
      <c r="A73" s="797" t="s">
        <v>670</v>
      </c>
      <c r="B73" s="798" t="s">
        <v>659</v>
      </c>
      <c r="C73" s="799"/>
      <c r="D73" s="711" t="s">
        <v>660</v>
      </c>
      <c r="E73" s="712" t="s">
        <v>660</v>
      </c>
      <c r="F73" s="1364"/>
      <c r="G73" s="4"/>
      <c r="H73" s="4"/>
      <c r="I73" s="4"/>
      <c r="J73" s="4"/>
      <c r="K73" s="4"/>
      <c r="L73" s="4"/>
      <c r="M73" s="790" t="str">
        <f>"Föränd. %  "&amp;År-1&amp;" - "&amp;År&amp;" "</f>
        <v xml:space="preserve">Föränd. %  2017 - 2018 </v>
      </c>
      <c r="N73" s="790" t="s">
        <v>479</v>
      </c>
    </row>
    <row r="74" spans="1:19">
      <c r="A74" s="800" t="s">
        <v>661</v>
      </c>
      <c r="B74" s="561"/>
      <c r="C74" s="752"/>
      <c r="D74" s="1678">
        <f>År-1</f>
        <v>2017</v>
      </c>
      <c r="E74" s="1679">
        <f>År</f>
        <v>2018</v>
      </c>
      <c r="F74" s="1364"/>
      <c r="G74" s="4"/>
      <c r="H74" s="4"/>
      <c r="I74" s="4"/>
      <c r="J74" s="4"/>
      <c r="K74" s="4"/>
      <c r="L74" s="4"/>
      <c r="M74" s="791"/>
      <c r="N74" s="792" t="s">
        <v>660</v>
      </c>
      <c r="O74" s="1474"/>
      <c r="Q74" s="1387"/>
      <c r="R74" s="1387"/>
    </row>
    <row r="75" spans="1:19" ht="17.25" customHeight="1">
      <c r="A75" s="610" t="s">
        <v>351</v>
      </c>
      <c r="B75" s="801" t="s">
        <v>732</v>
      </c>
      <c r="C75" s="802"/>
      <c r="D75" s="803">
        <v>120503</v>
      </c>
      <c r="E75" s="107">
        <v>132903</v>
      </c>
      <c r="F75" s="2104"/>
      <c r="G75" s="4"/>
      <c r="H75" s="4"/>
      <c r="I75" s="4"/>
      <c r="J75" s="4"/>
      <c r="K75" s="4"/>
      <c r="L75" s="4"/>
      <c r="M75" s="793">
        <f t="shared" ref="M75:M80" si="0">IF(AND(D75=0,E75=0),"",IF(E75=0,1,IF(D75=0,-1,E75/D75-1)))</f>
        <v>0.10290200243977332</v>
      </c>
      <c r="N75" s="794">
        <f t="shared" ref="N75:N80" si="1">E75*1000000/invanare</f>
        <v>12991.260666351585</v>
      </c>
      <c r="O75" s="1474"/>
      <c r="Q75" s="1387"/>
      <c r="R75" s="1387"/>
    </row>
    <row r="76" spans="1:19" ht="15.75" customHeight="1">
      <c r="A76" s="610" t="s">
        <v>352</v>
      </c>
      <c r="B76" s="804" t="s">
        <v>733</v>
      </c>
      <c r="C76" s="593"/>
      <c r="D76" s="805">
        <v>5257</v>
      </c>
      <c r="E76" s="107">
        <v>5564</v>
      </c>
      <c r="F76" s="2104"/>
      <c r="G76" s="4"/>
      <c r="H76" s="4"/>
      <c r="I76" s="4"/>
      <c r="J76" s="4"/>
      <c r="K76" s="4"/>
      <c r="L76" s="4"/>
      <c r="M76" s="795">
        <f t="shared" si="0"/>
        <v>5.839832604146844E-2</v>
      </c>
      <c r="N76" s="794">
        <f t="shared" si="1"/>
        <v>543.88068250965159</v>
      </c>
      <c r="O76" s="1397"/>
      <c r="Q76" s="1387"/>
      <c r="R76" s="1387"/>
    </row>
    <row r="77" spans="1:19" ht="18.75" customHeight="1">
      <c r="A77" s="610" t="s">
        <v>224</v>
      </c>
      <c r="B77" s="804" t="s">
        <v>734</v>
      </c>
      <c r="C77" s="593"/>
      <c r="D77" s="805">
        <v>104694</v>
      </c>
      <c r="E77" s="107">
        <v>112387</v>
      </c>
      <c r="F77" s="2104"/>
      <c r="G77" s="4"/>
      <c r="H77" s="4"/>
      <c r="I77" s="4"/>
      <c r="J77" s="4"/>
      <c r="K77" s="4"/>
      <c r="L77" s="4"/>
      <c r="M77" s="795">
        <f t="shared" si="0"/>
        <v>7.3480810743691061E-2</v>
      </c>
      <c r="N77" s="794">
        <f t="shared" si="1"/>
        <v>10985.822837025918</v>
      </c>
      <c r="O77" s="1397"/>
      <c r="Q77" s="1387"/>
      <c r="R77" s="1387"/>
    </row>
    <row r="78" spans="1:19" ht="18">
      <c r="A78" s="610" t="s">
        <v>353</v>
      </c>
      <c r="B78" s="1870" t="s">
        <v>1139</v>
      </c>
      <c r="C78" s="1871" t="s">
        <v>1136</v>
      </c>
      <c r="D78" s="805">
        <v>17874</v>
      </c>
      <c r="E78" s="107">
        <v>18222</v>
      </c>
      <c r="F78" s="2104"/>
      <c r="G78" s="4"/>
      <c r="H78" s="4"/>
      <c r="I78" s="4"/>
      <c r="J78" s="4"/>
      <c r="K78" s="4"/>
      <c r="L78" s="4"/>
      <c r="M78" s="795">
        <f t="shared" si="0"/>
        <v>1.9469620678080002E-2</v>
      </c>
      <c r="N78" s="794">
        <f t="shared" si="1"/>
        <v>1781.1994602248151</v>
      </c>
      <c r="O78" s="1397"/>
      <c r="Q78" s="1387"/>
      <c r="R78" s="1387"/>
    </row>
    <row r="79" spans="1:19" ht="18.75" customHeight="1">
      <c r="A79" s="610" t="s">
        <v>354</v>
      </c>
      <c r="B79" s="1862" t="s">
        <v>1137</v>
      </c>
      <c r="C79" s="1863" t="s">
        <v>1138</v>
      </c>
      <c r="D79" s="805">
        <v>194825</v>
      </c>
      <c r="E79" s="196">
        <v>188771</v>
      </c>
      <c r="F79" s="249"/>
      <c r="G79" s="4"/>
      <c r="H79" s="4"/>
      <c r="I79" s="4"/>
      <c r="J79" s="4"/>
      <c r="K79" s="216"/>
      <c r="L79" s="4"/>
      <c r="M79" s="795">
        <f t="shared" si="0"/>
        <v>-3.1074040805851411E-2</v>
      </c>
      <c r="N79" s="794">
        <f t="shared" si="1"/>
        <v>18452.354478438072</v>
      </c>
      <c r="O79" s="1397"/>
      <c r="Q79" s="1387"/>
      <c r="R79" s="1387"/>
    </row>
    <row r="80" spans="1:19" ht="15" customHeight="1" thickBot="1">
      <c r="A80" s="614" t="s">
        <v>355</v>
      </c>
      <c r="B80" s="806" t="s">
        <v>735</v>
      </c>
      <c r="C80" s="807"/>
      <c r="D80" s="808">
        <f>SUM(D75:D79)</f>
        <v>443153</v>
      </c>
      <c r="E80" s="373">
        <f>SUM(E75:E79)</f>
        <v>457847</v>
      </c>
      <c r="F80" s="249"/>
      <c r="G80" s="1568" t="s">
        <v>1048</v>
      </c>
      <c r="H80" s="1569"/>
      <c r="I80" s="801" t="s">
        <v>1042</v>
      </c>
      <c r="J80" s="311">
        <v>255042</v>
      </c>
      <c r="K80" s="149"/>
      <c r="L80" s="4"/>
      <c r="M80" s="796">
        <f t="shared" si="0"/>
        <v>3.3157848418040814E-2</v>
      </c>
      <c r="N80" s="665">
        <f t="shared" si="1"/>
        <v>44754.518124550043</v>
      </c>
      <c r="O80" s="1397"/>
      <c r="Q80" s="1387"/>
      <c r="R80" s="1387"/>
    </row>
    <row r="81" spans="1:18">
      <c r="A81" s="13"/>
      <c r="B81" s="1"/>
      <c r="C81" s="1"/>
      <c r="D81" s="1"/>
      <c r="E81" s="1"/>
      <c r="F81" s="1364"/>
      <c r="G81" s="1681" t="s">
        <v>1049</v>
      </c>
      <c r="H81" s="1563"/>
      <c r="I81" s="1640" t="s">
        <v>1046</v>
      </c>
      <c r="J81" s="310">
        <v>182315</v>
      </c>
      <c r="K81" s="149" t="str">
        <f>IF(AND(J80=0,J81=0),"",IF(J81="","rad 162: skriv belopp eller 0",IF(SUM(J81)&gt;J80,"Varav-rad 162 &gt; rad 161 ",IF(J81&gt;SUM(E75+E77),"varför är rad 162   " &amp;" "&amp;(ROUND(J81-SUM(E75+E77),0))&amp; "tkr större än summan av raderna 121 och 130 (offentligt ägda bolag)?",""))))</f>
        <v/>
      </c>
      <c r="L81" s="344"/>
      <c r="M81" s="4"/>
      <c r="N81" s="4"/>
      <c r="O81" s="1397"/>
      <c r="Q81" s="150"/>
      <c r="R81" s="150"/>
    </row>
    <row r="82" spans="1:18" ht="16.5" thickBot="1">
      <c r="A82" s="81" t="s">
        <v>198</v>
      </c>
      <c r="B82" s="4"/>
      <c r="C82" s="4"/>
      <c r="D82" s="4"/>
      <c r="E82" s="4"/>
      <c r="F82" s="1364"/>
      <c r="G82" s="4"/>
      <c r="H82" s="4"/>
      <c r="I82" s="4"/>
      <c r="J82" s="149"/>
      <c r="K82" s="1879"/>
      <c r="L82" s="4"/>
      <c r="M82" s="4"/>
      <c r="N82" s="4"/>
    </row>
    <row r="83" spans="1:18">
      <c r="A83" s="634" t="s">
        <v>349</v>
      </c>
      <c r="B83" s="809" t="s">
        <v>1220</v>
      </c>
      <c r="C83" s="809"/>
      <c r="D83" s="810"/>
      <c r="E83" s="204">
        <v>17950</v>
      </c>
      <c r="F83" s="249" t="str">
        <f>IF(E83="","Skriv belopp eller 0 på rad 107",IF(E83&lt;0,"Inga minusbelopp ska anges på rad 107",""))</f>
        <v/>
      </c>
      <c r="G83" s="4"/>
      <c r="H83" s="4"/>
      <c r="I83" s="4"/>
      <c r="J83" s="149"/>
      <c r="K83" s="149"/>
      <c r="L83" s="4"/>
      <c r="M83" s="4"/>
      <c r="N83" s="4"/>
      <c r="Q83" s="178"/>
      <c r="R83" s="178"/>
    </row>
    <row r="84" spans="1:18" ht="13.5" thickBot="1">
      <c r="A84" s="2163" t="s">
        <v>350</v>
      </c>
      <c r="B84" s="2164" t="str">
        <f>"Ackumulerat  ej återställt negativt resultat inkl. "&amp;År&amp;" års resultat"</f>
        <v>Ackumulerat  ej återställt negativt resultat inkl. 2018 års resultat</v>
      </c>
      <c r="C84" s="2165"/>
      <c r="D84" s="2166"/>
      <c r="E84" s="205">
        <v>705</v>
      </c>
      <c r="F84" s="249" t="str">
        <f>IF(E84="","Skriv belopp eller 0 på rad 108",IF(E84&lt;0,"Inga minustecken ska anges på rad 108",""))</f>
        <v/>
      </c>
      <c r="G84" s="4"/>
      <c r="H84" s="4"/>
      <c r="I84" s="4"/>
      <c r="J84" s="4"/>
      <c r="K84" s="149"/>
      <c r="L84" s="4"/>
      <c r="M84" s="4"/>
      <c r="N84" s="4"/>
      <c r="Q84" s="1387"/>
      <c r="R84" s="1387"/>
    </row>
    <row r="85" spans="1:18">
      <c r="A85" s="2168"/>
      <c r="B85" s="2169"/>
      <c r="C85" s="2169"/>
      <c r="D85" s="2170"/>
      <c r="E85" s="2167"/>
      <c r="F85" s="249"/>
      <c r="G85" s="4"/>
      <c r="H85" s="4"/>
      <c r="I85" s="4"/>
      <c r="J85" s="4"/>
      <c r="K85" s="4"/>
      <c r="L85" s="4"/>
      <c r="M85" s="4"/>
      <c r="N85" s="4"/>
      <c r="Q85" s="1387"/>
      <c r="R85" s="1387"/>
    </row>
    <row r="86" spans="1:18">
      <c r="A86" s="4"/>
      <c r="B86" s="4"/>
      <c r="C86" s="1"/>
      <c r="D86" s="4"/>
      <c r="E86" s="4"/>
      <c r="F86" s="216"/>
      <c r="G86" s="4"/>
      <c r="H86" s="4"/>
      <c r="I86" s="4"/>
      <c r="J86" s="4"/>
      <c r="K86" s="4"/>
      <c r="L86" s="4"/>
      <c r="M86" s="4"/>
      <c r="N86" s="4"/>
      <c r="Q86" s="154"/>
      <c r="R86" s="154"/>
    </row>
    <row r="87" spans="1:18">
      <c r="A87" s="142"/>
      <c r="B87" s="1"/>
      <c r="C87" s="1"/>
      <c r="D87" s="1"/>
      <c r="E87" s="1"/>
      <c r="F87" s="216"/>
      <c r="G87" s="4"/>
      <c r="H87" s="4"/>
      <c r="I87" s="4"/>
      <c r="J87" s="4"/>
      <c r="K87" s="4"/>
      <c r="L87" s="4"/>
      <c r="M87" s="4"/>
      <c r="N87" s="4"/>
      <c r="Q87" s="178"/>
      <c r="R87" s="178"/>
    </row>
    <row r="88" spans="1:18">
      <c r="A88" s="2513"/>
      <c r="B88" s="2513"/>
      <c r="C88" s="2513"/>
      <c r="D88" s="2513"/>
      <c r="E88" s="2513"/>
      <c r="F88" s="216"/>
      <c r="G88" s="4"/>
      <c r="H88" s="4"/>
      <c r="I88" s="4"/>
      <c r="J88" s="4"/>
      <c r="K88" s="4"/>
      <c r="L88" s="4"/>
      <c r="M88" s="4"/>
      <c r="N88" s="4"/>
    </row>
    <row r="89" spans="1:18">
      <c r="A89" s="2513"/>
      <c r="B89" s="2513"/>
      <c r="C89" s="2513"/>
      <c r="D89" s="2513"/>
      <c r="E89" s="2513"/>
      <c r="F89" s="216"/>
      <c r="G89" s="4"/>
      <c r="H89" s="4"/>
      <c r="I89" s="4"/>
      <c r="J89" s="4"/>
      <c r="K89" s="4"/>
      <c r="L89" s="4"/>
      <c r="M89" s="4"/>
      <c r="N89" s="4"/>
      <c r="P89" s="180"/>
      <c r="Q89" s="178"/>
      <c r="R89" s="178"/>
    </row>
    <row r="90" spans="1:18">
      <c r="A90" s="2513"/>
      <c r="B90" s="2513"/>
      <c r="C90" s="2513"/>
      <c r="D90" s="2513"/>
      <c r="E90" s="2513"/>
      <c r="F90" s="216"/>
      <c r="G90" s="4"/>
      <c r="H90" s="4"/>
      <c r="I90" s="4"/>
      <c r="J90" s="4"/>
      <c r="K90" s="4"/>
      <c r="L90" s="4"/>
      <c r="M90" s="4"/>
      <c r="N90" s="4"/>
      <c r="P90" s="180"/>
      <c r="Q90" s="178"/>
      <c r="R90" s="178"/>
    </row>
    <row r="91" spans="1:18">
      <c r="A91" s="2513"/>
      <c r="B91" s="2513"/>
      <c r="C91" s="2513"/>
      <c r="D91" s="2513"/>
      <c r="E91" s="2513"/>
      <c r="K91" s="4"/>
      <c r="L91" s="4"/>
      <c r="P91" s="180"/>
      <c r="Q91" s="178"/>
      <c r="R91" s="178"/>
    </row>
    <row r="92" spans="1:18">
      <c r="Q92" s="178"/>
      <c r="R92" s="178"/>
    </row>
    <row r="93" spans="1:18"/>
    <row r="94" spans="1:18" hidden="1"/>
    <row r="95" spans="1:18" hidden="1"/>
    <row r="96" spans="1:18" hidden="1"/>
    <row r="97" hidden="1"/>
    <row r="98" hidden="1"/>
    <row r="99" hidden="1"/>
    <row r="100" hidden="1"/>
    <row r="101" hidden="1"/>
    <row r="102" hidden="1"/>
    <row r="103" hidden="1"/>
    <row r="104" hidden="1"/>
    <row r="105" hidden="1"/>
    <row r="106" hidden="1"/>
    <row r="107" hidden="1"/>
    <row r="108" hidden="1"/>
    <row r="109" hidden="1"/>
    <row r="110" hidden="1"/>
    <row r="111" hidden="1"/>
    <row r="112" hidden="1"/>
  </sheetData>
  <sheetProtection password="CBFD" sheet="1" objects="1" scenarios="1"/>
  <customSheetViews>
    <customSheetView guid="{27C9E95B-0E2B-454F-B637-1CECC9579A10}" showGridLines="0" hiddenRows="1" showRuler="0">
      <selection activeCell="I75" sqref="I75"/>
      <pageMargins left="0.11811023622047245" right="0.11811023622047245" top="0.74803149606299213" bottom="0.74803149606299213" header="0.31496062992125984" footer="0.31496062992125984"/>
      <pageSetup paperSize="9" scale="80" orientation="landscape" r:id="rId1"/>
      <headerFooter alignWithMargins="0">
        <oddHeader>&amp;L&amp;8Statistiska Centralbyrån
Offentlig ekonomi&amp;R&amp;P</oddHeader>
      </headerFooter>
    </customSheetView>
    <customSheetView guid="{99FBDEB7-DD08-4F57-81F4-3C180403E153}" showGridLines="0" hiddenRows="1" hiddenColumns="1" topLeftCell="A37">
      <selection activeCell="F38" sqref="F38"/>
      <pageMargins left="0.11811023622047245" right="0.11811023622047245" top="0.74803149606299213" bottom="0.74803149606299213" header="0.31496062992125984" footer="0.31496062992125984"/>
      <pageSetup paperSize="9" scale="80" orientation="landscape" r:id="rId2"/>
      <headerFooter>
        <oddHeader>&amp;L&amp;8Statistiska Centralbyrån
Offentlig ekonomi&amp;R&amp;P</oddHeader>
      </headerFooter>
    </customSheetView>
    <customSheetView guid="{97D6DB71-3F4C-4C5F-8C5B-51E3EBF78932}" showPageBreaks="1" showGridLines="0" hiddenRows="1" hiddenColumns="1" topLeftCell="A37">
      <selection activeCell="F38" sqref="F38"/>
      <pageMargins left="0.11811023622047245" right="0.11811023622047245" top="0.74803149606299213" bottom="0.74803149606299213" header="0.31496062992125984" footer="0.31496062992125984"/>
      <pageSetup paperSize="9" scale="80" orientation="landscape" r:id="rId3"/>
      <headerFooter>
        <oddHeader>&amp;L&amp;8Statistiska Centralbyrån
Offentlig ekonomi&amp;R&amp;P</oddHeader>
      </headerFooter>
    </customSheetView>
  </customSheetViews>
  <mergeCells count="9">
    <mergeCell ref="M4:N4"/>
    <mergeCell ref="M37:N37"/>
    <mergeCell ref="G72:J72"/>
    <mergeCell ref="A88:E91"/>
    <mergeCell ref="T5:T6"/>
    <mergeCell ref="S5:S6"/>
    <mergeCell ref="Q70:S71"/>
    <mergeCell ref="B5:B6"/>
    <mergeCell ref="G43:K44"/>
  </mergeCells>
  <phoneticPr fontId="92" type="noConversion"/>
  <conditionalFormatting sqref="D19:E19 D9:D11 D13:D15 E9 E12 E17 E83 E31:E32 D32 E85 D45:D48 E49 J13:K13 J15:K15 J22:K22 J24:K24 J27:K27 J48:K48 D50:D55 E66 E75:E79 J55:K55 J57:K58 J62:K62 D57:D65 D21:E21 D23:D25 D27:D29">
    <cfRule type="cellIs" dxfId="129" priority="15" stopIfTrue="1" operator="lessThan">
      <formula>-500</formula>
    </cfRule>
  </conditionalFormatting>
  <conditionalFormatting sqref="D22">
    <cfRule type="cellIs" dxfId="128" priority="13" stopIfTrue="1" operator="lessThan">
      <formula>-500</formula>
    </cfRule>
  </conditionalFormatting>
  <conditionalFormatting sqref="K82 J80:J81">
    <cfRule type="cellIs" dxfId="127" priority="8" stopIfTrue="1" operator="lessThan">
      <formula>0</formula>
    </cfRule>
    <cfRule type="cellIs" dxfId="126" priority="12" stopIfTrue="1" operator="lessThan">
      <formula>-500</formula>
    </cfRule>
  </conditionalFormatting>
  <conditionalFormatting sqref="J20:K20">
    <cfRule type="cellIs" dxfId="125" priority="11" stopIfTrue="1" operator="lessThan">
      <formula>-500</formula>
    </cfRule>
  </conditionalFormatting>
  <conditionalFormatting sqref="D19:E19">
    <cfRule type="cellIs" dxfId="124" priority="10" stopIfTrue="1" operator="lessThan">
      <formula>0</formula>
    </cfRule>
  </conditionalFormatting>
  <conditionalFormatting sqref="E83 E85">
    <cfRule type="cellIs" dxfId="123" priority="9" stopIfTrue="1" operator="lessThan">
      <formula>0</formula>
    </cfRule>
  </conditionalFormatting>
  <conditionalFormatting sqref="J49:K49">
    <cfRule type="cellIs" dxfId="122" priority="7" stopIfTrue="1" operator="lessThan">
      <formula>-500</formula>
    </cfRule>
  </conditionalFormatting>
  <conditionalFormatting sqref="J25">
    <cfRule type="cellIs" dxfId="121" priority="6" stopIfTrue="1" operator="lessThan">
      <formula>-500</formula>
    </cfRule>
  </conditionalFormatting>
  <conditionalFormatting sqref="J56:K56">
    <cfRule type="cellIs" dxfId="120" priority="5" stopIfTrue="1" operator="lessThan">
      <formula>-500</formula>
    </cfRule>
  </conditionalFormatting>
  <conditionalFormatting sqref="J53:K53">
    <cfRule type="cellIs" dxfId="119" priority="4" stopIfTrue="1" operator="lessThan">
      <formula>-500</formula>
    </cfRule>
  </conditionalFormatting>
  <conditionalFormatting sqref="J59:K59">
    <cfRule type="cellIs" dxfId="118" priority="2" stopIfTrue="1" operator="lessThan">
      <formula>-500</formula>
    </cfRule>
  </conditionalFormatting>
  <dataValidations count="2">
    <dataValidation type="decimal" operator="lessThan" allowBlank="1" showInputMessage="1" showErrorMessage="1" error="Beloppet ska vara i 1000 tal kronor" sqref="D9:E9 J62:K62 E83:E85 E75:E79 J20:K20 J27:K27 J48:K49 E44 J22:K22 J15:K15 J13:K13 E66 J24:K25 D50:D55 E49:E51 D44:D48 D57:D65 D32 E31:E32 D43:E43 D21:E21 D19:E19 E17 D13:D16 E12 D10:D11 D39:E41 D22:D30 J55:J59 K55:K56 K59 K66:K67 J80:J81 E26 E53:E55">
      <formula1>999999999</formula1>
    </dataValidation>
    <dataValidation type="decimal" operator="lessThan" allowBlank="1" showInputMessage="1" showErrorMessage="1" error="Beloppet ska vara i 1000-tal kronor" sqref="J53:K53">
      <formula1>999999999</formula1>
    </dataValidation>
  </dataValidations>
  <pageMargins left="0.11811023622047245" right="0.11811023622047245" top="0.74803149606299213" bottom="0.74803149606299213" header="0.31496062992125984" footer="0.31496062992125984"/>
  <pageSetup paperSize="9" scale="80" orientation="landscape" r:id="rId4"/>
  <headerFooter>
    <oddHeader>&amp;L&amp;8Statistiska Centralbyrån
Offentlig ekonomi&amp;R&amp;P</oddHeader>
  </headerFooter>
  <rowBreaks count="1" manualBreakCount="1">
    <brk id="49" max="16383" man="1"/>
  </rowBreaks>
  <ignoredErrors>
    <ignoredError sqref="A9:A15" numberStoredAsText="1"/>
  </ignoredError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90"/>
  <sheetViews>
    <sheetView showGridLines="0" zoomScaleNormal="100" workbookViewId="0">
      <pane ySplit="1" topLeftCell="A50" activePane="bottomLeft" state="frozen"/>
      <selection activeCell="F32" sqref="F32"/>
      <selection pane="bottomLeft" activeCell="F79" sqref="F79"/>
    </sheetView>
  </sheetViews>
  <sheetFormatPr defaultColWidth="0" defaultRowHeight="12.75" zeroHeight="1"/>
  <cols>
    <col min="1" max="1" width="4" style="178" customWidth="1"/>
    <col min="2" max="2" width="10.140625" style="178" customWidth="1"/>
    <col min="3" max="3" width="31.28515625" style="178" customWidth="1"/>
    <col min="4" max="4" width="11.5703125" style="178" customWidth="1"/>
    <col min="5" max="5" width="21.5703125" style="178" customWidth="1"/>
    <col min="6" max="6" width="4" style="178" customWidth="1"/>
    <col min="7" max="7" width="8.28515625" style="178" customWidth="1"/>
    <col min="8" max="8" width="30.7109375" style="178" customWidth="1"/>
    <col min="9" max="9" width="9.140625" style="178" customWidth="1"/>
    <col min="10" max="10" width="20.5703125" style="178" customWidth="1"/>
    <col min="11" max="11" width="1.7109375" style="178" customWidth="1"/>
    <col min="12" max="12" width="3.7109375" style="178" customWidth="1"/>
    <col min="13" max="13" width="9.140625" style="178" customWidth="1"/>
    <col min="14" max="14" width="8.140625" style="178" customWidth="1"/>
    <col min="15" max="15" width="1.85546875" style="178" customWidth="1"/>
    <col min="16" max="16" width="1.5703125" style="178" customWidth="1"/>
    <col min="17" max="17" width="3.7109375" style="178" customWidth="1"/>
    <col min="18" max="18" width="13.85546875" style="442" customWidth="1"/>
    <col min="19" max="19" width="4.140625" style="442" customWidth="1"/>
    <col min="20" max="20" width="8.42578125" style="178" customWidth="1"/>
    <col min="21" max="21" width="8" style="178" customWidth="1"/>
    <col min="22" max="22" width="16" style="178" customWidth="1"/>
    <col min="23" max="25" width="9.140625" style="178" customWidth="1"/>
    <col min="26" max="16384" width="0" style="178" hidden="1"/>
  </cols>
  <sheetData>
    <row r="1" spans="1:20" s="216" customFormat="1" ht="20.25">
      <c r="A1" s="101" t="str">
        <f>"Verksamhetens intäkter och kostnader "&amp;År&amp;", miljoner kr"</f>
        <v>Verksamhetens intäkter och kostnader 2018, miljoner kr</v>
      </c>
      <c r="B1" s="177"/>
      <c r="C1" s="177"/>
      <c r="D1" s="177"/>
      <c r="E1" s="177"/>
      <c r="F1" s="177"/>
      <c r="G1" s="177"/>
      <c r="H1" s="538"/>
      <c r="I1" s="534" t="s">
        <v>474</v>
      </c>
      <c r="J1" s="535" t="str">
        <f>'Kn Information'!B2</f>
        <v>RIKSTOTAL</v>
      </c>
      <c r="K1" s="535"/>
      <c r="L1" s="535"/>
      <c r="M1" s="535"/>
      <c r="N1" s="535"/>
      <c r="O1" s="2308"/>
      <c r="P1" s="1463"/>
      <c r="Q1" s="178"/>
      <c r="R1" s="178"/>
      <c r="S1" s="178"/>
      <c r="T1" s="178"/>
    </row>
    <row r="2" spans="1:20" s="216" customFormat="1" ht="12.75" customHeight="1">
      <c r="A2" s="1340"/>
      <c r="D2" s="2304"/>
      <c r="E2" s="47"/>
      <c r="F2" s="4"/>
      <c r="G2" s="4"/>
      <c r="I2" s="1437"/>
      <c r="J2" s="86"/>
      <c r="K2" s="47"/>
      <c r="O2" s="178"/>
      <c r="Q2" s="178"/>
      <c r="R2" s="178"/>
      <c r="S2" s="178"/>
      <c r="T2" s="178"/>
    </row>
    <row r="3" spans="1:20" s="216" customFormat="1" ht="12.75" customHeight="1">
      <c r="D3" s="178"/>
      <c r="E3" s="86"/>
      <c r="F3" s="4"/>
      <c r="G3" s="4"/>
      <c r="I3" s="1437"/>
      <c r="J3" s="47"/>
      <c r="K3" s="47"/>
      <c r="O3" s="178"/>
      <c r="Q3" s="178"/>
      <c r="R3" s="178"/>
      <c r="S3" s="178"/>
      <c r="T3" s="178"/>
    </row>
    <row r="4" spans="1:20" s="216" customFormat="1" ht="16.5" customHeight="1" thickBot="1">
      <c r="A4" s="81" t="s">
        <v>374</v>
      </c>
      <c r="B4" s="4"/>
      <c r="C4" s="4"/>
      <c r="D4" s="4"/>
      <c r="E4" s="86"/>
      <c r="H4" s="4"/>
      <c r="I4" s="4"/>
      <c r="J4" s="4"/>
      <c r="K4" s="4"/>
      <c r="L4" s="1389" t="str">
        <f>"Kontroller av förändring mellan "&amp;År-1&amp;" och "&amp;År&amp;""</f>
        <v>Kontroller av förändring mellan 2017 och 2018</v>
      </c>
      <c r="O4" s="178"/>
      <c r="Q4" s="178"/>
      <c r="R4" s="178"/>
      <c r="S4" s="178"/>
      <c r="T4" s="178"/>
    </row>
    <row r="5" spans="1:20" s="216" customFormat="1" ht="12.75" customHeight="1">
      <c r="A5" s="2305" t="s">
        <v>658</v>
      </c>
      <c r="B5" s="2306" t="s">
        <v>814</v>
      </c>
      <c r="C5" s="626"/>
      <c r="D5" s="824" t="s">
        <v>1310</v>
      </c>
      <c r="E5" s="4"/>
      <c r="H5" s="4"/>
      <c r="I5" s="4"/>
      <c r="J5" s="4"/>
      <c r="K5" s="4"/>
      <c r="L5" s="2305" t="s">
        <v>658</v>
      </c>
      <c r="M5" s="826" t="s">
        <v>1310</v>
      </c>
      <c r="N5" s="827" t="s">
        <v>806</v>
      </c>
      <c r="O5" s="1464"/>
      <c r="P5" s="1464"/>
      <c r="Q5" s="97"/>
      <c r="R5" s="449"/>
      <c r="S5" s="97"/>
      <c r="T5" s="1388"/>
    </row>
    <row r="6" spans="1:20" s="216" customFormat="1" ht="20.25" customHeight="1">
      <c r="A6" s="645" t="s">
        <v>661</v>
      </c>
      <c r="B6" s="2545"/>
      <c r="C6" s="812"/>
      <c r="D6" s="825">
        <f>År</f>
        <v>2018</v>
      </c>
      <c r="E6" s="4"/>
      <c r="H6" s="71"/>
      <c r="I6" s="71"/>
      <c r="J6" s="4"/>
      <c r="K6" s="4"/>
      <c r="L6" s="645" t="s">
        <v>661</v>
      </c>
      <c r="M6" s="828">
        <f>År-1</f>
        <v>2017</v>
      </c>
      <c r="N6" s="829" t="str">
        <f>År-1&amp;-År</f>
        <v>2017-2018</v>
      </c>
      <c r="O6" s="1464"/>
      <c r="P6" s="1464"/>
      <c r="Q6" s="1698"/>
      <c r="R6" s="1467"/>
      <c r="S6" s="280"/>
      <c r="T6" s="1673"/>
    </row>
    <row r="7" spans="1:20" s="216" customFormat="1" ht="15" customHeight="1">
      <c r="A7" s="813"/>
      <c r="B7" s="2546"/>
      <c r="C7" s="814"/>
      <c r="D7" s="725"/>
      <c r="E7" s="4"/>
      <c r="H7" s="71"/>
      <c r="I7" s="71"/>
      <c r="J7" s="4"/>
      <c r="K7" s="4"/>
      <c r="L7" s="813"/>
      <c r="M7" s="830"/>
      <c r="N7" s="831" t="s">
        <v>807</v>
      </c>
      <c r="O7" s="1464"/>
      <c r="P7" s="1464"/>
      <c r="Q7" s="95"/>
      <c r="R7" s="1699"/>
      <c r="S7" s="1426"/>
      <c r="T7" s="1700"/>
    </row>
    <row r="8" spans="1:20" s="216" customFormat="1" ht="13.5" thickBot="1">
      <c r="A8" s="573">
        <v>130</v>
      </c>
      <c r="B8" s="1566" t="s">
        <v>817</v>
      </c>
      <c r="C8" s="1485" t="s">
        <v>824</v>
      </c>
      <c r="D8" s="237">
        <v>9197</v>
      </c>
      <c r="E8" s="188"/>
      <c r="F8" s="4"/>
      <c r="G8" s="4"/>
      <c r="H8" s="71"/>
      <c r="I8" s="71"/>
      <c r="J8" s="4"/>
      <c r="K8" s="4"/>
      <c r="L8" s="573">
        <v>130</v>
      </c>
      <c r="M8" s="1370">
        <v>8995</v>
      </c>
      <c r="N8" s="2309">
        <f>IF(ISERROR((D8-M8)/M8),0,((D8-M8)/M8))</f>
        <v>2.245692051139522E-2</v>
      </c>
      <c r="O8" s="1465"/>
      <c r="P8" s="1465"/>
      <c r="Q8" s="1467"/>
      <c r="R8" s="1467"/>
      <c r="S8" s="1467"/>
      <c r="T8" s="178"/>
    </row>
    <row r="9" spans="1:20" s="216" customFormat="1">
      <c r="A9" s="816">
        <v>200</v>
      </c>
      <c r="B9" s="817">
        <v>311</v>
      </c>
      <c r="C9" s="818" t="s">
        <v>736</v>
      </c>
      <c r="D9" s="185">
        <v>3140</v>
      </c>
      <c r="E9" s="188"/>
      <c r="F9" s="4"/>
      <c r="G9" s="4"/>
      <c r="H9" s="71"/>
      <c r="I9" s="71"/>
      <c r="J9" s="4"/>
      <c r="K9" s="4"/>
      <c r="L9" s="1345"/>
      <c r="M9" s="1371"/>
      <c r="N9" s="2310"/>
      <c r="O9" s="1465"/>
      <c r="P9" s="1465"/>
      <c r="Q9" s="1412"/>
      <c r="R9" s="1412"/>
      <c r="S9" s="1412"/>
      <c r="T9" s="178"/>
    </row>
    <row r="10" spans="1:20" s="216" customFormat="1">
      <c r="A10" s="819">
        <v>210</v>
      </c>
      <c r="B10" s="699">
        <v>312</v>
      </c>
      <c r="C10" s="818" t="s">
        <v>869</v>
      </c>
      <c r="D10" s="185">
        <v>525</v>
      </c>
      <c r="E10" s="188"/>
      <c r="F10" s="4"/>
      <c r="G10" s="4"/>
      <c r="H10" s="71"/>
      <c r="I10" s="71"/>
      <c r="J10" s="4"/>
      <c r="K10" s="4"/>
      <c r="L10" s="840"/>
      <c r="M10" s="1129"/>
      <c r="N10" s="2311"/>
      <c r="O10" s="1465"/>
      <c r="P10" s="1465"/>
      <c r="Q10" s="1412"/>
      <c r="R10" s="1412"/>
      <c r="S10" s="1412"/>
      <c r="T10" s="178"/>
    </row>
    <row r="11" spans="1:20" s="216" customFormat="1" ht="19.5" customHeight="1">
      <c r="A11" s="819">
        <v>280</v>
      </c>
      <c r="B11" s="1559" t="s">
        <v>929</v>
      </c>
      <c r="C11" s="818" t="s">
        <v>737</v>
      </c>
      <c r="D11" s="185">
        <v>33241</v>
      </c>
      <c r="E11" s="188"/>
      <c r="F11" s="4"/>
      <c r="G11" s="4"/>
      <c r="H11" s="71"/>
      <c r="I11" s="71"/>
      <c r="J11" s="4"/>
      <c r="K11" s="4"/>
      <c r="L11" s="579"/>
      <c r="M11" s="1322"/>
      <c r="N11" s="2312"/>
      <c r="O11" s="1465"/>
      <c r="P11" s="1465"/>
      <c r="Q11" s="1412"/>
      <c r="R11" s="1701"/>
      <c r="S11" s="1701"/>
      <c r="T11" s="178"/>
    </row>
    <row r="12" spans="1:20" s="216" customFormat="1" ht="13.5" thickBot="1">
      <c r="A12" s="820">
        <v>290</v>
      </c>
      <c r="B12" s="574"/>
      <c r="C12" s="821" t="s">
        <v>738</v>
      </c>
      <c r="D12" s="374">
        <f>SUM(D9:D11)</f>
        <v>36906</v>
      </c>
      <c r="E12" s="188"/>
      <c r="F12" s="179"/>
      <c r="G12" s="4"/>
      <c r="H12" s="71"/>
      <c r="I12" s="71"/>
      <c r="J12" s="4"/>
      <c r="K12" s="4"/>
      <c r="L12" s="589">
        <v>290</v>
      </c>
      <c r="M12" s="1327">
        <v>35564</v>
      </c>
      <c r="N12" s="2313">
        <f>IF(ISERROR((D12-M12)/M12),0,((D12-M12)/M12))</f>
        <v>3.7734787987852882E-2</v>
      </c>
      <c r="O12" s="1465"/>
      <c r="P12" s="1465"/>
      <c r="Q12" s="1412"/>
      <c r="R12" s="1412"/>
      <c r="S12" s="1412"/>
      <c r="T12" s="178"/>
    </row>
    <row r="13" spans="1:20" s="216" customFormat="1">
      <c r="A13" s="579">
        <v>400</v>
      </c>
      <c r="B13" s="571">
        <v>341</v>
      </c>
      <c r="C13" s="822" t="s">
        <v>739</v>
      </c>
      <c r="D13" s="185">
        <v>14168</v>
      </c>
      <c r="E13" s="188"/>
      <c r="F13" s="4"/>
      <c r="G13" s="4"/>
      <c r="H13" s="71"/>
      <c r="I13" s="71"/>
      <c r="J13" s="4"/>
      <c r="K13" s="4"/>
      <c r="L13" s="579">
        <v>400</v>
      </c>
      <c r="M13" s="1322">
        <v>13691</v>
      </c>
      <c r="N13" s="2312">
        <f>IF(ISERROR((D13-M13)/M13),0,((D13-M13)/M13))</f>
        <v>3.4840406106201156E-2</v>
      </c>
      <c r="O13" s="1465"/>
      <c r="P13" s="1465"/>
      <c r="Q13" s="1467"/>
      <c r="R13" s="1467"/>
      <c r="S13" s="1467"/>
      <c r="T13" s="178"/>
    </row>
    <row r="14" spans="1:20" s="216" customFormat="1">
      <c r="A14" s="576">
        <v>420</v>
      </c>
      <c r="B14" s="699">
        <v>342</v>
      </c>
      <c r="C14" s="822" t="s">
        <v>740</v>
      </c>
      <c r="D14" s="185">
        <v>5096</v>
      </c>
      <c r="E14" s="188"/>
      <c r="F14" s="4"/>
      <c r="G14" s="4"/>
      <c r="H14" s="71"/>
      <c r="I14" s="71"/>
      <c r="J14" s="4"/>
      <c r="K14" s="4"/>
      <c r="L14" s="582"/>
      <c r="M14" s="1138"/>
      <c r="N14" s="2314"/>
      <c r="O14" s="1465"/>
      <c r="P14" s="1465"/>
      <c r="Q14" s="1467"/>
      <c r="R14" s="1467"/>
      <c r="S14" s="1467"/>
      <c r="T14" s="178"/>
    </row>
    <row r="15" spans="1:20" s="216" customFormat="1">
      <c r="A15" s="576">
        <v>480</v>
      </c>
      <c r="B15" s="699" t="s">
        <v>741</v>
      </c>
      <c r="C15" s="822" t="s">
        <v>818</v>
      </c>
      <c r="D15" s="185">
        <v>1551</v>
      </c>
      <c r="E15" s="188"/>
      <c r="G15" s="180"/>
      <c r="H15" s="232"/>
      <c r="I15" s="232"/>
      <c r="J15" s="4"/>
      <c r="K15" s="4"/>
      <c r="L15" s="840"/>
      <c r="M15" s="1129"/>
      <c r="N15" s="2311"/>
      <c r="O15" s="1465"/>
      <c r="P15" s="1465"/>
      <c r="Q15" s="1467"/>
      <c r="R15" s="1467"/>
      <c r="S15" s="1467"/>
      <c r="T15" s="178"/>
    </row>
    <row r="16" spans="1:20" s="216" customFormat="1" ht="13.5" thickBot="1">
      <c r="A16" s="589">
        <v>490</v>
      </c>
      <c r="B16" s="815"/>
      <c r="C16" s="823" t="s">
        <v>742</v>
      </c>
      <c r="D16" s="374">
        <f>SUM(D13:D15)</f>
        <v>20815</v>
      </c>
      <c r="E16" s="188"/>
      <c r="F16" s="47"/>
      <c r="G16" s="47"/>
      <c r="H16" s="318"/>
      <c r="I16" s="232"/>
      <c r="J16" s="4"/>
      <c r="K16" s="4"/>
      <c r="L16" s="573">
        <v>490</v>
      </c>
      <c r="M16" s="1372">
        <v>20108</v>
      </c>
      <c r="N16" s="2315">
        <f>IF(ISERROR((D16-M16)/M16),0,((D16-M16)/M16))</f>
        <v>3.5160135269544458E-2</v>
      </c>
      <c r="O16" s="1465"/>
      <c r="P16" s="1465"/>
      <c r="Q16" s="1467"/>
      <c r="R16" s="1467"/>
      <c r="S16" s="1467"/>
      <c r="T16" s="178"/>
    </row>
    <row r="17" spans="1:22" s="216" customFormat="1">
      <c r="A17" s="816">
        <v>500</v>
      </c>
      <c r="B17" s="817">
        <v>351</v>
      </c>
      <c r="C17" s="822" t="s">
        <v>906</v>
      </c>
      <c r="D17" s="185">
        <v>42519</v>
      </c>
      <c r="E17" s="248"/>
      <c r="F17" s="1478"/>
      <c r="G17" s="1478"/>
      <c r="H17" s="1479"/>
      <c r="I17" s="79"/>
      <c r="J17" s="303"/>
      <c r="K17" s="4"/>
      <c r="L17" s="1345"/>
      <c r="M17" s="1371"/>
      <c r="N17" s="2310"/>
      <c r="O17" s="1465"/>
      <c r="P17" s="1465"/>
      <c r="Q17" s="1412"/>
      <c r="R17" s="1412"/>
      <c r="S17" s="1412"/>
      <c r="T17" s="178"/>
    </row>
    <row r="18" spans="1:22" s="216" customFormat="1">
      <c r="A18" s="819">
        <v>510</v>
      </c>
      <c r="B18" s="567">
        <v>351</v>
      </c>
      <c r="C18" s="822" t="s">
        <v>907</v>
      </c>
      <c r="D18" s="185">
        <v>7353</v>
      </c>
      <c r="E18" s="188"/>
      <c r="F18" s="1478"/>
      <c r="G18" s="1476"/>
      <c r="H18" s="97"/>
      <c r="I18" s="155"/>
      <c r="J18" s="4"/>
      <c r="K18" s="4"/>
      <c r="L18" s="840"/>
      <c r="M18" s="1129"/>
      <c r="N18" s="2311"/>
      <c r="O18" s="1465"/>
      <c r="P18" s="1465"/>
      <c r="Q18" s="1412"/>
      <c r="R18" s="1412"/>
      <c r="S18" s="1412"/>
      <c r="T18" s="178"/>
    </row>
    <row r="19" spans="1:22" s="216" customFormat="1">
      <c r="A19" s="819">
        <v>520</v>
      </c>
      <c r="B19" s="567">
        <v>351</v>
      </c>
      <c r="C19" s="822" t="s">
        <v>1297</v>
      </c>
      <c r="D19" s="185">
        <v>1580</v>
      </c>
      <c r="E19" s="188"/>
      <c r="F19" s="82" t="s">
        <v>819</v>
      </c>
      <c r="G19" s="1478"/>
      <c r="H19" s="97"/>
      <c r="I19" s="1868"/>
      <c r="J19" s="4"/>
      <c r="K19" s="4"/>
      <c r="L19" s="840"/>
      <c r="M19" s="1129"/>
      <c r="N19" s="2311"/>
      <c r="O19" s="1465"/>
      <c r="P19" s="1465"/>
      <c r="Q19" s="1412"/>
      <c r="R19" s="1412"/>
      <c r="S19" s="1412"/>
      <c r="T19" s="178"/>
    </row>
    <row r="20" spans="1:22" s="216" customFormat="1">
      <c r="A20" s="819">
        <v>525</v>
      </c>
      <c r="B20" s="567">
        <v>354</v>
      </c>
      <c r="C20" s="822" t="s">
        <v>825</v>
      </c>
      <c r="D20" s="185">
        <v>6064</v>
      </c>
      <c r="E20" s="188" t="str">
        <f>IF(D20&gt;0,"","Belopp saknas")</f>
        <v/>
      </c>
      <c r="F20" s="1467"/>
      <c r="G20" s="1476"/>
      <c r="H20" s="1477"/>
      <c r="I20" s="155"/>
      <c r="J20" s="4"/>
      <c r="K20" s="4"/>
      <c r="L20" s="579"/>
      <c r="M20" s="1322"/>
      <c r="N20" s="2312"/>
      <c r="O20" s="1465"/>
      <c r="P20" s="1465"/>
      <c r="Q20" s="1412"/>
      <c r="R20" s="1412"/>
      <c r="S20" s="1412"/>
      <c r="T20" s="178"/>
      <c r="V20" s="178"/>
    </row>
    <row r="21" spans="1:22" s="216" customFormat="1">
      <c r="A21" s="819">
        <v>527</v>
      </c>
      <c r="B21" s="567">
        <v>356</v>
      </c>
      <c r="C21" s="822" t="s">
        <v>1140</v>
      </c>
      <c r="D21" s="238">
        <v>6747</v>
      </c>
      <c r="E21" s="188" t="str">
        <f>IF(D21&lt;&gt;0,"","Belopp saknas")</f>
        <v/>
      </c>
      <c r="F21" s="4"/>
      <c r="G21" s="71"/>
      <c r="H21" s="71"/>
      <c r="I21" s="71"/>
      <c r="J21" s="4"/>
      <c r="K21" s="4"/>
      <c r="L21" s="576">
        <v>527</v>
      </c>
      <c r="M21" s="1312">
        <v>6663</v>
      </c>
      <c r="N21" s="2316">
        <f>IF(ISERROR((D21-M21)/M21),0,((D21-M21)/M21))</f>
        <v>1.2606933813597478E-2</v>
      </c>
      <c r="O21" s="1465"/>
      <c r="P21" s="1465"/>
      <c r="Q21" s="1412"/>
      <c r="R21" s="1412"/>
      <c r="S21" s="1412"/>
      <c r="T21" s="178"/>
      <c r="V21" s="178"/>
    </row>
    <row r="22" spans="1:22" s="216" customFormat="1">
      <c r="A22" s="819">
        <v>550</v>
      </c>
      <c r="B22" s="567">
        <v>358</v>
      </c>
      <c r="C22" s="818" t="s">
        <v>199</v>
      </c>
      <c r="D22" s="238">
        <v>755</v>
      </c>
      <c r="E22" s="249"/>
      <c r="F22" s="4"/>
      <c r="G22" s="4"/>
      <c r="H22" s="71"/>
      <c r="I22" s="71"/>
      <c r="J22" s="4"/>
      <c r="K22" s="4"/>
      <c r="L22" s="582"/>
      <c r="M22" s="1138"/>
      <c r="N22" s="2314"/>
      <c r="O22" s="1465"/>
      <c r="P22" s="1465"/>
      <c r="Q22" s="1412"/>
      <c r="R22" s="1412"/>
      <c r="S22" s="1412"/>
      <c r="T22" s="178"/>
      <c r="V22" s="178"/>
    </row>
    <row r="23" spans="1:22" s="216" customFormat="1" ht="13.5" customHeight="1">
      <c r="A23" s="819">
        <v>560</v>
      </c>
      <c r="B23" s="567">
        <v>357</v>
      </c>
      <c r="C23" s="1405" t="s">
        <v>1161</v>
      </c>
      <c r="D23" s="238">
        <v>406</v>
      </c>
      <c r="E23" s="249"/>
      <c r="F23" s="1478"/>
      <c r="G23" s="1476"/>
      <c r="H23" s="1477"/>
      <c r="I23" s="155"/>
      <c r="J23" s="1390"/>
      <c r="K23" s="4"/>
      <c r="L23" s="579"/>
      <c r="M23" s="1322"/>
      <c r="N23" s="2312"/>
      <c r="O23" s="1465"/>
      <c r="P23" s="1465"/>
      <c r="Q23" s="1412"/>
      <c r="R23" s="1702"/>
      <c r="S23" s="1703"/>
      <c r="T23" s="1704"/>
      <c r="V23" s="1467"/>
    </row>
    <row r="24" spans="1:22" s="216" customFormat="1">
      <c r="A24" s="1344">
        <v>570</v>
      </c>
      <c r="B24" s="567">
        <v>359</v>
      </c>
      <c r="C24" s="2179" t="s">
        <v>1283</v>
      </c>
      <c r="D24" s="109">
        <v>1283</v>
      </c>
      <c r="E24" s="249" t="str">
        <f>IF(D24=0,"",IF(OR(D24&gt;10000,D24/D25&gt;2%),"Kommentera övriga belopp. OBS! Bidrag från statliga myndigheter, t.ex. Migrationsverket eller Skolverket redovisas på rad 500!",""))</f>
        <v/>
      </c>
      <c r="F24" s="1478"/>
      <c r="G24" s="1476"/>
      <c r="H24" s="1477"/>
      <c r="I24" s="155"/>
      <c r="J24" s="1390"/>
      <c r="K24" s="4"/>
      <c r="L24" s="840"/>
      <c r="M24" s="1129"/>
      <c r="N24" s="2311"/>
      <c r="O24" s="1465"/>
      <c r="P24" s="1465"/>
      <c r="Q24" s="1412"/>
      <c r="R24" s="1702"/>
      <c r="S24" s="1703"/>
      <c r="T24" s="1704"/>
      <c r="V24" s="1467"/>
    </row>
    <row r="25" spans="1:22" s="216" customFormat="1" ht="15.75" customHeight="1" thickBot="1">
      <c r="A25" s="820">
        <v>590</v>
      </c>
      <c r="B25" s="574"/>
      <c r="C25" s="821" t="s">
        <v>743</v>
      </c>
      <c r="D25" s="374">
        <f>SUM(D17:D24)</f>
        <v>66707</v>
      </c>
      <c r="E25" s="249"/>
      <c r="F25" s="4"/>
      <c r="G25" s="47"/>
      <c r="H25" s="71"/>
      <c r="I25" s="71"/>
      <c r="J25" s="4"/>
      <c r="K25" s="4"/>
      <c r="L25" s="589">
        <v>590</v>
      </c>
      <c r="M25" s="1327">
        <v>71386</v>
      </c>
      <c r="N25" s="2313">
        <f>IF(ISERROR((D25-M25)/M25),0,((D25-M25)/M25))</f>
        <v>-6.5545064858655758E-2</v>
      </c>
      <c r="O25" s="1465"/>
      <c r="P25" s="1465"/>
      <c r="Q25" s="1412"/>
      <c r="R25" s="1412"/>
      <c r="S25" s="1412"/>
      <c r="T25" s="178"/>
      <c r="V25" s="1467"/>
    </row>
    <row r="26" spans="1:22" s="216" customFormat="1">
      <c r="A26" s="579">
        <v>310</v>
      </c>
      <c r="B26" s="571" t="s">
        <v>889</v>
      </c>
      <c r="C26" s="818" t="s">
        <v>890</v>
      </c>
      <c r="D26" s="238">
        <v>12715</v>
      </c>
      <c r="E26" s="249"/>
      <c r="F26" s="1568" t="s">
        <v>900</v>
      </c>
      <c r="G26" s="1569" t="s">
        <v>895</v>
      </c>
      <c r="H26" s="801" t="s">
        <v>821</v>
      </c>
      <c r="I26" s="311">
        <v>12454</v>
      </c>
      <c r="J26" s="1390" t="str">
        <f>IF(SUM(I26)&gt;D26,"Däravrad 317 &gt; rad 310","")</f>
        <v/>
      </c>
      <c r="K26" s="4"/>
      <c r="L26" s="1345"/>
      <c r="M26" s="1371"/>
      <c r="N26" s="2310"/>
      <c r="O26" s="1465"/>
      <c r="P26" s="1465"/>
      <c r="Q26" s="1467"/>
      <c r="R26" s="1467"/>
      <c r="S26" s="1467"/>
      <c r="T26" s="1476"/>
      <c r="V26" s="1467"/>
    </row>
    <row r="27" spans="1:22" s="216" customFormat="1">
      <c r="A27" s="576">
        <v>320</v>
      </c>
      <c r="B27" s="699" t="s">
        <v>893</v>
      </c>
      <c r="C27" s="822" t="s">
        <v>891</v>
      </c>
      <c r="D27" s="238">
        <v>506</v>
      </c>
      <c r="E27" s="249"/>
      <c r="F27" s="1570" t="s">
        <v>901</v>
      </c>
      <c r="G27" s="1571">
        <v>361</v>
      </c>
      <c r="H27" s="857" t="s">
        <v>820</v>
      </c>
      <c r="I27" s="1446">
        <v>439</v>
      </c>
      <c r="J27" s="1390" t="str">
        <f>IF(SUM(I27)&gt;D27,"Däravrad 327 &gt; rad 320","")</f>
        <v/>
      </c>
      <c r="K27" s="4"/>
      <c r="L27" s="840"/>
      <c r="M27" s="1129"/>
      <c r="N27" s="2311"/>
      <c r="O27" s="1465"/>
      <c r="P27" s="1465"/>
      <c r="Q27" s="1467"/>
      <c r="R27" s="1467"/>
      <c r="S27" s="1467"/>
      <c r="T27" s="1476"/>
      <c r="V27" s="178"/>
    </row>
    <row r="28" spans="1:22" s="216" customFormat="1" ht="16.5" customHeight="1">
      <c r="A28" s="576">
        <v>380</v>
      </c>
      <c r="B28" s="1567" t="s">
        <v>868</v>
      </c>
      <c r="C28" s="822" t="s">
        <v>892</v>
      </c>
      <c r="D28" s="238">
        <v>6059</v>
      </c>
      <c r="E28" s="249"/>
      <c r="F28" s="1478"/>
      <c r="G28" s="1478"/>
      <c r="H28" s="97"/>
      <c r="I28" s="1868"/>
      <c r="J28" s="4"/>
      <c r="K28" s="4"/>
      <c r="L28" s="579"/>
      <c r="M28" s="1322"/>
      <c r="N28" s="2312"/>
      <c r="O28" s="1465"/>
      <c r="P28" s="1465"/>
      <c r="Q28" s="1467"/>
      <c r="R28" s="1467"/>
      <c r="S28" s="1467"/>
      <c r="T28" s="178"/>
    </row>
    <row r="29" spans="1:22" s="216" customFormat="1" ht="13.5" thickBot="1">
      <c r="A29" s="582">
        <v>390</v>
      </c>
      <c r="B29" s="568"/>
      <c r="C29" s="823" t="s">
        <v>827</v>
      </c>
      <c r="D29" s="375">
        <f>SUM(D26:D28)</f>
        <v>19280</v>
      </c>
      <c r="E29" s="249"/>
      <c r="F29" s="4"/>
      <c r="G29" s="4"/>
      <c r="H29" s="71"/>
      <c r="I29" s="71"/>
      <c r="J29" s="4"/>
      <c r="K29" s="4"/>
      <c r="L29" s="589">
        <v>390</v>
      </c>
      <c r="M29" s="1327">
        <v>18405</v>
      </c>
      <c r="N29" s="2313">
        <f>IF(ISERROR((D29-M29)/M29),0,((D29-M29)/M29))</f>
        <v>4.7541428959521868E-2</v>
      </c>
      <c r="O29" s="1465"/>
      <c r="P29" s="1465"/>
      <c r="Q29" s="1467"/>
      <c r="R29" s="1467"/>
      <c r="S29" s="1467"/>
      <c r="T29" s="178"/>
    </row>
    <row r="30" spans="1:22" s="216" customFormat="1" ht="13.5" customHeight="1" thickBot="1">
      <c r="A30" s="563">
        <v>891</v>
      </c>
      <c r="B30" s="564">
        <v>37</v>
      </c>
      <c r="C30" s="1487" t="s">
        <v>467</v>
      </c>
      <c r="D30" s="239">
        <v>8476</v>
      </c>
      <c r="E30" s="249" t="str">
        <f>IF(ABS(D30-Drift!W117)&gt;50,ROUND(D30-Drift!W117,0)&amp; " mnkr differens mot beloppet på rad 982, kol. W i Driften - rätta eller kommentera","")</f>
        <v/>
      </c>
      <c r="F30" s="4"/>
      <c r="G30" s="4"/>
      <c r="H30" s="71"/>
      <c r="I30" s="71"/>
      <c r="J30" s="4"/>
      <c r="K30" s="4"/>
      <c r="L30" s="1345"/>
      <c r="M30" s="1371"/>
      <c r="N30" s="2310"/>
      <c r="O30" s="1465"/>
      <c r="P30" s="1465"/>
      <c r="Q30" s="1702"/>
      <c r="R30" s="1705"/>
      <c r="S30" s="1705"/>
      <c r="T30" s="178"/>
    </row>
    <row r="31" spans="1:22" s="216" customFormat="1" ht="19.5" customHeight="1">
      <c r="A31" s="565">
        <v>892</v>
      </c>
      <c r="B31" s="566" t="s">
        <v>380</v>
      </c>
      <c r="C31" s="822" t="s">
        <v>1036</v>
      </c>
      <c r="D31" s="239">
        <v>2746</v>
      </c>
      <c r="E31" s="249" t="str">
        <f>IF(ABS(D31-Drift!W118)&gt;50,ROUND(D31-Drift!W118,0)&amp; " mnkr differens mot beloppet på rad 985, kol. W i Driften - rätta eller kommentera","")</f>
        <v/>
      </c>
      <c r="H31" s="71"/>
      <c r="I31" s="71"/>
      <c r="J31" s="4"/>
      <c r="K31" s="4"/>
      <c r="L31" s="840"/>
      <c r="M31" s="1129"/>
      <c r="N31" s="2311"/>
      <c r="O31" s="1465"/>
      <c r="P31" s="1465"/>
      <c r="Q31" s="1702"/>
      <c r="R31" s="1706"/>
      <c r="S31" s="1706"/>
      <c r="T31" s="178"/>
    </row>
    <row r="32" spans="1:22" s="216" customFormat="1" ht="13.5" thickBot="1">
      <c r="A32" s="562">
        <v>894</v>
      </c>
      <c r="B32" s="574"/>
      <c r="C32" s="569" t="s">
        <v>470</v>
      </c>
      <c r="D32" s="320">
        <v>625</v>
      </c>
      <c r="E32" s="249"/>
      <c r="F32" s="4"/>
      <c r="G32" s="4"/>
      <c r="H32" s="71"/>
      <c r="I32" s="71"/>
      <c r="J32" s="4"/>
      <c r="K32" s="4"/>
      <c r="L32" s="840"/>
      <c r="M32" s="1129"/>
      <c r="N32" s="2311"/>
      <c r="O32" s="1465"/>
      <c r="P32" s="1465"/>
      <c r="Q32" s="1702"/>
      <c r="R32" s="1467"/>
      <c r="S32" s="1467"/>
      <c r="T32" s="178"/>
    </row>
    <row r="33" spans="1:22" s="216" customFormat="1" ht="13.5" thickBot="1">
      <c r="A33" s="570">
        <v>886</v>
      </c>
      <c r="B33" s="571"/>
      <c r="C33" s="572" t="s">
        <v>679</v>
      </c>
      <c r="D33" s="376">
        <f>SUM(D8+D12+D16+D25+D29+D30+D31+D32)</f>
        <v>164752</v>
      </c>
      <c r="E33" s="249"/>
      <c r="F33" s="247"/>
      <c r="G33" s="1350"/>
      <c r="H33" s="1350"/>
      <c r="I33" s="1350"/>
      <c r="J33" s="1350"/>
      <c r="K33" s="4"/>
      <c r="L33" s="573"/>
      <c r="M33" s="1372"/>
      <c r="N33" s="2315"/>
      <c r="O33" s="1465"/>
      <c r="P33" s="1465"/>
      <c r="Q33" s="1467"/>
      <c r="R33" s="1467"/>
      <c r="S33" s="1467"/>
      <c r="T33" s="178"/>
    </row>
    <row r="34" spans="1:22" s="216" customFormat="1" ht="13.5" thickBot="1">
      <c r="A34" s="573">
        <v>896</v>
      </c>
      <c r="B34" s="574"/>
      <c r="C34" s="575" t="s">
        <v>94</v>
      </c>
      <c r="D34" s="321">
        <f>RR!C7</f>
        <v>164752</v>
      </c>
      <c r="F34" s="2513"/>
      <c r="G34" s="2547"/>
      <c r="H34" s="2547"/>
      <c r="I34" s="2547"/>
      <c r="J34" s="2547"/>
      <c r="K34" s="4"/>
      <c r="M34" s="19"/>
      <c r="N34" s="178"/>
      <c r="O34" s="178"/>
      <c r="Q34" s="1467"/>
      <c r="R34" s="1412"/>
      <c r="S34" s="1412"/>
      <c r="T34" s="178"/>
    </row>
    <row r="35" spans="1:22" s="216" customFormat="1" ht="46.5" customHeight="1">
      <c r="A35" s="4"/>
      <c r="B35" s="4"/>
      <c r="C35" s="4"/>
      <c r="D35" s="1865" t="str">
        <f>IF(ABS(D33-D34)&lt;50,"",IF(OR(D33=0,D34=0),"",IF((SUM(D33)/(D34))&lt;&gt;1,(ROUND(D33-D34,0))&amp;" mnkr diff. mellan verks. intäkter i RR och verks.intäkter här - måste rättas!","")))</f>
        <v/>
      </c>
      <c r="E35" s="249"/>
      <c r="F35" s="2547"/>
      <c r="G35" s="2547"/>
      <c r="H35" s="2547"/>
      <c r="I35" s="2547"/>
      <c r="J35" s="2547"/>
      <c r="K35" s="4"/>
      <c r="O35" s="178"/>
      <c r="Q35" s="178"/>
      <c r="R35" s="178"/>
      <c r="S35" s="178"/>
      <c r="T35" s="178"/>
    </row>
    <row r="36" spans="1:22" s="216" customFormat="1" ht="16.5" thickBot="1">
      <c r="A36" s="81" t="s">
        <v>375</v>
      </c>
      <c r="B36" s="4"/>
      <c r="C36" s="4"/>
      <c r="D36" s="4"/>
      <c r="E36" s="249"/>
      <c r="F36" s="179"/>
      <c r="G36" s="180"/>
      <c r="H36" s="232"/>
      <c r="I36" s="71"/>
      <c r="J36" s="4"/>
      <c r="K36" s="4"/>
      <c r="L36" s="1389" t="str">
        <f>"Kontroller av förändring mellan "&amp;År-1&amp;" och "&amp;År&amp;""</f>
        <v>Kontroller av förändring mellan 2017 och 2018</v>
      </c>
      <c r="O36" s="178"/>
      <c r="Q36" s="178"/>
      <c r="R36" s="178"/>
      <c r="S36" s="178"/>
      <c r="T36" s="178"/>
    </row>
    <row r="37" spans="1:22" s="215" customFormat="1">
      <c r="A37" s="2305" t="s">
        <v>658</v>
      </c>
      <c r="B37" s="2306" t="s">
        <v>814</v>
      </c>
      <c r="C37" s="834"/>
      <c r="D37" s="640" t="s">
        <v>1310</v>
      </c>
      <c r="E37" s="249"/>
      <c r="F37" s="82" t="s">
        <v>805</v>
      </c>
      <c r="G37" s="222"/>
      <c r="H37" s="223"/>
      <c r="I37" s="234"/>
      <c r="J37" s="190"/>
      <c r="K37" s="190"/>
      <c r="L37" s="2317" t="s">
        <v>658</v>
      </c>
      <c r="M37" s="843" t="s">
        <v>1310</v>
      </c>
      <c r="N37" s="844" t="s">
        <v>806</v>
      </c>
      <c r="O37" s="1464"/>
      <c r="P37" s="1464"/>
      <c r="Q37" s="97"/>
      <c r="R37" s="1468"/>
      <c r="S37" s="97"/>
      <c r="T37" s="1388"/>
    </row>
    <row r="38" spans="1:22" s="215" customFormat="1" ht="18.75" customHeight="1">
      <c r="A38" s="2307" t="s">
        <v>661</v>
      </c>
      <c r="B38" s="2545"/>
      <c r="C38" s="837"/>
      <c r="D38" s="825">
        <f>År</f>
        <v>2018</v>
      </c>
      <c r="E38" s="249"/>
      <c r="F38" s="235"/>
      <c r="G38" s="76"/>
      <c r="H38" s="136"/>
      <c r="I38" s="233"/>
      <c r="J38" s="190"/>
      <c r="K38" s="190"/>
      <c r="L38" s="2318" t="s">
        <v>661</v>
      </c>
      <c r="M38" s="845">
        <f>År-1</f>
        <v>2017</v>
      </c>
      <c r="N38" s="846" t="str">
        <f>År-1&amp;-År</f>
        <v>2017-2018</v>
      </c>
      <c r="O38" s="1464"/>
      <c r="P38" s="1464"/>
      <c r="Q38" s="280"/>
      <c r="R38" s="1477"/>
      <c r="S38" s="1426"/>
      <c r="T38" s="1700"/>
    </row>
    <row r="39" spans="1:22" s="216" customFormat="1" ht="18" customHeight="1" thickBot="1">
      <c r="A39" s="838"/>
      <c r="B39" s="2546"/>
      <c r="C39" s="622"/>
      <c r="D39" s="839"/>
      <c r="E39" s="249"/>
      <c r="F39" s="741">
        <v>602</v>
      </c>
      <c r="G39" s="742">
        <v>4513</v>
      </c>
      <c r="H39" s="743" t="s">
        <v>158</v>
      </c>
      <c r="I39" s="311">
        <v>120</v>
      </c>
      <c r="J39" s="1365" t="str">
        <f>IF(I39&lt;0,"inga minusbelopp","")</f>
        <v/>
      </c>
      <c r="K39" s="4"/>
      <c r="L39" s="847"/>
      <c r="M39" s="848"/>
      <c r="N39" s="846" t="s">
        <v>807</v>
      </c>
      <c r="O39" s="1464"/>
      <c r="P39" s="1464"/>
      <c r="Q39" s="152"/>
      <c r="R39" s="1707"/>
      <c r="S39" s="1708"/>
      <c r="T39" s="1467"/>
    </row>
    <row r="40" spans="1:22" s="216" customFormat="1" ht="13.5" thickBot="1">
      <c r="A40" s="840">
        <v>600</v>
      </c>
      <c r="B40" s="841">
        <v>451</v>
      </c>
      <c r="C40" s="842" t="s">
        <v>744</v>
      </c>
      <c r="D40" s="204">
        <v>12453</v>
      </c>
      <c r="E40" s="249"/>
      <c r="F40" s="2256">
        <v>603</v>
      </c>
      <c r="G40" s="2257">
        <v>4514</v>
      </c>
      <c r="H40" s="2258" t="s">
        <v>159</v>
      </c>
      <c r="I40" s="2259">
        <v>0</v>
      </c>
      <c r="J40" s="149" t="str">
        <f>IF(I40&lt;0,"inga minusbelopp",IF(SUM(I39:I40)&gt;D40,"Däravraderna 602+ 603 &gt; rad 600",IF(I40&gt;Drift!H48,"Ska i Driften redovisas på rad 412, kol. Bidrag","")))</f>
        <v/>
      </c>
      <c r="K40" s="149"/>
      <c r="L40" s="1345"/>
      <c r="M40" s="1343"/>
      <c r="N40" s="2310"/>
      <c r="O40" s="1462"/>
      <c r="P40" s="1462"/>
      <c r="Q40" s="1467"/>
      <c r="R40" s="1476"/>
      <c r="S40" s="1476"/>
      <c r="T40" s="1467"/>
    </row>
    <row r="41" spans="1:22" s="216" customFormat="1" ht="18" customHeight="1">
      <c r="A41" s="587">
        <v>610</v>
      </c>
      <c r="B41" s="588">
        <v>452</v>
      </c>
      <c r="C41" s="581" t="s">
        <v>745</v>
      </c>
      <c r="D41" s="107">
        <v>1024</v>
      </c>
      <c r="E41" s="249"/>
      <c r="F41" s="849">
        <v>630</v>
      </c>
      <c r="G41" s="850">
        <v>4538</v>
      </c>
      <c r="H41" s="1475" t="s">
        <v>888</v>
      </c>
      <c r="I41" s="1399">
        <v>4362</v>
      </c>
      <c r="J41" s="315" t="str">
        <f>IF(I41&gt;Drift!H75,"Kontrollera mot bidrag i avd. Drift",IF('Verks int o kostn'!I41="","Belopp saknas",""))</f>
        <v/>
      </c>
      <c r="K41" s="315"/>
      <c r="L41" s="840"/>
      <c r="M41" s="811"/>
      <c r="N41" s="2311"/>
      <c r="O41" s="1462"/>
      <c r="P41" s="1462"/>
      <c r="Q41" s="1467"/>
      <c r="R41" s="1476"/>
      <c r="S41" s="1476"/>
      <c r="T41" s="1467"/>
    </row>
    <row r="42" spans="1:22" s="216" customFormat="1" ht="20.25" customHeight="1" thickBot="1">
      <c r="A42" s="587">
        <v>620</v>
      </c>
      <c r="B42" s="585">
        <v>453</v>
      </c>
      <c r="C42" s="586" t="s">
        <v>828</v>
      </c>
      <c r="D42" s="186">
        <v>14377</v>
      </c>
      <c r="E42" s="249"/>
      <c r="F42" s="604">
        <v>631</v>
      </c>
      <c r="G42" s="2006" t="s">
        <v>1197</v>
      </c>
      <c r="H42" s="2007" t="s">
        <v>1202</v>
      </c>
      <c r="I42" s="246">
        <v>1790</v>
      </c>
      <c r="J42" s="149" t="str">
        <f>IF(AND(D42=0,I41=0,I42=0),"",IF(AND(I41&gt;10,I41=I42),"Ej ersättn.pers.assistent på rad 631",IF(SUM(I41:I42)&gt;D42,"Däravraderna 630+631 &gt; rad 620","")))</f>
        <v/>
      </c>
      <c r="K42" s="149"/>
      <c r="L42" s="579"/>
      <c r="M42" s="832"/>
      <c r="N42" s="2312"/>
      <c r="O42" s="1462"/>
      <c r="P42" s="1462"/>
      <c r="Q42" s="1467"/>
      <c r="R42" s="1476"/>
      <c r="S42" s="1476"/>
      <c r="T42" s="1467"/>
    </row>
    <row r="43" spans="1:22" s="216" customFormat="1">
      <c r="A43" s="699">
        <v>650</v>
      </c>
      <c r="B43" s="585">
        <v>454</v>
      </c>
      <c r="C43" s="586" t="s">
        <v>1077</v>
      </c>
      <c r="D43" s="186">
        <v>1277</v>
      </c>
      <c r="E43" s="249" t="str">
        <f>IF(D43&lt;0,"inga minusbelopp","")</f>
        <v/>
      </c>
      <c r="F43" s="1577" t="s">
        <v>899</v>
      </c>
      <c r="G43" s="1578" t="s">
        <v>822</v>
      </c>
      <c r="H43" s="1475" t="s">
        <v>1078</v>
      </c>
      <c r="I43" s="1399">
        <v>1115</v>
      </c>
      <c r="J43" s="149"/>
      <c r="K43" s="149"/>
      <c r="L43" s="840"/>
      <c r="M43" s="811"/>
      <c r="N43" s="2311"/>
      <c r="O43" s="1462"/>
      <c r="P43" s="1462"/>
      <c r="Q43" s="1467"/>
      <c r="R43" s="1476"/>
      <c r="S43" s="1476"/>
      <c r="T43" s="1467"/>
    </row>
    <row r="44" spans="1:22" s="216" customFormat="1" ht="13.5" thickBot="1">
      <c r="A44" s="573">
        <v>690</v>
      </c>
      <c r="B44" s="590"/>
      <c r="C44" s="560" t="s">
        <v>829</v>
      </c>
      <c r="D44" s="377">
        <f>SUM(D40,D41,D42,D43)</f>
        <v>29131</v>
      </c>
      <c r="E44" s="249"/>
      <c r="F44" s="1579">
        <v>652</v>
      </c>
      <c r="G44" s="1580">
        <v>4542</v>
      </c>
      <c r="H44" s="1486" t="s">
        <v>1079</v>
      </c>
      <c r="I44" s="1400">
        <v>163</v>
      </c>
      <c r="J44" s="149" t="str">
        <f>IF(SUM(I43:I44)&lt;(D43),"Däravraderna 651+652 mindre rad 650","")</f>
        <v/>
      </c>
      <c r="L44" s="589">
        <v>690</v>
      </c>
      <c r="M44" s="1327">
        <v>28308</v>
      </c>
      <c r="N44" s="2313">
        <f>IF(ISERROR((D44-M44)/M44),0,((D44-M44)/M44))</f>
        <v>2.9073053553765719E-2</v>
      </c>
      <c r="O44" s="1466"/>
      <c r="P44" s="1466"/>
      <c r="Q44" s="1467"/>
      <c r="R44" s="1468"/>
      <c r="S44" s="1476"/>
      <c r="T44" s="1467"/>
      <c r="V44" s="1461"/>
    </row>
    <row r="45" spans="1:22" s="216" customFormat="1" ht="21.75" customHeight="1">
      <c r="A45" s="591">
        <v>100</v>
      </c>
      <c r="B45" s="1573" t="s">
        <v>885</v>
      </c>
      <c r="C45" s="593" t="s">
        <v>746</v>
      </c>
      <c r="D45" s="107">
        <v>277403</v>
      </c>
      <c r="E45" s="249"/>
      <c r="F45" s="1401">
        <v>102</v>
      </c>
      <c r="G45" s="1402">
        <v>512</v>
      </c>
      <c r="H45" s="1403" t="s">
        <v>160</v>
      </c>
      <c r="I45" s="1404">
        <v>5348</v>
      </c>
      <c r="J45" s="149" t="str">
        <f>IF(SUM(I45)&gt;D45,"Däravrad 102 &gt; rad 100",IF(I45&gt;0,"","Belopp saknas"))</f>
        <v/>
      </c>
      <c r="K45" s="149"/>
      <c r="L45" s="579">
        <v>100</v>
      </c>
      <c r="M45" s="1322">
        <v>267016</v>
      </c>
      <c r="N45" s="2312">
        <f>IF(ISERROR((D45-M45)/M45),0,((D45-M45)/M45))</f>
        <v>3.8900290619288728E-2</v>
      </c>
      <c r="O45" s="1462"/>
      <c r="P45" s="1462"/>
      <c r="Q45" s="1412"/>
      <c r="R45" s="1688"/>
      <c r="S45" s="1708"/>
      <c r="T45" s="1467"/>
    </row>
    <row r="46" spans="1:22" s="216" customFormat="1" ht="18.75">
      <c r="A46" s="576">
        <v>110</v>
      </c>
      <c r="B46" s="577" t="s">
        <v>564</v>
      </c>
      <c r="C46" s="578" t="str">
        <f>"Sociala avg. enl. lag o. avtal (inkl. lönesk för "&amp;År&amp;"), exkl särskild löneskatt på pensi.avsättning"</f>
        <v>Sociala avg. enl. lag o. avtal (inkl. lönesk för 2018), exkl särskild löneskatt på pensi.avsättning</v>
      </c>
      <c r="D46" s="327">
        <v>92266</v>
      </c>
      <c r="E46" s="249" t="str">
        <f>IF(SUM(D46/(D45+D48+D51))&gt;0.5,(ROUND((D46/(D45+D48+D51))*100,1))&amp;" % = höga sociala avgifter-rätta eller kommentera",IF(SUM(D46/(D45+D48+D51))&lt;0.2,(ROUND((D46/(D45+D48+D51))*100,1))&amp;"% = låga sociala avgifter-rätta eller kommentera",""))</f>
        <v/>
      </c>
      <c r="F46" s="606">
        <v>111</v>
      </c>
      <c r="G46" s="1381" t="s">
        <v>813</v>
      </c>
      <c r="H46" s="607" t="s">
        <v>826</v>
      </c>
      <c r="I46" s="245">
        <v>6079</v>
      </c>
      <c r="J46" s="149" t="str">
        <f>IF(I46&gt;D46,"Däravrad 111 &gt; rad 110",IF(I46&lt;1,"Belopp saknas",IF(SUM(I46/(D48+D49+D51))&lt;0.2,(ROUND((I46/(D48+D49+D51))*100,1))&amp;" % = låg löneskatt-rätta eller kommentera",IF(SUM(I46/(D48+D49+D51))&gt;0.26,(ROUND((I46/(D48+D49+D51))*100,1))&amp;"% = hög löneskatt-rätta eller kommentera",""))))</f>
        <v/>
      </c>
      <c r="K46" s="149"/>
      <c r="L46" s="582"/>
      <c r="M46" s="1138"/>
      <c r="N46" s="2314"/>
      <c r="O46" s="1462"/>
      <c r="P46" s="1462"/>
      <c r="Q46" s="1467"/>
      <c r="R46" s="1706"/>
      <c r="S46" s="1706"/>
      <c r="T46" s="1467"/>
    </row>
    <row r="47" spans="1:22" s="216" customFormat="1" ht="16.5" customHeight="1">
      <c r="A47" s="579">
        <v>115</v>
      </c>
      <c r="B47" s="580" t="s">
        <v>563</v>
      </c>
      <c r="C47" s="581" t="s">
        <v>141</v>
      </c>
      <c r="D47" s="107">
        <v>3730</v>
      </c>
      <c r="E47" s="249" t="str">
        <f>IF(ABS(D47-Drift!P119)&gt;50,"beloppet avviker med" &amp;" "&amp;(ROUND(D47-Drift!P119,0))&amp;" tkr från beloppet på rad 980 i driften - rätta eller kommentera","")</f>
        <v/>
      </c>
      <c r="F47" s="4"/>
      <c r="G47" s="4"/>
      <c r="H47" s="71"/>
      <c r="L47" s="579">
        <v>115</v>
      </c>
      <c r="M47" s="1322">
        <v>2247</v>
      </c>
      <c r="N47" s="2312">
        <f>IF(ISERROR((D47-M47)/M47),0,((D47-M47)/M47))</f>
        <v>0.65999109924343569</v>
      </c>
      <c r="O47" s="1462"/>
      <c r="P47" s="1462"/>
      <c r="Q47" s="1467"/>
      <c r="R47" s="1467"/>
      <c r="S47" s="1467"/>
      <c r="T47" s="1467"/>
    </row>
    <row r="48" spans="1:22" s="216" customFormat="1">
      <c r="A48" s="582">
        <v>120</v>
      </c>
      <c r="B48" s="583">
        <v>573</v>
      </c>
      <c r="C48" s="581" t="s">
        <v>1062</v>
      </c>
      <c r="D48" s="241">
        <v>9872</v>
      </c>
      <c r="E48" s="249"/>
      <c r="F48" s="741">
        <v>121</v>
      </c>
      <c r="G48" s="742" t="s">
        <v>582</v>
      </c>
      <c r="H48" s="801" t="s">
        <v>874</v>
      </c>
      <c r="I48" s="311">
        <v>1056</v>
      </c>
      <c r="J48" s="1365" t="str">
        <f>IF(D48=0,"",IF(I48&lt;100,"beloppet på rad 121 borde vara högre",IF(I49&lt;I48,"rad 121  borde vara mindre än rad 122","")))</f>
        <v/>
      </c>
      <c r="L48" s="576">
        <v>120</v>
      </c>
      <c r="M48" s="1312">
        <v>9666</v>
      </c>
      <c r="N48" s="2316">
        <f>IF(ISERROR((D48-M48)/M48),0,((D48-M48)/M48))</f>
        <v>2.1311814607903993E-2</v>
      </c>
      <c r="O48" s="1465"/>
      <c r="P48" s="1465"/>
      <c r="Q48" s="1467"/>
      <c r="R48" s="1476"/>
      <c r="S48" s="1476"/>
      <c r="T48" s="1467"/>
    </row>
    <row r="49" spans="1:20" s="216" customFormat="1">
      <c r="A49" s="582">
        <v>180</v>
      </c>
      <c r="B49" s="585">
        <v>571</v>
      </c>
      <c r="C49" s="581" t="s">
        <v>830</v>
      </c>
      <c r="D49" s="186">
        <v>1926</v>
      </c>
      <c r="E49" s="249"/>
      <c r="F49" s="744">
        <v>122</v>
      </c>
      <c r="G49" s="700" t="s">
        <v>583</v>
      </c>
      <c r="H49" s="804" t="s">
        <v>875</v>
      </c>
      <c r="I49" s="312">
        <v>8580</v>
      </c>
      <c r="J49" s="2265" t="str">
        <f>IF(SUM(I48:I50)&lt;D48-2,(ROUND(SUM((D48)-SUM(I48:I50)),0)&amp;" tkr för lite fördelat på raderna 121, 122 o 123"),"")</f>
        <v/>
      </c>
      <c r="K49" s="4"/>
      <c r="L49" s="582"/>
      <c r="M49" s="1138"/>
      <c r="N49" s="2314"/>
      <c r="O49" s="1462"/>
      <c r="P49" s="1462"/>
      <c r="Q49" s="1467"/>
      <c r="R49" s="1476"/>
      <c r="S49" s="1476"/>
      <c r="T49" s="1467"/>
    </row>
    <row r="50" spans="1:20" s="216" customFormat="1">
      <c r="A50" s="587">
        <v>186</v>
      </c>
      <c r="B50" s="588">
        <v>574</v>
      </c>
      <c r="C50" s="581" t="s">
        <v>6</v>
      </c>
      <c r="D50" s="107">
        <v>112</v>
      </c>
      <c r="E50" s="249"/>
      <c r="F50" s="746">
        <v>123</v>
      </c>
      <c r="G50" s="853">
        <v>5733</v>
      </c>
      <c r="H50" s="605" t="s">
        <v>876</v>
      </c>
      <c r="I50" s="313">
        <v>236</v>
      </c>
      <c r="J50" s="2265" t="str">
        <f>IF(I50="","skriv belopp eller 0",IF(SUM(I48:I50)&gt;D48,"Däravraderna 121+122+123 &gt; rad 120",""))</f>
        <v/>
      </c>
      <c r="K50" s="164"/>
      <c r="L50" s="840"/>
      <c r="M50" s="1129"/>
      <c r="N50" s="2311"/>
      <c r="O50" s="1462"/>
      <c r="P50" s="1462"/>
      <c r="Q50" s="1467"/>
      <c r="R50" s="1476"/>
      <c r="S50" s="1476"/>
      <c r="T50" s="1467"/>
    </row>
    <row r="51" spans="1:20" s="216" customFormat="1">
      <c r="A51" s="587">
        <v>185</v>
      </c>
      <c r="B51" s="585">
        <v>575</v>
      </c>
      <c r="C51" s="586" t="str">
        <f>"Pensionskostnad, avgiftsbestämd ålderspension"</f>
        <v>Pensionskostnad, avgiftsbestämd ålderspension</v>
      </c>
      <c r="D51" s="186">
        <v>13370</v>
      </c>
      <c r="E51" s="2228" t="str">
        <f>IF(SUM(D51/D45)&gt;0.06,(ROUND((D51/D45)*100,1))&amp;" % = hög pens.kostn.",IF(SUM(D51/D45)&lt;0.03,(ROUND((D51/D45)*100,1))&amp;"% = låg pensionskostnad - rätta eller kommentera",""))</f>
        <v/>
      </c>
      <c r="F51" s="4"/>
      <c r="G51" s="4"/>
      <c r="H51" s="71"/>
      <c r="K51" s="4"/>
      <c r="L51" s="840"/>
      <c r="M51" s="1129"/>
      <c r="N51" s="2311"/>
      <c r="O51" s="1462"/>
      <c r="P51" s="1462"/>
      <c r="Q51" s="1467"/>
      <c r="R51" s="1476"/>
      <c r="S51" s="1476"/>
      <c r="T51" s="178"/>
    </row>
    <row r="52" spans="1:20" s="216" customFormat="1" ht="13.5" thickBot="1">
      <c r="A52" s="589">
        <v>189</v>
      </c>
      <c r="B52" s="590"/>
      <c r="C52" s="560" t="s">
        <v>747</v>
      </c>
      <c r="D52" s="377">
        <f>SUM(D45,D46,D47,D48,D49,D50,D51)</f>
        <v>398679</v>
      </c>
      <c r="E52" s="249"/>
      <c r="F52" s="4"/>
      <c r="G52" s="4"/>
      <c r="H52" s="71"/>
      <c r="I52" s="71"/>
      <c r="L52" s="589"/>
      <c r="M52" s="1327"/>
      <c r="N52" s="2313"/>
      <c r="O52" s="1466"/>
      <c r="P52" s="1466"/>
      <c r="Q52" s="1467"/>
      <c r="R52" s="1468"/>
      <c r="S52" s="1468"/>
      <c r="T52" s="178"/>
    </row>
    <row r="53" spans="1:20" s="216" customFormat="1">
      <c r="A53" s="591">
        <v>300</v>
      </c>
      <c r="B53" s="588" t="s">
        <v>866</v>
      </c>
      <c r="C53" s="581" t="s">
        <v>865</v>
      </c>
      <c r="D53" s="107">
        <v>9291</v>
      </c>
      <c r="E53" s="249"/>
      <c r="F53" s="738">
        <v>318</v>
      </c>
      <c r="G53" s="851">
        <v>628</v>
      </c>
      <c r="H53" s="852" t="s">
        <v>161</v>
      </c>
      <c r="I53" s="245">
        <v>501</v>
      </c>
      <c r="J53" s="149" t="str">
        <f>IF(SUM(I53)&gt;D53,"Däravrad 318 &gt; rad 300",IF(I53="","Belopp saknas",""))</f>
        <v/>
      </c>
      <c r="K53" s="149"/>
      <c r="L53" s="1345"/>
      <c r="M53" s="1371"/>
      <c r="N53" s="2310"/>
      <c r="O53" s="1462"/>
      <c r="P53" s="1462"/>
      <c r="Q53" s="1412"/>
      <c r="R53" s="1494"/>
      <c r="S53" s="1476"/>
      <c r="T53" s="1467"/>
    </row>
    <row r="54" spans="1:20" s="216" customFormat="1">
      <c r="A54" s="587">
        <v>325</v>
      </c>
      <c r="B54" s="588">
        <v>644</v>
      </c>
      <c r="C54" s="581" t="s">
        <v>748</v>
      </c>
      <c r="D54" s="107">
        <v>7583</v>
      </c>
      <c r="E54" s="249"/>
      <c r="F54" s="4"/>
      <c r="G54" s="4"/>
      <c r="H54" s="71"/>
      <c r="K54" s="4"/>
      <c r="L54" s="840"/>
      <c r="M54" s="1129"/>
      <c r="N54" s="2311"/>
      <c r="O54" s="1462"/>
      <c r="P54" s="1462"/>
      <c r="Q54" s="1467"/>
      <c r="R54" s="1476"/>
      <c r="S54" s="1476"/>
      <c r="T54" s="178"/>
    </row>
    <row r="55" spans="1:20" s="216" customFormat="1">
      <c r="A55" s="587">
        <v>330</v>
      </c>
      <c r="B55" s="588">
        <v>651</v>
      </c>
      <c r="C55" s="581" t="s">
        <v>749</v>
      </c>
      <c r="D55" s="107">
        <v>368</v>
      </c>
      <c r="E55" s="249"/>
      <c r="F55" s="4"/>
      <c r="G55" s="4"/>
      <c r="H55" s="71"/>
      <c r="I55" s="71"/>
      <c r="L55" s="840"/>
      <c r="M55" s="1129"/>
      <c r="N55" s="2311"/>
      <c r="O55" s="1462"/>
      <c r="P55" s="1462"/>
      <c r="Q55" s="1467"/>
      <c r="R55" s="1476"/>
      <c r="S55" s="1476"/>
      <c r="T55" s="178"/>
    </row>
    <row r="56" spans="1:20" s="216" customFormat="1">
      <c r="A56" s="587">
        <v>340</v>
      </c>
      <c r="B56" s="592" t="s">
        <v>723</v>
      </c>
      <c r="C56" s="593" t="s">
        <v>750</v>
      </c>
      <c r="D56" s="107">
        <v>17603</v>
      </c>
      <c r="E56" s="249"/>
      <c r="F56" s="1568" t="s">
        <v>898</v>
      </c>
      <c r="G56" s="1851">
        <v>641</v>
      </c>
      <c r="H56" s="1852" t="s">
        <v>839</v>
      </c>
      <c r="I56" s="1853">
        <v>3232</v>
      </c>
      <c r="J56" s="149" t="str">
        <f>IF(I56&gt;0.5*D56,"Högt belopp för förbrukningsinvent.",IF(SUM(I56:I57)&gt;D56,"Däravrad 341 och 342 &gt; rad 340",IF(I56&gt;0,"","Belopp saknas")))</f>
        <v/>
      </c>
      <c r="K56" s="4"/>
      <c r="L56" s="579"/>
      <c r="M56" s="1322"/>
      <c r="N56" s="2312"/>
      <c r="O56" s="1462"/>
      <c r="P56" s="1462"/>
      <c r="Q56" s="1467"/>
      <c r="R56" s="1494"/>
      <c r="S56" s="1476"/>
      <c r="T56" s="1494"/>
    </row>
    <row r="57" spans="1:20" s="216" customFormat="1" ht="12.75" customHeight="1" thickBot="1">
      <c r="A57" s="589">
        <v>360</v>
      </c>
      <c r="B57" s="594"/>
      <c r="C57" s="595" t="s">
        <v>751</v>
      </c>
      <c r="D57" s="377">
        <f>SUM(D53,D54,D55,D56)</f>
        <v>34845</v>
      </c>
      <c r="E57" s="249"/>
      <c r="F57" s="1570" t="s">
        <v>1109</v>
      </c>
      <c r="G57" s="1903">
        <v>422</v>
      </c>
      <c r="H57" s="1854" t="s">
        <v>1110</v>
      </c>
      <c r="I57" s="1446">
        <v>2127</v>
      </c>
      <c r="J57" s="149" t="str">
        <f>IF(I57="","Skriv belopp eller 0","")</f>
        <v/>
      </c>
      <c r="K57" s="4"/>
      <c r="L57" s="589">
        <v>360</v>
      </c>
      <c r="M57" s="1327">
        <v>33707</v>
      </c>
      <c r="N57" s="2313">
        <f>IF(ISERROR((D57-M57)/M57),0,((D57-M57)/M57))</f>
        <v>3.3761533212685789E-2</v>
      </c>
      <c r="O57" s="1466"/>
      <c r="P57" s="1466"/>
      <c r="Q57" s="1467"/>
      <c r="R57" s="17"/>
      <c r="S57" s="1476"/>
      <c r="T57" s="1494"/>
    </row>
    <row r="58" spans="1:20" s="216" customFormat="1">
      <c r="A58" s="587">
        <v>345</v>
      </c>
      <c r="B58" s="588" t="s">
        <v>883</v>
      </c>
      <c r="C58" s="581" t="s">
        <v>831</v>
      </c>
      <c r="D58" s="107">
        <v>7380</v>
      </c>
      <c r="E58" s="249"/>
      <c r="F58" s="4"/>
      <c r="G58" s="4"/>
      <c r="H58" s="71"/>
      <c r="I58" s="71"/>
      <c r="K58" s="4"/>
      <c r="L58" s="1345"/>
      <c r="M58" s="1371"/>
      <c r="N58" s="2310"/>
      <c r="O58" s="1462"/>
      <c r="P58" s="1462"/>
      <c r="Q58" s="1467"/>
      <c r="R58" s="1476"/>
      <c r="S58" s="1476"/>
      <c r="T58" s="178"/>
    </row>
    <row r="59" spans="1:20" s="216" customFormat="1">
      <c r="A59" s="587">
        <v>401</v>
      </c>
      <c r="B59" s="588">
        <v>46</v>
      </c>
      <c r="C59" s="581" t="s">
        <v>832</v>
      </c>
      <c r="D59" s="107">
        <v>133083</v>
      </c>
      <c r="E59" s="249"/>
      <c r="F59" s="4"/>
      <c r="G59" s="4"/>
      <c r="H59" s="71"/>
      <c r="I59" s="71"/>
      <c r="K59" s="4"/>
      <c r="L59" s="576">
        <v>401</v>
      </c>
      <c r="M59" s="1312">
        <v>130702</v>
      </c>
      <c r="N59" s="2316">
        <f>IF(ISERROR((D59-M59)/M59),0,((D59-M59)/M59))</f>
        <v>1.8217012746553227E-2</v>
      </c>
      <c r="O59" s="1462"/>
      <c r="P59" s="1462"/>
      <c r="Q59" s="1467"/>
      <c r="R59" s="1476"/>
      <c r="S59" s="1476"/>
      <c r="T59" s="178"/>
    </row>
    <row r="60" spans="1:20" s="216" customFormat="1" ht="17.25" customHeight="1">
      <c r="A60" s="587">
        <v>410</v>
      </c>
      <c r="B60" s="588">
        <v>74</v>
      </c>
      <c r="C60" s="581" t="s">
        <v>870</v>
      </c>
      <c r="D60" s="107">
        <v>20915</v>
      </c>
      <c r="E60" s="249"/>
      <c r="F60" s="4"/>
      <c r="G60" s="4"/>
      <c r="H60" s="71"/>
      <c r="I60" s="71"/>
      <c r="K60" s="4"/>
      <c r="L60" s="840"/>
      <c r="M60" s="1129"/>
      <c r="N60" s="2311"/>
      <c r="O60" s="1462"/>
      <c r="P60" s="1462"/>
      <c r="Q60" s="1467"/>
      <c r="R60" s="1700"/>
      <c r="S60" s="1476"/>
      <c r="T60" s="178"/>
    </row>
    <row r="61" spans="1:20" s="216" customFormat="1">
      <c r="A61" s="587">
        <v>411</v>
      </c>
      <c r="B61" s="588">
        <v>75</v>
      </c>
      <c r="C61" s="581" t="s">
        <v>752</v>
      </c>
      <c r="D61" s="107">
        <v>2207</v>
      </c>
      <c r="E61" s="249"/>
      <c r="F61" s="4"/>
      <c r="G61" s="4"/>
      <c r="H61" s="71"/>
      <c r="I61" s="71"/>
      <c r="K61" s="4"/>
      <c r="L61" s="840"/>
      <c r="M61" s="1129"/>
      <c r="N61" s="2311"/>
      <c r="O61" s="1462"/>
      <c r="P61" s="1462"/>
      <c r="Q61" s="1467"/>
      <c r="R61" s="1476"/>
      <c r="S61" s="1476"/>
      <c r="T61" s="178"/>
    </row>
    <row r="62" spans="1:20" s="216" customFormat="1">
      <c r="A62" s="587">
        <v>415</v>
      </c>
      <c r="B62" s="588" t="s">
        <v>884</v>
      </c>
      <c r="C62" s="581" t="s">
        <v>753</v>
      </c>
      <c r="D62" s="107">
        <v>4702</v>
      </c>
      <c r="E62" s="249"/>
      <c r="F62" s="4"/>
      <c r="G62" s="4"/>
      <c r="H62" s="71"/>
      <c r="I62" s="71"/>
      <c r="K62" s="4"/>
      <c r="L62" s="840"/>
      <c r="M62" s="1129"/>
      <c r="N62" s="2311"/>
      <c r="O62" s="1462"/>
      <c r="P62" s="1462"/>
      <c r="Q62" s="1467"/>
      <c r="R62" s="1494"/>
      <c r="S62" s="1476"/>
      <c r="T62" s="178"/>
    </row>
    <row r="63" spans="1:20" s="216" customFormat="1">
      <c r="A63" s="587">
        <v>416</v>
      </c>
      <c r="B63" s="592">
        <v>68</v>
      </c>
      <c r="C63" s="593" t="s">
        <v>754</v>
      </c>
      <c r="D63" s="107">
        <v>2348</v>
      </c>
      <c r="E63" s="249"/>
      <c r="F63" s="4"/>
      <c r="G63" s="4"/>
      <c r="H63" s="71"/>
      <c r="I63" s="71"/>
      <c r="K63" s="4"/>
      <c r="L63" s="840"/>
      <c r="M63" s="1129"/>
      <c r="N63" s="2311"/>
      <c r="O63" s="1462"/>
      <c r="P63" s="1462"/>
      <c r="Q63" s="1467"/>
      <c r="R63" s="1494"/>
      <c r="S63" s="1494"/>
      <c r="T63" s="178"/>
    </row>
    <row r="64" spans="1:20" s="216" customFormat="1">
      <c r="A64" s="587">
        <v>430</v>
      </c>
      <c r="B64" s="592">
        <v>66</v>
      </c>
      <c r="C64" s="593" t="s">
        <v>833</v>
      </c>
      <c r="D64" s="107">
        <v>1722</v>
      </c>
      <c r="E64" s="249"/>
      <c r="F64" s="4"/>
      <c r="G64" s="4"/>
      <c r="H64" s="71"/>
      <c r="I64" s="71"/>
      <c r="K64" s="4"/>
      <c r="L64" s="840"/>
      <c r="M64" s="1129"/>
      <c r="N64" s="2311"/>
      <c r="O64" s="1462"/>
      <c r="P64" s="1462"/>
      <c r="Q64" s="1467"/>
      <c r="R64" s="1494"/>
      <c r="S64" s="1494"/>
      <c r="T64" s="178"/>
    </row>
    <row r="65" spans="1:22" s="216" customFormat="1">
      <c r="A65" s="587">
        <v>440</v>
      </c>
      <c r="B65" s="592">
        <v>701</v>
      </c>
      <c r="C65" s="593" t="s">
        <v>755</v>
      </c>
      <c r="D65" s="107">
        <v>6759</v>
      </c>
      <c r="E65" s="249"/>
      <c r="F65" s="4"/>
      <c r="G65" s="4"/>
      <c r="H65" s="71"/>
      <c r="I65" s="71"/>
      <c r="K65" s="4"/>
      <c r="L65" s="579"/>
      <c r="M65" s="1322"/>
      <c r="N65" s="2312"/>
      <c r="O65" s="1462"/>
      <c r="P65" s="1462"/>
      <c r="Q65" s="1467"/>
      <c r="R65" s="1476"/>
      <c r="S65" s="1494"/>
      <c r="T65" s="178"/>
    </row>
    <row r="66" spans="1:22" s="216" customFormat="1">
      <c r="A66" s="587">
        <v>450</v>
      </c>
      <c r="B66" s="592">
        <v>601</v>
      </c>
      <c r="C66" s="593" t="s">
        <v>756</v>
      </c>
      <c r="D66" s="107">
        <v>33729</v>
      </c>
      <c r="E66" s="249"/>
      <c r="F66" s="4"/>
      <c r="G66" s="4"/>
      <c r="H66" s="71"/>
      <c r="I66" s="71"/>
      <c r="K66" s="4"/>
      <c r="L66" s="576">
        <v>450</v>
      </c>
      <c r="M66" s="1312">
        <v>31958</v>
      </c>
      <c r="N66" s="2316">
        <f>IF(ISERROR((D66-M66)/M66),0,((D66-M66)/M66))</f>
        <v>5.5416484135427747E-2</v>
      </c>
      <c r="O66" s="1462"/>
      <c r="P66" s="1462"/>
      <c r="Q66" s="1467"/>
      <c r="R66" s="1494"/>
      <c r="S66" s="1494"/>
      <c r="T66" s="178"/>
    </row>
    <row r="67" spans="1:22" s="216" customFormat="1" ht="20.25" customHeight="1">
      <c r="A67" s="587">
        <v>460</v>
      </c>
      <c r="B67" s="592">
        <v>602</v>
      </c>
      <c r="C67" s="593" t="s">
        <v>757</v>
      </c>
      <c r="D67" s="107">
        <v>78</v>
      </c>
      <c r="E67" s="249"/>
      <c r="F67" s="1904">
        <v>469</v>
      </c>
      <c r="G67" s="1905" t="s">
        <v>1081</v>
      </c>
      <c r="H67" s="1712" t="s">
        <v>1270</v>
      </c>
      <c r="I67" s="1710">
        <v>3325</v>
      </c>
      <c r="K67" s="4"/>
      <c r="L67" s="582"/>
      <c r="M67" s="1138"/>
      <c r="N67" s="2314"/>
      <c r="O67" s="1462"/>
      <c r="P67" s="1462"/>
      <c r="Q67" s="1467"/>
      <c r="R67" s="1494"/>
      <c r="S67" s="1494"/>
      <c r="T67" s="1467"/>
    </row>
    <row r="68" spans="1:22" s="216" customFormat="1" ht="18.75" customHeight="1">
      <c r="A68" s="587">
        <v>470</v>
      </c>
      <c r="B68" s="1572" t="s">
        <v>872</v>
      </c>
      <c r="C68" s="618" t="s">
        <v>873</v>
      </c>
      <c r="D68" s="242">
        <v>7945</v>
      </c>
      <c r="E68" s="249"/>
      <c r="F68" s="744">
        <v>472</v>
      </c>
      <c r="G68" s="745">
        <v>731</v>
      </c>
      <c r="H68" s="1292" t="s">
        <v>1271</v>
      </c>
      <c r="I68" s="1711">
        <v>1109</v>
      </c>
      <c r="K68" s="4"/>
      <c r="L68" s="840"/>
      <c r="M68" s="1129"/>
      <c r="N68" s="2311"/>
      <c r="O68" s="1462"/>
      <c r="P68" s="1462"/>
      <c r="Q68" s="1467"/>
      <c r="R68" s="1476"/>
      <c r="S68" s="1476"/>
      <c r="T68" s="1467"/>
    </row>
    <row r="69" spans="1:22" s="216" customFormat="1">
      <c r="A69" s="587">
        <v>471</v>
      </c>
      <c r="B69" s="588" t="s">
        <v>724</v>
      </c>
      <c r="C69" s="581" t="s">
        <v>758</v>
      </c>
      <c r="D69" s="108">
        <v>12432</v>
      </c>
      <c r="E69" s="249"/>
      <c r="F69" s="744">
        <v>474</v>
      </c>
      <c r="G69" s="700">
        <v>732</v>
      </c>
      <c r="H69" s="804" t="s">
        <v>1272</v>
      </c>
      <c r="I69" s="312">
        <v>85</v>
      </c>
      <c r="K69" s="4"/>
      <c r="L69" s="579"/>
      <c r="M69" s="1322"/>
      <c r="N69" s="2312"/>
      <c r="O69" s="1462"/>
      <c r="P69" s="1462"/>
      <c r="Q69" s="1467"/>
      <c r="R69" s="1476"/>
      <c r="S69" s="1476"/>
      <c r="T69" s="1467"/>
    </row>
    <row r="70" spans="1:22" s="216" customFormat="1" ht="18.75" thickBot="1">
      <c r="A70" s="596">
        <v>479</v>
      </c>
      <c r="B70" s="597"/>
      <c r="C70" s="598" t="s">
        <v>759</v>
      </c>
      <c r="D70" s="378">
        <f>SUM(D58:D69)</f>
        <v>233300</v>
      </c>
      <c r="E70" s="249"/>
      <c r="F70" s="2247">
        <v>476</v>
      </c>
      <c r="G70" s="2251" t="s">
        <v>1295</v>
      </c>
      <c r="H70" s="2161" t="s">
        <v>1280</v>
      </c>
      <c r="I70" s="312">
        <v>626</v>
      </c>
      <c r="K70" s="4"/>
      <c r="L70" s="589">
        <v>479</v>
      </c>
      <c r="M70" s="1327">
        <v>227548</v>
      </c>
      <c r="N70" s="2313">
        <f>IF(ISERROR((D70-M70)/M70),0,((D70-M70)/M70))</f>
        <v>2.5278183064672069E-2</v>
      </c>
      <c r="O70" s="1466"/>
      <c r="P70" s="1466"/>
      <c r="Q70" s="1467"/>
      <c r="R70" s="1468"/>
      <c r="S70" s="1476"/>
      <c r="T70" s="1467"/>
    </row>
    <row r="71" spans="1:22" s="216" customFormat="1" ht="18" customHeight="1">
      <c r="A71" s="599">
        <v>897</v>
      </c>
      <c r="B71" s="1572" t="s">
        <v>871</v>
      </c>
      <c r="C71" s="581" t="s">
        <v>1296</v>
      </c>
      <c r="D71" s="243">
        <v>462</v>
      </c>
      <c r="E71" s="2229" t="str">
        <f>IF(ABS(SUM(D71+D73)-Drift!P121)&gt;50,ROUND(SUM(D71+D73)-Drift!P121,0)&amp; "tkr diff. mot rad 985, kol. P i Driften-rätta eller kommentera","")</f>
        <v/>
      </c>
      <c r="F71" s="744">
        <v>477</v>
      </c>
      <c r="G71" s="700">
        <v>737</v>
      </c>
      <c r="H71" s="804" t="s">
        <v>1273</v>
      </c>
      <c r="I71" s="312">
        <v>15</v>
      </c>
      <c r="K71" s="4"/>
      <c r="L71" s="1345"/>
      <c r="M71" s="1371"/>
      <c r="N71" s="2310"/>
      <c r="O71" s="1462"/>
      <c r="P71" s="1462"/>
      <c r="Q71" s="1467"/>
      <c r="R71" s="1709"/>
      <c r="S71" s="1476"/>
      <c r="T71" s="1467"/>
    </row>
    <row r="72" spans="1:22" s="216" customFormat="1" ht="12.75" customHeight="1">
      <c r="A72" s="576">
        <v>899</v>
      </c>
      <c r="B72" s="1574">
        <v>787</v>
      </c>
      <c r="C72" s="593" t="s">
        <v>823</v>
      </c>
      <c r="D72" s="240">
        <v>685</v>
      </c>
      <c r="E72" s="249"/>
      <c r="F72" s="1682" t="s">
        <v>258</v>
      </c>
      <c r="G72" s="700"/>
      <c r="H72" s="804" t="s">
        <v>1043</v>
      </c>
      <c r="I72" s="312">
        <v>0</v>
      </c>
      <c r="J72" s="149" t="str">
        <f>IF(I72&gt;I71,"rad 479 &gt; rad 477",IF(AND(I71&gt;0,I72=""),"skriv belopp eller 0",""))</f>
        <v/>
      </c>
      <c r="K72" s="4"/>
      <c r="L72" s="840"/>
      <c r="M72" s="1129"/>
      <c r="N72" s="2311"/>
      <c r="O72" s="1462"/>
      <c r="P72" s="1462"/>
      <c r="Q72" s="1467"/>
      <c r="R72" s="1476"/>
      <c r="S72" s="1467"/>
      <c r="T72" s="1467"/>
    </row>
    <row r="73" spans="1:22" s="216" customFormat="1" ht="12.75" customHeight="1" thickBot="1">
      <c r="A73" s="596">
        <v>900</v>
      </c>
      <c r="B73" s="600">
        <v>789</v>
      </c>
      <c r="C73" s="601" t="s">
        <v>379</v>
      </c>
      <c r="D73" s="244">
        <v>8</v>
      </c>
      <c r="E73" s="325" t="str">
        <f>IF(D73&lt;500,"","Komment.vad övr.periodiseringar avser")</f>
        <v/>
      </c>
      <c r="F73" s="854">
        <v>478</v>
      </c>
      <c r="G73" s="700" t="s">
        <v>837</v>
      </c>
      <c r="H73" s="804" t="s">
        <v>1274</v>
      </c>
      <c r="I73" s="312">
        <v>2093</v>
      </c>
      <c r="K73" s="149"/>
      <c r="L73" s="840"/>
      <c r="M73" s="1129"/>
      <c r="N73" s="2311"/>
      <c r="O73" s="1462"/>
      <c r="P73" s="1462"/>
      <c r="Q73" s="1467"/>
      <c r="R73" s="1467"/>
      <c r="S73" s="1467"/>
      <c r="T73" s="1467"/>
    </row>
    <row r="74" spans="1:22" s="216" customFormat="1" ht="18" customHeight="1" thickBot="1">
      <c r="A74" s="591">
        <v>887</v>
      </c>
      <c r="B74" s="592"/>
      <c r="C74" s="602" t="s">
        <v>680</v>
      </c>
      <c r="D74" s="379">
        <f>SUM(D44+D52+D57+D70+D71+D72+D73)</f>
        <v>697110</v>
      </c>
      <c r="F74" s="604">
        <v>473</v>
      </c>
      <c r="G74" s="1576" t="s">
        <v>908</v>
      </c>
      <c r="H74" s="1488" t="s">
        <v>1275</v>
      </c>
      <c r="I74" s="313">
        <v>392</v>
      </c>
      <c r="J74" s="149" t="str">
        <f>IF(AND(D68=0,SUM(I67:I74)=0),"",IF(SUM(I67:I71,I73,I74)&lt;D68,"",IF((SUM(D68)/(SUM(I67:I71,I73,I74)))&lt;&gt;1,"däravraderna 469-478 är" &amp;" "&amp;(ROUND(SUM(I67:I71,I73,I74)-D68,0))&amp;"  tkr större än rad huvudrad 470-rätta eller kommentera","")))</f>
        <v/>
      </c>
      <c r="K74" s="4"/>
      <c r="L74" s="573"/>
      <c r="M74" s="1372"/>
      <c r="N74" s="2315"/>
      <c r="O74" s="1466"/>
      <c r="P74" s="1466"/>
      <c r="Q74" s="1412"/>
      <c r="R74" s="1494"/>
      <c r="S74" s="1494"/>
      <c r="T74" s="1467"/>
    </row>
    <row r="75" spans="1:22" s="216" customFormat="1" ht="15.75" customHeight="1" thickBot="1">
      <c r="A75" s="603" t="s">
        <v>471</v>
      </c>
      <c r="B75" s="590"/>
      <c r="C75" s="560" t="s">
        <v>95</v>
      </c>
      <c r="D75" s="321">
        <f>RR!C8</f>
        <v>697110</v>
      </c>
      <c r="E75" s="249"/>
      <c r="F75" s="2542"/>
      <c r="G75" s="2543"/>
      <c r="H75" s="2543"/>
      <c r="I75" s="249" t="str">
        <f>IF(AND(D68&gt;10000,SUM(I67:I71)+SUM(I73:I74)&lt;0.9*D68),"vad avser de" &amp;" "&amp;(ROUND(D68-SUM(I67:I71,I73:I74),0))&amp; "tkr av beloppet på rad 470 som inte fördelats på däravraderna 469-473?","")</f>
        <v/>
      </c>
      <c r="J75" s="2162"/>
      <c r="L75" s="1346"/>
      <c r="M75" s="1347"/>
      <c r="N75" s="1348"/>
      <c r="O75" s="1462"/>
      <c r="P75" s="1462"/>
      <c r="Q75" s="178"/>
      <c r="R75" s="1468"/>
      <c r="S75" s="1468"/>
      <c r="T75" s="178"/>
    </row>
    <row r="76" spans="1:22" s="216" customFormat="1" ht="56.25" customHeight="1">
      <c r="A76" s="153" t="s">
        <v>1111</v>
      </c>
      <c r="B76" s="1575"/>
      <c r="C76" s="1575"/>
      <c r="D76" s="1866" t="str">
        <f>IF(ABS(D74-D75)&lt;50,"",IF(OR(D74=0,D75=0),"",IF((SUM(D74)/(D75))&lt;&gt;1,(ROUND(D74-D75,0))&amp;" tkr diff mellan verks. kostnader i RR och verks. kostnader här - måste rättas!","")))</f>
        <v/>
      </c>
      <c r="F76" s="2544"/>
      <c r="G76" s="2544"/>
      <c r="H76" s="2544"/>
      <c r="I76" s="2544"/>
      <c r="J76" s="2544"/>
      <c r="K76" s="4"/>
      <c r="O76" s="178"/>
      <c r="Q76" s="178"/>
      <c r="R76" s="1473"/>
      <c r="S76" s="1473"/>
      <c r="T76" s="178"/>
    </row>
    <row r="77" spans="1:22" s="216" customFormat="1" ht="12.75" customHeight="1">
      <c r="A77" s="153" t="s">
        <v>909</v>
      </c>
      <c r="B77" s="86"/>
      <c r="C77" s="86"/>
      <c r="D77" s="4"/>
      <c r="F77" s="2544"/>
      <c r="G77" s="2544"/>
      <c r="H77" s="2544"/>
      <c r="I77" s="2544"/>
      <c r="J77" s="2544"/>
      <c r="K77" s="4"/>
      <c r="O77" s="178"/>
      <c r="Q77" s="178"/>
      <c r="R77" s="2541"/>
      <c r="S77" s="2541"/>
      <c r="T77" s="2541"/>
    </row>
    <row r="78" spans="1:22" s="216" customFormat="1">
      <c r="A78" s="178"/>
      <c r="B78" s="178"/>
      <c r="C78" s="178"/>
      <c r="D78" s="178"/>
      <c r="F78" s="2544"/>
      <c r="G78" s="2544"/>
      <c r="H78" s="2544"/>
      <c r="I78" s="2544"/>
      <c r="J78" s="2544"/>
      <c r="K78" s="4"/>
      <c r="L78" s="178"/>
      <c r="M78" s="178"/>
      <c r="N78" s="178"/>
      <c r="O78" s="178"/>
      <c r="P78" s="178"/>
      <c r="Q78" s="178"/>
      <c r="R78" s="2541"/>
      <c r="S78" s="2541"/>
      <c r="T78" s="2541"/>
      <c r="U78" s="178"/>
      <c r="V78" s="178"/>
    </row>
    <row r="79" spans="1:22">
      <c r="F79" s="4"/>
      <c r="G79" s="4"/>
      <c r="H79" s="4"/>
      <c r="I79" s="4"/>
      <c r="J79" s="4"/>
    </row>
    <row r="80" spans="1:22"/>
    <row r="81"/>
    <row r="82"/>
    <row r="83" hidden="1"/>
    <row r="84" hidden="1"/>
    <row r="85" hidden="1"/>
    <row r="86" hidden="1"/>
    <row r="87" hidden="1"/>
    <row r="88" hidden="1"/>
    <row r="89" hidden="1"/>
    <row r="90"/>
  </sheetData>
  <sheetProtection password="CBFD" sheet="1" objects="1" scenarios="1"/>
  <customSheetViews>
    <customSheetView guid="{27C9E95B-0E2B-454F-B637-1CECC9579A10}" showGridLines="0" hiddenRows="1" showRuler="0">
      <selection activeCell="J73" sqref="J73"/>
      <rowBreaks count="1" manualBreakCount="1">
        <brk id="34" max="8" man="1"/>
      </rowBreaks>
      <pageMargins left="0.31496062992125984" right="0.31496062992125984" top="0.74803149606299213" bottom="0.74803149606299213" header="0.31496062992125984" footer="0.31496062992125984"/>
      <pageSetup paperSize="9" scale="80" orientation="portrait" r:id="rId1"/>
      <headerFooter alignWithMargins="0">
        <oddHeader>&amp;L&amp;8Statistiska Centralbyrån
Offentlig ekonomi&amp;R&amp;P</oddHeader>
      </headerFooter>
    </customSheetView>
    <customSheetView guid="{99FBDEB7-DD08-4F57-81F4-3C180403E153}" showGridLines="0" hiddenRows="1" hiddenColumns="1" topLeftCell="A15">
      <selection activeCell="E34" sqref="E34"/>
      <rowBreaks count="1" manualBreakCount="1">
        <brk id="34" max="8" man="1"/>
      </rowBreaks>
      <pageMargins left="0.31496062992125984" right="0.31496062992125984" top="0.74803149606299213" bottom="0.74803149606299213" header="0.31496062992125984" footer="0.31496062992125984"/>
      <pageSetup paperSize="9" scale="80" orientation="portrait" r:id="rId2"/>
      <headerFooter>
        <oddHeader>&amp;L&amp;8Statistiska Centralbyrån
Offentlig ekonomi&amp;R&amp;P</oddHeader>
      </headerFooter>
    </customSheetView>
    <customSheetView guid="{97D6DB71-3F4C-4C5F-8C5B-51E3EBF78932}" showPageBreaks="1" showGridLines="0" hiddenRows="1" hiddenColumns="1">
      <selection activeCell="C60" sqref="C60"/>
      <rowBreaks count="1" manualBreakCount="1">
        <brk id="34" max="8" man="1"/>
      </rowBreaks>
      <pageMargins left="0.31496062992125984" right="0.31496062992125984" top="0.74803149606299213" bottom="0.74803149606299213" header="0.31496062992125984" footer="0.31496062992125984"/>
      <pageSetup paperSize="9" scale="80" orientation="portrait" r:id="rId3"/>
      <headerFooter>
        <oddHeader>&amp;L&amp;8Statistiska Centralbyrån
Offentlig ekonomi&amp;R&amp;P</oddHeader>
      </headerFooter>
    </customSheetView>
  </customSheetViews>
  <mergeCells count="6">
    <mergeCell ref="R77:T78"/>
    <mergeCell ref="F75:H75"/>
    <mergeCell ref="F76:J78"/>
    <mergeCell ref="B6:B7"/>
    <mergeCell ref="B38:B39"/>
    <mergeCell ref="F34:J35"/>
  </mergeCells>
  <phoneticPr fontId="9" type="noConversion"/>
  <conditionalFormatting sqref="I17:I20">
    <cfRule type="cellIs" dxfId="117" priority="12" stopIfTrue="1" operator="lessThan">
      <formula>-500</formula>
    </cfRule>
  </conditionalFormatting>
  <conditionalFormatting sqref="I23:I24">
    <cfRule type="cellIs" dxfId="116" priority="11" stopIfTrue="1" operator="lessThan">
      <formula>-500</formula>
    </cfRule>
  </conditionalFormatting>
  <conditionalFormatting sqref="I56">
    <cfRule type="cellIs" dxfId="115" priority="10" stopIfTrue="1" operator="lessThan">
      <formula>-500</formula>
    </cfRule>
  </conditionalFormatting>
  <conditionalFormatting sqref="I26:I28">
    <cfRule type="cellIs" dxfId="114" priority="8" stopIfTrue="1" operator="lessThan">
      <formula>-500</formula>
    </cfRule>
  </conditionalFormatting>
  <conditionalFormatting sqref="D43 I43:I44">
    <cfRule type="cellIs" dxfId="113" priority="6" stopIfTrue="1" operator="lessThan">
      <formula>0</formula>
    </cfRule>
  </conditionalFormatting>
  <conditionalFormatting sqref="I67">
    <cfRule type="cellIs" dxfId="112" priority="5" stopIfTrue="1" operator="lessThan">
      <formula>-500</formula>
    </cfRule>
  </conditionalFormatting>
  <conditionalFormatting sqref="I67">
    <cfRule type="cellIs" dxfId="111" priority="4" stopIfTrue="1" operator="lessThan">
      <formula>-500</formula>
    </cfRule>
  </conditionalFormatting>
  <conditionalFormatting sqref="D8:D11 D13:D15 D26:D28 I23:I24 I26:I27 D30:D32 D40:D43 D45:D46 D48:D51 D53:D56 D58:D69 D71 D73 I67:I74 I56 I53 I48:I50 I39:I46 D17:D24">
    <cfRule type="cellIs" dxfId="110" priority="3" stopIfTrue="1" operator="lessThan">
      <formula>-500</formula>
    </cfRule>
  </conditionalFormatting>
  <conditionalFormatting sqref="I57">
    <cfRule type="cellIs" dxfId="109" priority="2" stopIfTrue="1" operator="lessThan">
      <formula>-500</formula>
    </cfRule>
  </conditionalFormatting>
  <conditionalFormatting sqref="I57">
    <cfRule type="cellIs" dxfId="108" priority="1" stopIfTrue="1" operator="lessThan">
      <formula>-500</formula>
    </cfRule>
  </conditionalFormatting>
  <dataValidations disablePrompts="1" count="3">
    <dataValidation type="decimal" operator="lessThan" allowBlank="1" showInputMessage="1" showErrorMessage="1" error="Beloppet ska vara i 1000 tal kronor" sqref="I48:I50 D53:D56 D40:D43 D17:D24 D26:D28 D13:D15 I23:I24 D8:D11 D45:D51 I53 I17:I20 I39:I46 I56:I57 D30:D32 D58:D69 D71:D73 I26:I28 I68:I74">
      <formula1>99999999</formula1>
    </dataValidation>
    <dataValidation operator="lessThan" allowBlank="1" showInputMessage="1" showErrorMessage="1" sqref="D74 D33"/>
    <dataValidation type="decimal" operator="lessThan" allowBlank="1" showInputMessage="1" showErrorMessage="1" error="beloppet ska vara 1000tal kr" sqref="I67">
      <formula1>99999999</formula1>
    </dataValidation>
  </dataValidations>
  <pageMargins left="0.7" right="0.7" top="0.75" bottom="0.75" header="0.3" footer="0.3"/>
  <pageSetup paperSize="9" scale="70" orientation="portrait" r:id="rId4"/>
  <headerFooter>
    <oddHeader>&amp;L&amp;8Statistiska Centralbyrån
Offentlig ekonomi&amp;R&amp;P</oddHeader>
  </headerFooter>
  <rowBreaks count="1" manualBreakCount="1">
    <brk id="34" max="8" man="1"/>
  </row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FC44"/>
  <sheetViews>
    <sheetView showGridLines="0" zoomScaleNormal="100" workbookViewId="0">
      <pane ySplit="1" topLeftCell="A2" activePane="bottomLeft" state="frozen"/>
      <selection activeCell="F32" sqref="F32"/>
      <selection pane="bottomLeft" activeCell="G16" sqref="G16"/>
    </sheetView>
  </sheetViews>
  <sheetFormatPr defaultColWidth="9.140625" defaultRowHeight="12.75" zeroHeight="1"/>
  <cols>
    <col min="1" max="1" width="4" style="178" customWidth="1"/>
    <col min="2" max="2" width="9.140625" style="178" customWidth="1"/>
    <col min="3" max="3" width="30.85546875" style="178" customWidth="1"/>
    <col min="4" max="4" width="10.7109375" style="178" customWidth="1"/>
    <col min="5" max="5" width="22" style="178" customWidth="1"/>
    <col min="6" max="6" width="5" style="178" customWidth="1"/>
    <col min="7" max="7" width="27.7109375" style="178" customWidth="1"/>
    <col min="8" max="8" width="4" style="178" customWidth="1"/>
    <col min="9" max="9" width="8.28515625" style="178" customWidth="1"/>
    <col min="10" max="10" width="31.28515625" style="178" customWidth="1"/>
    <col min="11" max="12" width="10.7109375" style="178" customWidth="1"/>
    <col min="13" max="13" width="13.42578125" style="178" customWidth="1"/>
    <col min="14" max="14" width="4.28515625" style="178" customWidth="1"/>
    <col min="15" max="15" width="3.7109375" style="178" customWidth="1"/>
    <col min="16" max="16" width="19.7109375" style="178" customWidth="1"/>
    <col min="17" max="17" width="7" style="178" customWidth="1"/>
    <col min="18" max="18" width="3.7109375" style="178" customWidth="1"/>
    <col min="19" max="19" width="1.5703125" style="178" customWidth="1"/>
    <col min="20" max="20" width="21.5703125" style="178" customWidth="1"/>
    <col min="21" max="16383" width="0" style="178" hidden="1" customWidth="1"/>
    <col min="16384" max="16384" width="4.42578125" style="178" hidden="1" customWidth="1"/>
  </cols>
  <sheetData>
    <row r="1" spans="1:20" ht="18">
      <c r="A1" s="1655" t="str">
        <f>"Skatteintäkter, utjämningssystem o. generella statliga bidrag samt finansiella poster "&amp;År&amp;", miljoner kr"</f>
        <v>Skatteintäkter, utjämningssystem o. generella statliga bidrag samt finansiella poster 2018, miljoner kr</v>
      </c>
      <c r="B1" s="539"/>
      <c r="C1" s="539"/>
      <c r="D1" s="539"/>
      <c r="E1" s="539"/>
      <c r="F1" s="539"/>
      <c r="G1" s="539"/>
      <c r="H1" s="539"/>
      <c r="I1" s="539"/>
      <c r="J1" s="539"/>
      <c r="K1" s="539"/>
      <c r="L1" s="539"/>
      <c r="M1" s="539"/>
      <c r="N1" s="541"/>
      <c r="O1" s="541"/>
      <c r="P1" s="541"/>
      <c r="Q1" s="541"/>
      <c r="R1" s="541"/>
      <c r="S1" s="541"/>
      <c r="T1" s="542" t="str">
        <f>'Kn Information'!B2</f>
        <v>RIKSTOTAL</v>
      </c>
    </row>
    <row r="2" spans="1:20" ht="12.75" customHeight="1">
      <c r="A2" s="1338"/>
      <c r="D2" s="1437"/>
      <c r="E2" s="47"/>
      <c r="F2" s="4"/>
      <c r="G2" s="4"/>
      <c r="M2" s="47"/>
      <c r="N2" s="4"/>
      <c r="O2" s="4"/>
      <c r="P2" s="4"/>
      <c r="Q2" s="4"/>
      <c r="R2" s="4"/>
      <c r="S2" s="4"/>
      <c r="T2" s="4"/>
    </row>
    <row r="3" spans="1:20" ht="12.75" customHeight="1">
      <c r="D3" s="1437"/>
      <c r="E3" s="47"/>
      <c r="F3" s="4"/>
      <c r="G3" s="4"/>
      <c r="J3" s="4"/>
      <c r="K3" s="4"/>
      <c r="L3" s="4"/>
      <c r="M3" s="47"/>
      <c r="N3" s="4"/>
      <c r="O3" s="4"/>
      <c r="P3" s="4"/>
      <c r="Q3" s="4"/>
      <c r="R3" s="4"/>
      <c r="S3" s="180"/>
      <c r="T3" s="4"/>
    </row>
    <row r="4" spans="1:20" ht="17.25" customHeight="1" thickBot="1">
      <c r="A4" s="81" t="s">
        <v>663</v>
      </c>
      <c r="B4" s="4"/>
      <c r="C4" s="4"/>
      <c r="D4" s="35"/>
      <c r="G4" s="4"/>
      <c r="H4" s="81" t="s">
        <v>664</v>
      </c>
      <c r="I4" s="179"/>
      <c r="J4" s="179"/>
      <c r="K4" s="179"/>
      <c r="L4" s="179"/>
      <c r="M4" s="4"/>
      <c r="N4" s="4"/>
      <c r="O4" s="4"/>
      <c r="P4" s="4"/>
      <c r="Q4" s="4"/>
      <c r="R4" s="4"/>
      <c r="S4" s="180"/>
      <c r="T4" s="4"/>
    </row>
    <row r="5" spans="1:20" s="191" customFormat="1">
      <c r="A5" s="2305" t="s">
        <v>658</v>
      </c>
      <c r="B5" s="2300" t="s">
        <v>814</v>
      </c>
      <c r="C5" s="855"/>
      <c r="D5" s="2142" t="s">
        <v>1317</v>
      </c>
      <c r="E5" s="190"/>
      <c r="F5" s="190"/>
      <c r="G5" s="190"/>
      <c r="H5" s="2305" t="s">
        <v>658</v>
      </c>
      <c r="I5" s="2300" t="s">
        <v>814</v>
      </c>
      <c r="J5" s="855"/>
      <c r="K5" s="639" t="s">
        <v>660</v>
      </c>
      <c r="L5" s="2144" t="s">
        <v>787</v>
      </c>
      <c r="M5" s="1496"/>
      <c r="N5" s="234" t="s">
        <v>1080</v>
      </c>
      <c r="O5" s="190"/>
      <c r="P5" s="190"/>
      <c r="Q5" s="190"/>
      <c r="S5" s="449"/>
      <c r="T5" s="190"/>
    </row>
    <row r="6" spans="1:20" s="191" customFormat="1">
      <c r="A6" s="2319" t="s">
        <v>661</v>
      </c>
      <c r="B6" s="836"/>
      <c r="C6" s="856"/>
      <c r="D6" s="861"/>
      <c r="E6" s="190"/>
      <c r="F6" s="190"/>
      <c r="G6" s="190"/>
      <c r="H6" s="2319" t="s">
        <v>661</v>
      </c>
      <c r="I6" s="641"/>
      <c r="J6" s="856"/>
      <c r="K6" s="641" t="s">
        <v>1310</v>
      </c>
      <c r="L6" s="1102" t="s">
        <v>1310</v>
      </c>
      <c r="M6" s="1497"/>
      <c r="N6" s="190"/>
      <c r="O6" s="190"/>
      <c r="P6" s="190"/>
      <c r="Q6" s="190"/>
      <c r="S6" s="97"/>
      <c r="T6" s="190"/>
    </row>
    <row r="7" spans="1:20" ht="15">
      <c r="A7" s="2320"/>
      <c r="B7" s="2321"/>
      <c r="C7" s="858"/>
      <c r="D7" s="862"/>
      <c r="E7" s="4"/>
      <c r="F7" s="4"/>
      <c r="G7" s="4"/>
      <c r="H7" s="863"/>
      <c r="I7" s="622"/>
      <c r="J7" s="622"/>
      <c r="K7" s="622"/>
      <c r="L7" s="864"/>
      <c r="M7" s="1498"/>
      <c r="N7" s="4"/>
      <c r="O7" s="4"/>
      <c r="P7" s="4"/>
      <c r="Q7" s="4"/>
      <c r="S7" s="18"/>
      <c r="T7" s="4"/>
    </row>
    <row r="8" spans="1:20">
      <c r="A8" s="819">
        <v>600</v>
      </c>
      <c r="B8" s="592">
        <v>801</v>
      </c>
      <c r="C8" s="593" t="s">
        <v>760</v>
      </c>
      <c r="D8" s="380">
        <v>468986</v>
      </c>
      <c r="E8" s="4"/>
      <c r="F8" s="4"/>
      <c r="G8" s="4"/>
      <c r="H8" s="816">
        <v>800</v>
      </c>
      <c r="I8" s="592">
        <v>841</v>
      </c>
      <c r="J8" s="593" t="s">
        <v>773</v>
      </c>
      <c r="K8" s="1892">
        <v>5600</v>
      </c>
      <c r="L8" s="1893">
        <v>1807</v>
      </c>
      <c r="M8" s="2231" t="str">
        <f>IF(K16=0,"",IF(OR(K8="",L8=""),"Skriv belopp eller 0",""))</f>
        <v/>
      </c>
      <c r="N8" s="606">
        <v>801</v>
      </c>
      <c r="O8" s="1895">
        <v>8411</v>
      </c>
      <c r="P8" s="1791" t="s">
        <v>1082</v>
      </c>
      <c r="Q8" s="1792">
        <v>4564</v>
      </c>
      <c r="R8" s="1855" t="str">
        <f>IF(Q8&gt;K8,"däravrad 801&gt;rad 800",IF(AND(K8&gt;1,Q8=""),"skriv belopp eller 0",""))</f>
        <v/>
      </c>
      <c r="S8" s="1494"/>
      <c r="T8" s="4"/>
    </row>
    <row r="9" spans="1:20">
      <c r="A9" s="819">
        <v>620</v>
      </c>
      <c r="B9" s="699">
        <v>8052</v>
      </c>
      <c r="C9" s="586" t="str">
        <f>"Slutavräkning, prognos för "&amp;År&amp;""</f>
        <v>Slutavräkning, prognos för 2018</v>
      </c>
      <c r="D9" s="380">
        <v>-618</v>
      </c>
      <c r="E9" s="4"/>
      <c r="F9" s="4"/>
      <c r="G9" s="4"/>
      <c r="H9" s="819">
        <v>810</v>
      </c>
      <c r="I9" s="859">
        <v>844</v>
      </c>
      <c r="J9" s="860" t="s">
        <v>774</v>
      </c>
      <c r="K9" s="23">
        <v>3762</v>
      </c>
      <c r="L9" s="109">
        <v>1196</v>
      </c>
      <c r="M9" s="2231" t="str">
        <f>IF(K16=0,"",IF(OR(K9="",L9=""),"Skriv belopp eller 0",""))</f>
        <v/>
      </c>
      <c r="N9" s="4"/>
      <c r="O9" s="4"/>
      <c r="P9" s="4"/>
      <c r="Q9" s="4"/>
      <c r="S9" s="1494"/>
      <c r="T9" s="4"/>
    </row>
    <row r="10" spans="1:20">
      <c r="A10" s="819">
        <v>625</v>
      </c>
      <c r="B10" s="699">
        <v>8051</v>
      </c>
      <c r="C10" s="586" t="str">
        <f>"Justering slutavräkning "&amp;År-1&amp;""</f>
        <v>Justering slutavräkning 2017</v>
      </c>
      <c r="D10" s="380">
        <v>-1473</v>
      </c>
      <c r="E10" s="4"/>
      <c r="F10" s="4"/>
      <c r="G10" s="4"/>
      <c r="H10" s="819">
        <v>880</v>
      </c>
      <c r="I10" s="592">
        <v>845</v>
      </c>
      <c r="J10" s="593" t="s">
        <v>775</v>
      </c>
      <c r="K10" s="23">
        <v>41</v>
      </c>
      <c r="L10" s="981"/>
      <c r="M10" s="2231" t="str">
        <f>IF(K16=0,"",IF(K10="","Skriv belopp eller 0",""))</f>
        <v/>
      </c>
      <c r="N10" s="4"/>
      <c r="O10" s="4"/>
      <c r="P10" s="4"/>
      <c r="Q10" s="4"/>
      <c r="S10" s="1494"/>
      <c r="T10" s="4"/>
    </row>
    <row r="11" spans="1:20">
      <c r="A11" s="819">
        <v>630</v>
      </c>
      <c r="B11" s="699"/>
      <c r="C11" s="586" t="str">
        <f>"Justeringspost slutavräkning "&amp;År&amp;""</f>
        <v>Justeringspost slutavräkning 2018</v>
      </c>
      <c r="D11" s="243">
        <v>6</v>
      </c>
      <c r="E11" s="188" t="str">
        <f>IF(OR(D11&lt;-10,D11&gt;10),"Kommentera beloppet","")</f>
        <v/>
      </c>
      <c r="F11" s="4"/>
      <c r="G11" s="4"/>
      <c r="H11" s="819">
        <v>885</v>
      </c>
      <c r="I11" s="592">
        <v>8481</v>
      </c>
      <c r="J11" s="593" t="s">
        <v>499</v>
      </c>
      <c r="K11" s="23">
        <v>26</v>
      </c>
      <c r="L11" s="981"/>
      <c r="M11" s="2231" t="str">
        <f>IF(K16=0,"",IF(K11="","Skriv belopp eller 0",""))</f>
        <v/>
      </c>
      <c r="N11" s="4"/>
      <c r="O11" s="4"/>
      <c r="P11" s="4"/>
      <c r="Q11" s="4"/>
      <c r="S11" s="1494"/>
      <c r="T11" s="4"/>
    </row>
    <row r="12" spans="1:20">
      <c r="A12" s="819">
        <v>640</v>
      </c>
      <c r="B12" s="588" t="s">
        <v>1098</v>
      </c>
      <c r="C12" s="581" t="s">
        <v>1099</v>
      </c>
      <c r="D12" s="243">
        <v>14</v>
      </c>
      <c r="E12" s="1522"/>
      <c r="F12" s="4"/>
      <c r="G12" s="4"/>
      <c r="H12" s="819">
        <v>886</v>
      </c>
      <c r="I12" s="592">
        <v>8482</v>
      </c>
      <c r="J12" s="593" t="s">
        <v>788</v>
      </c>
      <c r="K12" s="23">
        <v>3</v>
      </c>
      <c r="L12" s="981"/>
      <c r="M12" s="2231" t="str">
        <f>IF(K16=0,"",IF(K12="","Skriv belopp eller 0",""))</f>
        <v/>
      </c>
      <c r="N12" s="4"/>
      <c r="O12" s="4"/>
      <c r="P12" s="4"/>
      <c r="Q12" s="4"/>
      <c r="S12" s="1494"/>
      <c r="T12" s="4"/>
    </row>
    <row r="13" spans="1:20" ht="13.5" thickBot="1">
      <c r="A13" s="820">
        <v>680</v>
      </c>
      <c r="B13" s="1492"/>
      <c r="C13" s="1493" t="s">
        <v>1088</v>
      </c>
      <c r="D13" s="377">
        <v>208</v>
      </c>
      <c r="E13" s="35"/>
      <c r="F13" s="4"/>
      <c r="G13" s="4"/>
      <c r="H13" s="819">
        <v>887</v>
      </c>
      <c r="I13" s="592" t="s">
        <v>1301</v>
      </c>
      <c r="J13" s="593" t="s">
        <v>382</v>
      </c>
      <c r="K13" s="23">
        <v>24</v>
      </c>
      <c r="L13" s="109">
        <v>35</v>
      </c>
      <c r="M13" s="2231" t="str">
        <f>IF(K16=0,"",IF(OR(K13="",L13=""),"Skriv belopp eller 0",""))</f>
        <v/>
      </c>
      <c r="N13" s="4"/>
      <c r="O13" s="4"/>
      <c r="P13" s="4"/>
      <c r="Q13" s="4"/>
      <c r="S13" s="1494"/>
      <c r="T13" s="4"/>
    </row>
    <row r="14" spans="1:20" ht="21.75" customHeight="1" thickBot="1">
      <c r="A14" s="589">
        <v>690</v>
      </c>
      <c r="B14" s="594"/>
      <c r="C14" s="595" t="s">
        <v>663</v>
      </c>
      <c r="D14" s="377">
        <f>SUM(D8:D13)</f>
        <v>467123</v>
      </c>
      <c r="E14" s="4"/>
      <c r="F14" s="4"/>
      <c r="G14" s="4"/>
      <c r="H14" s="576">
        <v>888</v>
      </c>
      <c r="I14" s="592" t="s">
        <v>1302</v>
      </c>
      <c r="J14" s="581" t="s">
        <v>801</v>
      </c>
      <c r="K14" s="23">
        <v>2718</v>
      </c>
      <c r="L14" s="981"/>
      <c r="M14" s="2231" t="str">
        <f>IF(K16=0,"",IF(K14="","Skriv belopp eller 0",""))</f>
        <v/>
      </c>
      <c r="N14" s="1683">
        <v>889</v>
      </c>
      <c r="O14" s="1683">
        <v>8491</v>
      </c>
      <c r="P14" s="1651" t="s">
        <v>1044</v>
      </c>
      <c r="Q14" s="1652">
        <v>889</v>
      </c>
      <c r="R14" s="1522" t="str">
        <f>IF(SUM(Q14+Q15)&gt;K14,"däravrader 889+891&gt;rad888",IF(AND(K14&gt;1,Q14=""),"skriv belopp eller 0",""))</f>
        <v/>
      </c>
      <c r="S14" s="1476"/>
      <c r="T14" s="4"/>
    </row>
    <row r="15" spans="1:20" ht="13.5" thickBot="1">
      <c r="A15" s="4"/>
      <c r="B15" s="4"/>
      <c r="C15" s="194"/>
      <c r="D15" s="4"/>
      <c r="E15" s="4"/>
      <c r="F15" s="4"/>
      <c r="G15" s="4"/>
      <c r="H15" s="589">
        <v>884</v>
      </c>
      <c r="I15" s="1492">
        <v>843</v>
      </c>
      <c r="J15" s="1493" t="s">
        <v>877</v>
      </c>
      <c r="K15" s="1894">
        <v>427</v>
      </c>
      <c r="L15" s="1896">
        <v>809</v>
      </c>
      <c r="M15" s="2231" t="str">
        <f>IF(K16=0,"",IF(OR(K15="",L15=""),"Skriv belopp eller 0",""))</f>
        <v/>
      </c>
      <c r="N15" s="1684">
        <v>891</v>
      </c>
      <c r="O15" s="1684"/>
      <c r="P15" s="1488" t="s">
        <v>1047</v>
      </c>
      <c r="Q15" s="1653">
        <v>1</v>
      </c>
      <c r="R15" s="1522" t="str">
        <f>IF(AND(K14&gt;1,Q15=""),"skriv belopp eller 0","")</f>
        <v/>
      </c>
      <c r="S15" s="1467"/>
      <c r="T15" s="4"/>
    </row>
    <row r="16" spans="1:20" ht="16.5" thickBot="1">
      <c r="A16" s="81" t="s">
        <v>797</v>
      </c>
      <c r="B16" s="4"/>
      <c r="C16" s="4"/>
      <c r="D16" s="4"/>
      <c r="E16" s="4"/>
      <c r="F16" s="4"/>
      <c r="G16" s="4"/>
      <c r="H16" s="589">
        <v>890</v>
      </c>
      <c r="I16" s="590"/>
      <c r="J16" s="560" t="s">
        <v>10</v>
      </c>
      <c r="K16" s="1891">
        <f>RR!C13</f>
        <v>12601</v>
      </c>
      <c r="L16" s="1897"/>
      <c r="M16" s="1846"/>
      <c r="N16" s="4" t="str">
        <f>IF(J16&lt;&gt;"summa rad 800 - 888:","",SUM(K8:K15))</f>
        <v/>
      </c>
      <c r="O16" s="4"/>
      <c r="P16" s="4"/>
      <c r="Q16" s="4"/>
      <c r="R16" s="4"/>
      <c r="T16" s="4"/>
    </row>
    <row r="17" spans="1:20" ht="16.5" thickBot="1">
      <c r="A17" s="81" t="s">
        <v>798</v>
      </c>
      <c r="B17" s="4"/>
      <c r="C17" s="4"/>
      <c r="D17" s="35"/>
      <c r="E17" s="4"/>
      <c r="F17" s="4"/>
      <c r="G17" s="4"/>
      <c r="H17" s="8"/>
      <c r="I17" s="1499" t="s">
        <v>1269</v>
      </c>
      <c r="J17" s="134"/>
      <c r="K17" s="1499">
        <f>(K16-SUM(K8:K15))*-1</f>
        <v>0</v>
      </c>
      <c r="L17" s="1898" t="str">
        <f>IF(ABS(K17)&gt;100,"eliminera differensen i kolumn K","")</f>
        <v/>
      </c>
      <c r="M17" s="1365"/>
      <c r="N17" s="4"/>
      <c r="O17" s="4"/>
      <c r="P17" s="4"/>
      <c r="Q17" s="4"/>
      <c r="R17" s="4"/>
      <c r="T17" s="4"/>
    </row>
    <row r="18" spans="1:20" ht="16.5" thickBot="1">
      <c r="A18" s="2305" t="s">
        <v>658</v>
      </c>
      <c r="B18" s="2300" t="s">
        <v>814</v>
      </c>
      <c r="C18" s="855"/>
      <c r="D18" s="2142" t="s">
        <v>1317</v>
      </c>
      <c r="E18" s="4"/>
      <c r="F18" s="4"/>
      <c r="G18" s="4"/>
      <c r="H18" s="81" t="s">
        <v>665</v>
      </c>
      <c r="I18" s="180"/>
      <c r="J18" s="180"/>
      <c r="K18" s="180"/>
      <c r="L18" s="180"/>
      <c r="N18" s="4"/>
      <c r="O18" s="4"/>
      <c r="P18" s="4"/>
      <c r="Q18" s="4"/>
      <c r="R18" s="4"/>
      <c r="T18" s="4"/>
    </row>
    <row r="19" spans="1:20">
      <c r="A19" s="2319" t="s">
        <v>661</v>
      </c>
      <c r="B19" s="836"/>
      <c r="C19" s="638"/>
      <c r="D19" s="865"/>
      <c r="E19" s="4"/>
      <c r="F19" s="4"/>
      <c r="G19" s="4"/>
      <c r="H19" s="2305" t="s">
        <v>658</v>
      </c>
      <c r="I19" s="2300" t="s">
        <v>814</v>
      </c>
      <c r="J19" s="855"/>
      <c r="K19" s="1901" t="s">
        <v>660</v>
      </c>
      <c r="L19" s="2142" t="s">
        <v>787</v>
      </c>
      <c r="M19" s="1467"/>
      <c r="N19" s="2548"/>
      <c r="O19" s="2548"/>
      <c r="P19" s="2548"/>
      <c r="Q19" s="2549"/>
      <c r="S19" s="449"/>
      <c r="T19" s="4"/>
    </row>
    <row r="20" spans="1:20" s="191" customFormat="1" ht="15">
      <c r="A20" s="885"/>
      <c r="B20" s="2322"/>
      <c r="C20" s="622"/>
      <c r="D20" s="866"/>
      <c r="E20" s="190"/>
      <c r="F20" s="190"/>
      <c r="G20" s="190"/>
      <c r="H20" s="2319" t="s">
        <v>661</v>
      </c>
      <c r="I20" s="867"/>
      <c r="J20" s="856"/>
      <c r="K20" s="1902" t="s">
        <v>1310</v>
      </c>
      <c r="L20" s="2143" t="s">
        <v>1310</v>
      </c>
      <c r="M20" s="97"/>
      <c r="N20" s="2550"/>
      <c r="O20" s="2550"/>
      <c r="P20" s="2550"/>
      <c r="Q20" s="2549"/>
      <c r="S20" s="97"/>
      <c r="T20" s="190"/>
    </row>
    <row r="21" spans="1:20" s="191" customFormat="1" ht="14.25" customHeight="1">
      <c r="A21" s="576">
        <v>711</v>
      </c>
      <c r="B21" s="699">
        <v>821</v>
      </c>
      <c r="C21" s="586" t="s">
        <v>766</v>
      </c>
      <c r="D21" s="380">
        <v>75389</v>
      </c>
      <c r="E21" s="190"/>
      <c r="F21" s="2253"/>
      <c r="G21" s="2254"/>
      <c r="H21" s="868"/>
      <c r="I21" s="869"/>
      <c r="J21" s="858"/>
      <c r="K21" s="1899"/>
      <c r="L21" s="870"/>
      <c r="M21" s="18"/>
      <c r="Q21" s="222"/>
      <c r="S21" s="18"/>
      <c r="T21" s="190"/>
    </row>
    <row r="22" spans="1:20" ht="14.25" customHeight="1">
      <c r="A22" s="576">
        <v>713</v>
      </c>
      <c r="B22" s="699">
        <v>822</v>
      </c>
      <c r="C22" s="586" t="s">
        <v>767</v>
      </c>
      <c r="D22" s="380">
        <v>1138</v>
      </c>
      <c r="E22" s="4"/>
      <c r="F22" s="2255"/>
      <c r="G22" s="2254"/>
      <c r="H22" s="576">
        <v>900</v>
      </c>
      <c r="I22" s="592">
        <v>852</v>
      </c>
      <c r="J22" s="581" t="s">
        <v>841</v>
      </c>
      <c r="K22" s="474">
        <v>3286</v>
      </c>
      <c r="L22" s="108">
        <v>7926</v>
      </c>
      <c r="M22" s="2231" t="str">
        <f>IF(K30=0,"",IF(OR(K22="",L22=""),"Skriv belopp eller 0",""))</f>
        <v/>
      </c>
      <c r="N22" s="194"/>
      <c r="O22" s="194"/>
      <c r="P22" s="194"/>
      <c r="Q22" s="180"/>
      <c r="S22" s="1494"/>
      <c r="T22" s="4"/>
    </row>
    <row r="23" spans="1:20" ht="14.25" customHeight="1">
      <c r="A23" s="576">
        <v>715</v>
      </c>
      <c r="B23" s="699">
        <v>823</v>
      </c>
      <c r="C23" s="586" t="s">
        <v>768</v>
      </c>
      <c r="D23" s="380">
        <v>34</v>
      </c>
      <c r="E23" s="216"/>
      <c r="F23" s="2255"/>
      <c r="G23" s="2254"/>
      <c r="H23" s="576">
        <v>910</v>
      </c>
      <c r="I23" s="588">
        <v>853</v>
      </c>
      <c r="J23" s="581" t="s">
        <v>1281</v>
      </c>
      <c r="K23" s="474">
        <v>863</v>
      </c>
      <c r="L23" s="109">
        <v>975</v>
      </c>
      <c r="M23" s="2231" t="str">
        <f>IF(K30=0,"",IF(OR(K23="",L23=""),"Skriv belopp eller 0",""))</f>
        <v/>
      </c>
      <c r="N23" s="1467"/>
      <c r="O23" s="154"/>
      <c r="P23" s="277"/>
      <c r="Q23" s="134"/>
      <c r="S23" s="1476"/>
      <c r="T23" s="4"/>
    </row>
    <row r="24" spans="1:20" ht="14.25" customHeight="1">
      <c r="A24" s="576">
        <v>717</v>
      </c>
      <c r="B24" s="699">
        <v>824</v>
      </c>
      <c r="C24" s="586" t="s">
        <v>769</v>
      </c>
      <c r="D24" s="380">
        <v>1589</v>
      </c>
      <c r="E24" s="216"/>
      <c r="F24" s="2255"/>
      <c r="G24" s="2254"/>
      <c r="H24" s="576">
        <v>920</v>
      </c>
      <c r="I24" s="859" t="s">
        <v>776</v>
      </c>
      <c r="J24" s="860" t="s">
        <v>777</v>
      </c>
      <c r="K24" s="474">
        <v>162</v>
      </c>
      <c r="L24" s="981"/>
      <c r="M24" s="2231" t="str">
        <f>IF(K30=0,"",IF(K24="","Skriv belopp eller 0",""))</f>
        <v/>
      </c>
      <c r="N24" s="4"/>
      <c r="O24" s="4"/>
      <c r="P24" s="4"/>
      <c r="Q24" s="180"/>
      <c r="S24" s="1494"/>
      <c r="T24" s="4"/>
    </row>
    <row r="25" spans="1:20" ht="21" customHeight="1">
      <c r="A25" s="576">
        <v>719</v>
      </c>
      <c r="B25" s="699">
        <v>825</v>
      </c>
      <c r="C25" s="586" t="s">
        <v>770</v>
      </c>
      <c r="D25" s="380">
        <v>7487</v>
      </c>
      <c r="E25" s="216"/>
      <c r="F25" s="2553" t="s">
        <v>1303</v>
      </c>
      <c r="G25" s="2554"/>
      <c r="H25" s="576">
        <v>985</v>
      </c>
      <c r="I25" s="588">
        <v>8581</v>
      </c>
      <c r="J25" s="581" t="s">
        <v>799</v>
      </c>
      <c r="K25" s="474">
        <v>5</v>
      </c>
      <c r="L25" s="981"/>
      <c r="M25" s="2231" t="str">
        <f>IF(K30=0,"",IF(K25="","Skriv belopp eller 0",""))</f>
        <v/>
      </c>
      <c r="N25" s="4"/>
      <c r="O25" s="4"/>
      <c r="P25" s="4"/>
      <c r="Q25" s="180"/>
      <c r="S25" s="1476"/>
      <c r="T25" s="4"/>
    </row>
    <row r="26" spans="1:20" ht="22.5" customHeight="1">
      <c r="A26" s="576">
        <v>785</v>
      </c>
      <c r="B26" s="699">
        <v>826</v>
      </c>
      <c r="C26" s="586" t="s">
        <v>771</v>
      </c>
      <c r="D26" s="380">
        <v>4094</v>
      </c>
      <c r="E26" s="2248"/>
      <c r="F26" s="2555"/>
      <c r="G26" s="2554"/>
      <c r="H26" s="576">
        <v>996</v>
      </c>
      <c r="I26" s="588">
        <v>8582</v>
      </c>
      <c r="J26" s="581" t="s">
        <v>800</v>
      </c>
      <c r="K26" s="474">
        <v>2</v>
      </c>
      <c r="L26" s="981"/>
      <c r="M26" s="2231" t="str">
        <f>IF(K30=0,"",IF(K26="","Skriv belopp eller 0",""))</f>
        <v/>
      </c>
      <c r="N26" s="4"/>
      <c r="O26" s="4"/>
      <c r="P26" s="4"/>
      <c r="Q26" s="4"/>
      <c r="S26" s="1476"/>
      <c r="T26" s="4"/>
    </row>
    <row r="27" spans="1:20" ht="15.75" customHeight="1">
      <c r="A27" s="576">
        <v>740</v>
      </c>
      <c r="B27" s="588">
        <v>829</v>
      </c>
      <c r="C27" s="586" t="s">
        <v>879</v>
      </c>
      <c r="D27" s="243">
        <v>7496</v>
      </c>
      <c r="E27" s="2266" t="str">
        <f>IF(D27&lt;100,"Se kontrolltext till höger","")</f>
        <v/>
      </c>
      <c r="F27" s="2556"/>
      <c r="G27" s="2557"/>
      <c r="H27" s="576">
        <v>997</v>
      </c>
      <c r="I27" s="588" t="s">
        <v>867</v>
      </c>
      <c r="J27" s="581" t="s">
        <v>789</v>
      </c>
      <c r="K27" s="474">
        <v>235</v>
      </c>
      <c r="L27" s="109">
        <v>212</v>
      </c>
      <c r="M27" s="2231" t="str">
        <f>IF(K30=0,"",IF(OR(K27="",L27=""),"Skriv belopp eller 0",""))</f>
        <v/>
      </c>
      <c r="N27" s="4"/>
      <c r="O27" s="4"/>
      <c r="P27" s="4"/>
      <c r="Q27" s="4"/>
      <c r="S27" s="1476"/>
      <c r="T27" s="4"/>
    </row>
    <row r="28" spans="1:20" ht="20.25" customHeight="1" thickBot="1">
      <c r="A28" s="589">
        <v>750</v>
      </c>
      <c r="B28" s="590">
        <v>82</v>
      </c>
      <c r="C28" s="1489" t="s">
        <v>772</v>
      </c>
      <c r="D28" s="377">
        <f>SUM(D21:D27)</f>
        <v>97227</v>
      </c>
      <c r="E28" s="2230"/>
      <c r="F28" s="2193" t="s">
        <v>858</v>
      </c>
      <c r="G28" s="2192" t="s">
        <v>1288</v>
      </c>
      <c r="H28" s="576">
        <v>998</v>
      </c>
      <c r="I28" s="1559" t="s">
        <v>878</v>
      </c>
      <c r="J28" s="593" t="s">
        <v>802</v>
      </c>
      <c r="K28" s="474">
        <v>653</v>
      </c>
      <c r="L28" s="981"/>
      <c r="M28" s="2231" t="str">
        <f>IF(K30=0,"",IF(K28="","Skriv belopp eller 0",""))</f>
        <v/>
      </c>
      <c r="N28" s="4"/>
      <c r="O28" s="4"/>
      <c r="P28" s="4"/>
      <c r="Q28" s="4"/>
      <c r="S28" s="1495"/>
      <c r="T28" s="4"/>
    </row>
    <row r="29" spans="1:20" ht="18" customHeight="1" thickBot="1">
      <c r="A29" s="4"/>
      <c r="B29" s="4"/>
      <c r="C29" s="4"/>
      <c r="D29" s="4"/>
      <c r="E29" s="2267" t="str">
        <f>IF(G29="","skriv 0 eller belopp på rad 742",IF(G29=D27,"därav-rad 742 ska inte vara lika stor som huvudrad 740",IF(G29&gt;D27,"därav-rad 742 ska inte vara större än huvudrad 740","")))</f>
        <v/>
      </c>
      <c r="F29" s="604">
        <v>742</v>
      </c>
      <c r="G29" s="2196">
        <v>1375</v>
      </c>
      <c r="H29" s="589">
        <v>984</v>
      </c>
      <c r="I29" s="1492">
        <v>851</v>
      </c>
      <c r="J29" s="1493" t="s">
        <v>840</v>
      </c>
      <c r="K29" s="1900">
        <v>91</v>
      </c>
      <c r="L29" s="117">
        <v>80</v>
      </c>
      <c r="M29" s="2231" t="str">
        <f>IF(K30=0,"",IF(OR(K29="",L29=""),"Skriv belopp eller 0",""))</f>
        <v/>
      </c>
      <c r="N29" s="4"/>
      <c r="O29" s="4"/>
      <c r="P29" s="4"/>
      <c r="Q29" s="4"/>
      <c r="S29" s="1467"/>
      <c r="T29" s="4"/>
    </row>
    <row r="30" spans="1:20" ht="19.5" customHeight="1" thickBot="1">
      <c r="A30" s="4"/>
      <c r="B30" s="4"/>
      <c r="C30" s="4"/>
      <c r="D30" s="4"/>
      <c r="E30" s="2268"/>
      <c r="F30" s="2551"/>
      <c r="G30" s="2552"/>
      <c r="H30" s="589">
        <v>990</v>
      </c>
      <c r="I30" s="594"/>
      <c r="J30" s="595" t="s">
        <v>11</v>
      </c>
      <c r="K30" s="1641">
        <f>RR!C14</f>
        <v>5296</v>
      </c>
      <c r="L30" s="19"/>
      <c r="N30" s="4"/>
      <c r="O30" s="4"/>
      <c r="P30" s="4"/>
      <c r="Q30" s="4"/>
      <c r="R30" s="4"/>
      <c r="T30" s="4"/>
    </row>
    <row r="31" spans="1:20" ht="16.5" customHeight="1" thickBot="1">
      <c r="A31" s="81" t="s">
        <v>1064</v>
      </c>
      <c r="B31" s="4"/>
      <c r="C31" s="4"/>
      <c r="D31" s="35"/>
      <c r="E31" s="216"/>
      <c r="F31" s="2540"/>
      <c r="G31" s="2540"/>
      <c r="H31" s="4"/>
      <c r="I31" s="1500" t="s">
        <v>910</v>
      </c>
      <c r="J31" s="188"/>
      <c r="K31" s="1501">
        <f>(K30-SUM(K22:K29))*-1</f>
        <v>1</v>
      </c>
      <c r="L31" s="1390" t="str">
        <f>IF(ABS(K31)&gt;100,"eliminera differensen i kolumn K","")</f>
        <v/>
      </c>
      <c r="M31" s="1390"/>
      <c r="N31" s="4"/>
      <c r="O31" s="4"/>
      <c r="P31" s="4"/>
      <c r="Q31" s="4"/>
      <c r="R31" s="4"/>
      <c r="T31" s="4"/>
    </row>
    <row r="32" spans="1:20">
      <c r="A32" s="2305" t="s">
        <v>658</v>
      </c>
      <c r="B32" s="2300" t="s">
        <v>814</v>
      </c>
      <c r="C32" s="855"/>
      <c r="D32" s="2142" t="s">
        <v>1317</v>
      </c>
      <c r="E32" s="216"/>
      <c r="F32" s="2540"/>
      <c r="G32" s="2540"/>
      <c r="H32" s="4"/>
      <c r="I32" s="4"/>
      <c r="J32" s="4"/>
      <c r="K32" s="4"/>
      <c r="L32" s="4"/>
      <c r="M32" s="4"/>
      <c r="N32" s="4"/>
      <c r="O32" s="4"/>
      <c r="P32" s="4"/>
      <c r="Q32" s="4"/>
      <c r="R32" s="4"/>
      <c r="S32" s="4"/>
      <c r="T32" s="4"/>
    </row>
    <row r="33" spans="1:20">
      <c r="A33" s="2319" t="s">
        <v>661</v>
      </c>
      <c r="B33" s="836"/>
      <c r="C33" s="638"/>
      <c r="D33" s="865"/>
      <c r="E33" s="4"/>
      <c r="F33" s="2540"/>
      <c r="G33" s="2540"/>
      <c r="H33" s="4"/>
      <c r="I33" s="4"/>
      <c r="J33" s="4"/>
      <c r="K33" s="4"/>
      <c r="L33" s="4"/>
      <c r="M33" s="4"/>
      <c r="N33" s="4"/>
      <c r="O33" s="4"/>
      <c r="P33" s="4"/>
      <c r="Q33" s="4"/>
      <c r="R33" s="4"/>
      <c r="S33" s="4"/>
      <c r="T33" s="4"/>
    </row>
    <row r="34" spans="1:20" ht="15">
      <c r="A34" s="885"/>
      <c r="B34" s="2322"/>
      <c r="C34" s="622"/>
      <c r="D34" s="866"/>
      <c r="E34" s="4"/>
      <c r="F34" s="2540"/>
      <c r="G34" s="2540"/>
      <c r="H34" s="86"/>
      <c r="I34" s="4"/>
      <c r="J34" s="4"/>
      <c r="K34" s="4"/>
      <c r="L34" s="4"/>
      <c r="M34" s="4"/>
      <c r="N34" s="4"/>
      <c r="O34" s="4"/>
      <c r="P34" s="4"/>
      <c r="Q34" s="4"/>
      <c r="R34" s="4"/>
      <c r="S34" s="4"/>
      <c r="T34" s="4"/>
    </row>
    <row r="35" spans="1:20">
      <c r="A35" s="819">
        <v>760</v>
      </c>
      <c r="B35" s="592">
        <v>831</v>
      </c>
      <c r="C35" s="593" t="s">
        <v>761</v>
      </c>
      <c r="D35" s="380">
        <v>7354</v>
      </c>
      <c r="E35" s="4"/>
      <c r="F35" s="4"/>
      <c r="G35" s="4"/>
      <c r="H35" s="2512"/>
      <c r="I35" s="2513"/>
      <c r="J35" s="2513"/>
      <c r="K35" s="2513"/>
      <c r="L35" s="1874"/>
    </row>
    <row r="36" spans="1:20">
      <c r="A36" s="819">
        <v>770</v>
      </c>
      <c r="B36" s="592">
        <v>834</v>
      </c>
      <c r="C36" s="593" t="s">
        <v>762</v>
      </c>
      <c r="D36" s="380">
        <v>18</v>
      </c>
      <c r="E36" s="4"/>
      <c r="F36" s="4"/>
      <c r="G36" s="4"/>
      <c r="H36" s="2513"/>
      <c r="I36" s="2513"/>
      <c r="J36" s="2513"/>
      <c r="K36" s="2513"/>
      <c r="L36" s="1874"/>
    </row>
    <row r="37" spans="1:20">
      <c r="A37" s="819">
        <v>780</v>
      </c>
      <c r="B37" s="592">
        <v>835</v>
      </c>
      <c r="C37" s="593" t="s">
        <v>763</v>
      </c>
      <c r="D37" s="381">
        <v>7480</v>
      </c>
      <c r="E37" s="4"/>
      <c r="F37" s="4"/>
      <c r="G37" s="4"/>
      <c r="H37" s="2513"/>
      <c r="I37" s="2513"/>
      <c r="J37" s="2513"/>
      <c r="K37" s="2513"/>
      <c r="L37" s="1874"/>
      <c r="M37" s="4"/>
      <c r="N37" s="4"/>
      <c r="O37" s="4"/>
      <c r="P37" s="4"/>
      <c r="Q37" s="4"/>
      <c r="R37" s="4"/>
      <c r="S37" s="4"/>
      <c r="T37" s="4"/>
    </row>
    <row r="38" spans="1:20">
      <c r="A38" s="819">
        <v>786</v>
      </c>
      <c r="B38" s="592">
        <v>836</v>
      </c>
      <c r="C38" s="593" t="s">
        <v>764</v>
      </c>
      <c r="D38" s="381">
        <v>4094</v>
      </c>
      <c r="E38" s="4"/>
      <c r="F38" s="4"/>
      <c r="G38" s="4"/>
      <c r="H38" s="2513"/>
      <c r="I38" s="2513"/>
      <c r="J38" s="2513"/>
      <c r="K38" s="2513"/>
      <c r="L38" s="1874"/>
      <c r="M38" s="4"/>
      <c r="N38" s="4"/>
      <c r="O38" s="4"/>
      <c r="P38" s="4"/>
      <c r="Q38" s="4"/>
      <c r="R38" s="4"/>
      <c r="S38" s="4"/>
      <c r="T38" s="4"/>
    </row>
    <row r="39" spans="1:20" ht="13.5" thickBot="1">
      <c r="A39" s="820">
        <v>790</v>
      </c>
      <c r="B39" s="871"/>
      <c r="C39" s="1490" t="s">
        <v>765</v>
      </c>
      <c r="D39" s="378">
        <f>SUM(D35:D38)</f>
        <v>18946</v>
      </c>
      <c r="E39" s="35"/>
      <c r="F39" s="4"/>
      <c r="G39" s="4"/>
      <c r="H39" s="4"/>
      <c r="I39" s="4"/>
      <c r="J39" s="4"/>
      <c r="K39" s="4"/>
      <c r="L39" s="4"/>
      <c r="M39" s="4"/>
      <c r="N39" s="4"/>
      <c r="O39" s="4"/>
      <c r="P39" s="4"/>
      <c r="Q39" s="4"/>
      <c r="R39" s="4"/>
      <c r="S39" s="4"/>
      <c r="T39" s="4"/>
    </row>
    <row r="40" spans="1:20" ht="13.5" thickBot="1">
      <c r="A40" s="250"/>
      <c r="B40" s="17"/>
      <c r="C40" s="18"/>
      <c r="D40" s="19"/>
      <c r="E40" s="35"/>
      <c r="F40" s="4"/>
      <c r="G40" s="4"/>
      <c r="H40" s="4"/>
      <c r="I40" s="4"/>
      <c r="J40" s="4"/>
      <c r="K40" s="4"/>
      <c r="L40" s="4"/>
      <c r="M40" s="4"/>
      <c r="N40" s="4"/>
      <c r="O40" s="4"/>
      <c r="P40" s="4"/>
      <c r="Q40" s="4"/>
      <c r="R40" s="4"/>
      <c r="S40" s="4"/>
      <c r="T40" s="4"/>
    </row>
    <row r="41" spans="1:20" ht="13.5" thickBot="1">
      <c r="A41" s="833">
        <v>765</v>
      </c>
      <c r="B41" s="872">
        <v>828</v>
      </c>
      <c r="C41" s="1491" t="s">
        <v>838</v>
      </c>
      <c r="D41" s="251">
        <v>17975</v>
      </c>
      <c r="E41" s="4"/>
      <c r="F41" s="4"/>
      <c r="G41" s="4"/>
      <c r="H41" s="4"/>
      <c r="I41" s="4"/>
      <c r="J41" s="4"/>
      <c r="K41" s="4"/>
      <c r="L41" s="4"/>
      <c r="M41" s="4"/>
      <c r="N41" s="4"/>
      <c r="O41" s="4"/>
      <c r="P41" s="4"/>
      <c r="Q41" s="4"/>
      <c r="R41" s="4"/>
      <c r="S41" s="4"/>
      <c r="T41" s="4"/>
    </row>
    <row r="42" spans="1:20">
      <c r="A42" s="4"/>
      <c r="B42" s="4"/>
      <c r="C42" s="4"/>
      <c r="D42" s="4"/>
      <c r="E42" s="4"/>
      <c r="F42" s="4"/>
      <c r="G42" s="4"/>
      <c r="H42" s="4"/>
      <c r="I42" s="4"/>
      <c r="J42" s="4"/>
      <c r="K42" s="4"/>
      <c r="L42" s="4"/>
      <c r="M42" s="4"/>
      <c r="N42" s="4"/>
      <c r="O42" s="4"/>
      <c r="P42" s="4"/>
      <c r="Q42" s="4"/>
      <c r="R42" s="4"/>
      <c r="S42" s="4"/>
      <c r="T42" s="4"/>
    </row>
    <row r="43" spans="1:20">
      <c r="A43" s="4"/>
      <c r="B43" s="4"/>
      <c r="C43" s="4"/>
      <c r="D43" s="4"/>
      <c r="E43" s="4"/>
      <c r="F43" s="4"/>
      <c r="G43" s="4"/>
      <c r="H43" s="4"/>
      <c r="I43" s="4"/>
      <c r="J43" s="4"/>
      <c r="K43" s="4"/>
      <c r="L43" s="4"/>
      <c r="M43" s="4"/>
      <c r="N43" s="4"/>
      <c r="O43" s="4"/>
      <c r="P43" s="4"/>
      <c r="Q43" s="4"/>
      <c r="R43" s="4"/>
      <c r="S43" s="4"/>
      <c r="T43" s="4"/>
    </row>
    <row r="44" spans="1:20" hidden="1">
      <c r="A44" s="4"/>
      <c r="B44" s="4"/>
      <c r="C44" s="4"/>
      <c r="D44" s="4"/>
      <c r="E44" s="4"/>
      <c r="H44" s="4"/>
      <c r="I44" s="4"/>
      <c r="J44" s="4"/>
      <c r="K44" s="4"/>
      <c r="L44" s="4"/>
      <c r="M44" s="4"/>
      <c r="N44" s="4"/>
      <c r="O44" s="4"/>
      <c r="P44" s="4"/>
      <c r="Q44" s="4"/>
      <c r="R44" s="4"/>
      <c r="S44" s="4"/>
      <c r="T44" s="4"/>
    </row>
  </sheetData>
  <sheetProtection password="CBFD" sheet="1" objects="1" scenarios="1"/>
  <customSheetViews>
    <customSheetView guid="{27C9E95B-0E2B-454F-B637-1CECC9579A10}" showGridLines="0" hiddenRows="1" hiddenColumns="1" showRuler="0">
      <selection activeCell="K16" sqref="K16"/>
      <pageMargins left="0.70866141732283472" right="0.70866141732283472" top="0.74803149606299213" bottom="0.15748031496062992" header="0.31496062992125984" footer="0.31496062992125984"/>
      <pageSetup paperSize="9" scale="80" orientation="landscape" r:id="rId1"/>
      <headerFooter alignWithMargins="0">
        <oddHeader>&amp;L&amp;8Statistiska Centralbyrån
Offentlig ekonomi&amp;R&amp;P</oddHeader>
      </headerFooter>
    </customSheetView>
    <customSheetView guid="{99FBDEB7-DD08-4F57-81F4-3C180403E153}" showGridLines="0" hiddenRows="1" hiddenColumns="1" topLeftCell="A16">
      <selection activeCell="I42" sqref="I42"/>
      <pageMargins left="0.70866141732283472" right="0.70866141732283472" top="0.74803149606299213" bottom="0.15748031496062992" header="0.31496062992125984" footer="0.31496062992125984"/>
      <pageSetup paperSize="9" scale="80" orientation="landscape" r:id="rId2"/>
      <headerFooter>
        <oddHeader>&amp;L&amp;8Statistiska Centralbyrån
Offentlig ekonomi&amp;R&amp;P</oddHeader>
      </headerFooter>
    </customSheetView>
    <customSheetView guid="{97D6DB71-3F4C-4C5F-8C5B-51E3EBF78932}" showPageBreaks="1" showGridLines="0" hiddenRows="1" hiddenColumns="1" topLeftCell="A3">
      <selection activeCell="K29" sqref="K29"/>
      <pageMargins left="0.70866141732283472" right="0.70866141732283472" top="0.74803149606299213" bottom="0.15748031496062992" header="0.31496062992125984" footer="0.31496062992125984"/>
      <pageSetup paperSize="9" scale="80" orientation="landscape" r:id="rId3"/>
      <headerFooter>
        <oddHeader>&amp;L&amp;8Statistiska Centralbyrån
Offentlig ekonomi&amp;R&amp;P</oddHeader>
      </headerFooter>
    </customSheetView>
  </customSheetViews>
  <mergeCells count="4">
    <mergeCell ref="H35:K38"/>
    <mergeCell ref="N19:Q20"/>
    <mergeCell ref="F30:G34"/>
    <mergeCell ref="F25:G27"/>
  </mergeCells>
  <phoneticPr fontId="9" type="noConversion"/>
  <conditionalFormatting sqref="D27 D41 K8:L14 K22:L28">
    <cfRule type="cellIs" dxfId="107" priority="20" stopIfTrue="1" operator="lessThan">
      <formula>-500</formula>
    </cfRule>
  </conditionalFormatting>
  <conditionalFormatting sqref="K15:L15">
    <cfRule type="cellIs" dxfId="106" priority="19" stopIfTrue="1" operator="lessThan">
      <formula>-500</formula>
    </cfRule>
  </conditionalFormatting>
  <conditionalFormatting sqref="K29:L29">
    <cfRule type="cellIs" dxfId="105" priority="18" stopIfTrue="1" operator="lessThan">
      <formula>-500</formula>
    </cfRule>
  </conditionalFormatting>
  <conditionalFormatting sqref="I17">
    <cfRule type="expression" dxfId="104" priority="11" stopIfTrue="1">
      <formula>ABS(K17)&gt;100</formula>
    </cfRule>
  </conditionalFormatting>
  <conditionalFormatting sqref="K17:L17">
    <cfRule type="expression" dxfId="103" priority="10" stopIfTrue="1">
      <formula>ABS(K17)&gt;100</formula>
    </cfRule>
  </conditionalFormatting>
  <conditionalFormatting sqref="I31">
    <cfRule type="expression" dxfId="102" priority="9" stopIfTrue="1">
      <formula>ABS(K31)&gt;100</formula>
    </cfRule>
  </conditionalFormatting>
  <conditionalFormatting sqref="K31:L31">
    <cfRule type="expression" dxfId="101" priority="8" stopIfTrue="1">
      <formula>ABS(K31)&gt;100</formula>
    </cfRule>
  </conditionalFormatting>
  <conditionalFormatting sqref="Q8 Q14:Q15">
    <cfRule type="cellIs" dxfId="100" priority="5" stopIfTrue="1" operator="lessThan">
      <formula>-500</formula>
    </cfRule>
  </conditionalFormatting>
  <conditionalFormatting sqref="G29">
    <cfRule type="cellIs" dxfId="99" priority="4" stopIfTrue="1" operator="lessThan">
      <formula>0</formula>
    </cfRule>
  </conditionalFormatting>
  <conditionalFormatting sqref="F21">
    <cfRule type="expression" dxfId="98" priority="112">
      <formula>G27&gt;0</formula>
    </cfRule>
  </conditionalFormatting>
  <conditionalFormatting sqref="F25:G27">
    <cfRule type="expression" dxfId="97" priority="1">
      <formula>D27&lt;100</formula>
    </cfRule>
  </conditionalFormatting>
  <dataValidations count="1">
    <dataValidation type="decimal" operator="lessThan" allowBlank="1" showInputMessage="1" showErrorMessage="1" error="Beloppet ska vara i 1000 tal kronor" sqref="K22:L29 D27 D11:D12 K8:L15 D41 G29 Q8 Q14:Q15">
      <formula1>99999999</formula1>
    </dataValidation>
  </dataValidations>
  <pageMargins left="0.70866141732283472" right="0.70866141732283472" top="0.74803149606299213" bottom="0.15748031496062992" header="0.31496062992125984" footer="0.31496062992125984"/>
  <pageSetup paperSize="9" scale="80" orientation="landscape" r:id="rId4"/>
  <headerFooter>
    <oddHeader>&amp;L&amp;8Statistiska Centralbyrån
Offentlig ekonomi&amp;R&amp;P</oddHeader>
  </headerFooter>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22"/>
  <sheetViews>
    <sheetView showGridLines="0" zoomScaleNormal="100" workbookViewId="0">
      <pane ySplit="1" topLeftCell="A35" activePane="bottomLeft" state="frozen"/>
      <selection activeCell="F32" sqref="F32"/>
      <selection pane="bottomLeft" activeCell="I94" sqref="I94"/>
    </sheetView>
  </sheetViews>
  <sheetFormatPr defaultColWidth="0" defaultRowHeight="12.75" zeroHeight="1"/>
  <cols>
    <col min="1" max="1" width="4" style="151" customWidth="1"/>
    <col min="2" max="2" width="33.7109375" style="151" customWidth="1"/>
    <col min="3" max="3" width="10.7109375" style="151" customWidth="1"/>
    <col min="4" max="4" width="11.42578125" style="151" customWidth="1"/>
    <col min="5" max="5" width="8.42578125" style="151" customWidth="1"/>
    <col min="6" max="6" width="9" style="151" customWidth="1"/>
    <col min="7" max="7" width="10" style="151" customWidth="1"/>
    <col min="8" max="8" width="10.28515625" style="151" customWidth="1"/>
    <col min="9" max="9" width="40.7109375" style="154" customWidth="1"/>
    <col min="10" max="10" width="20.28515625" style="151" customWidth="1"/>
    <col min="11" max="11" width="2.85546875" style="151" customWidth="1"/>
    <col min="12" max="12" width="4.140625" style="178" customWidth="1"/>
    <col min="13" max="13" width="3" style="178" customWidth="1"/>
    <col min="14" max="16384" width="9.140625" style="178" hidden="1"/>
  </cols>
  <sheetData>
    <row r="1" spans="1:13" s="252" customFormat="1" ht="20.25">
      <c r="A1" s="84" t="str">
        <f>"Investeringsredovisning "&amp;År&amp;", miljoner kr"</f>
        <v>Investeringsredovisning 2018, miljoner kr</v>
      </c>
      <c r="B1" s="102"/>
      <c r="C1" s="102"/>
      <c r="D1" s="102"/>
      <c r="E1" s="103"/>
      <c r="F1" s="103"/>
      <c r="G1" s="536" t="s">
        <v>474</v>
      </c>
      <c r="H1" s="537" t="str">
        <f>'Kn Information'!B2</f>
        <v>RIKSTOTAL</v>
      </c>
      <c r="I1" s="166"/>
      <c r="J1" s="104">
        <v>1</v>
      </c>
      <c r="K1" s="104"/>
      <c r="L1" s="104"/>
      <c r="M1" s="104"/>
    </row>
    <row r="2" spans="1:13" s="252" customFormat="1" ht="12.75" customHeight="1">
      <c r="A2" s="1338"/>
      <c r="C2" s="1437"/>
      <c r="D2" s="47"/>
      <c r="H2" s="2323"/>
      <c r="I2" s="47"/>
      <c r="L2" s="253"/>
    </row>
    <row r="3" spans="1:13" s="252" customFormat="1" ht="12.75" customHeight="1" thickBot="1">
      <c r="C3" s="1437"/>
      <c r="D3" s="47"/>
      <c r="G3" s="60"/>
      <c r="H3" s="167"/>
      <c r="I3" s="47"/>
      <c r="J3" s="254"/>
      <c r="L3" s="254"/>
    </row>
    <row r="4" spans="1:13" s="252" customFormat="1" ht="43.5" customHeight="1">
      <c r="A4" s="873" t="s">
        <v>495</v>
      </c>
      <c r="B4" s="874"/>
      <c r="C4" s="2558" t="s">
        <v>1162</v>
      </c>
      <c r="D4" s="2558" t="s">
        <v>1163</v>
      </c>
      <c r="E4" s="2558" t="s">
        <v>1164</v>
      </c>
      <c r="F4" s="1909" t="s">
        <v>1165</v>
      </c>
      <c r="G4" s="2145" t="s">
        <v>1166</v>
      </c>
      <c r="H4" s="2146" t="s">
        <v>1167</v>
      </c>
      <c r="I4" s="72"/>
      <c r="J4" s="43"/>
      <c r="K4" s="254"/>
      <c r="L4" s="254"/>
    </row>
    <row r="5" spans="1:13" s="252" customFormat="1" ht="39.75" customHeight="1">
      <c r="A5" s="875"/>
      <c r="B5" s="876"/>
      <c r="C5" s="2559"/>
      <c r="D5" s="2559"/>
      <c r="E5" s="2559"/>
      <c r="F5" s="1910" t="s">
        <v>842</v>
      </c>
      <c r="G5" s="1911"/>
      <c r="H5" s="1908"/>
      <c r="I5" s="96"/>
      <c r="J5" s="1473"/>
      <c r="K5" s="254"/>
      <c r="L5" s="254"/>
    </row>
    <row r="6" spans="1:13" s="256" customFormat="1" ht="11.25">
      <c r="A6" s="608" t="s">
        <v>500</v>
      </c>
      <c r="B6" s="609" t="s">
        <v>383</v>
      </c>
      <c r="C6" s="370">
        <v>457334</v>
      </c>
      <c r="D6" s="370">
        <v>23968</v>
      </c>
      <c r="E6" s="370">
        <v>259794</v>
      </c>
      <c r="F6" s="1912">
        <v>75369</v>
      </c>
      <c r="G6" s="1913">
        <v>1191274</v>
      </c>
      <c r="H6" s="1413">
        <v>46568</v>
      </c>
      <c r="I6" s="96"/>
      <c r="J6" s="1473"/>
      <c r="K6" s="255"/>
      <c r="L6" s="255"/>
    </row>
    <row r="7" spans="1:13" s="256" customFormat="1" ht="23.25" customHeight="1">
      <c r="A7" s="610" t="s">
        <v>501</v>
      </c>
      <c r="B7" s="611" t="s">
        <v>1035</v>
      </c>
      <c r="C7" s="261">
        <v>65186</v>
      </c>
      <c r="D7" s="262">
        <v>7344</v>
      </c>
      <c r="E7" s="263">
        <v>25823</v>
      </c>
      <c r="F7" s="1914">
        <v>1798</v>
      </c>
      <c r="G7" s="2015">
        <v>149409</v>
      </c>
      <c r="H7" s="2055">
        <v>2639</v>
      </c>
      <c r="I7" s="2232" t="str">
        <f>IF(C66=0,"",IF(SUM(C7+D7-C66)&gt;5000,"Summan C7+D7 är " &amp;""&amp;(ROUND(SUM(C7+D7-C66),0))&amp; " tkr högre än rad 950, kol C. Rätta eller kommentera. Avser diffen immat.anl.tillg ange även beloppsstorlek",IF(SUM(C7+D7-C66)&lt;-5000,"Summan C7+D7 är  " &amp;""&amp;(ROUND(SUM(C7+D7-C66),0))&amp; "tkr lägre än rad 950, kol C. Behöver rättas eller kommenteras","")))</f>
        <v/>
      </c>
      <c r="J7" s="2077" t="str">
        <f>IF(F7&gt;E7,"Rad 987: därav-Kol.F&gt;Kol.E","")</f>
        <v/>
      </c>
      <c r="K7" s="255"/>
      <c r="L7" s="255"/>
    </row>
    <row r="8" spans="1:13" s="256" customFormat="1" ht="17.25" customHeight="1">
      <c r="A8" s="612" t="s">
        <v>502</v>
      </c>
      <c r="B8" s="611" t="s">
        <v>1198</v>
      </c>
      <c r="C8" s="261">
        <v>-6038</v>
      </c>
      <c r="D8" s="262">
        <v>-209</v>
      </c>
      <c r="E8" s="263">
        <v>-1414</v>
      </c>
      <c r="F8" s="1914">
        <v>-222</v>
      </c>
      <c r="G8" s="2015">
        <v>-11293</v>
      </c>
      <c r="H8" s="2055">
        <v>-1175</v>
      </c>
      <c r="I8" s="2120"/>
      <c r="J8" s="2077" t="str">
        <f>IF(F8&lt;E8,"Rad 988: därav-kol.F&lt;Kol.E","")</f>
        <v/>
      </c>
      <c r="K8" s="255"/>
      <c r="L8" s="255"/>
    </row>
    <row r="9" spans="1:13" s="256" customFormat="1" ht="20.25" customHeight="1">
      <c r="A9" s="612" t="s">
        <v>503</v>
      </c>
      <c r="B9" s="611" t="s">
        <v>512</v>
      </c>
      <c r="C9" s="331">
        <v>2699</v>
      </c>
      <c r="D9" s="262">
        <v>71</v>
      </c>
      <c r="E9" s="263">
        <v>107</v>
      </c>
      <c r="F9" s="1914">
        <v>62</v>
      </c>
      <c r="G9" s="2015">
        <v>4156</v>
      </c>
      <c r="H9" s="2055">
        <v>210</v>
      </c>
      <c r="I9" s="2232" t="str">
        <f>IF(ABS(SUM(C9+D9-'Verks int o kostn'!D31))&lt;100,"",ROUND(SUM(C9+D9-'Verks int o kostn'!D31),0) &amp; " tkr diff. mellan reavinsten kol. C+D och reavinsten rad 892 i Verks.int.o kostn - ska överensstämma")</f>
        <v/>
      </c>
      <c r="J9" s="2102" t="str">
        <f>IF(F9&gt;E9,"Rad 989: därav-kol.F&gt;kol.E","")</f>
        <v/>
      </c>
      <c r="K9" s="255"/>
      <c r="L9" s="255"/>
    </row>
    <row r="10" spans="1:13" s="256" customFormat="1" ht="21" customHeight="1">
      <c r="A10" s="612" t="s">
        <v>367</v>
      </c>
      <c r="B10" s="611" t="s">
        <v>1221</v>
      </c>
      <c r="C10" s="331">
        <v>-405</v>
      </c>
      <c r="D10" s="262">
        <v>-55</v>
      </c>
      <c r="E10" s="263">
        <v>-7</v>
      </c>
      <c r="F10" s="1914">
        <v>-6</v>
      </c>
      <c r="G10" s="2015">
        <v>-1523</v>
      </c>
      <c r="H10" s="2055">
        <v>-14</v>
      </c>
      <c r="I10" s="2232" t="str">
        <f>IF((ABS(SUM(-1*(C10+D10)-'Verks int o kostn'!D71))&lt;100),"",ROUND(SUM(-1*(C10+D10)-'Verks int o kostn'!D71),0)&amp;" tkr diff mellan reaförlusten kol. C+D och reaförl. rad 897 i Verks.int. o kostn. - ska överensstämma")</f>
        <v/>
      </c>
      <c r="J10" s="2102" t="str">
        <f>IF(F10&lt;E10,"Rad 990: därav-kol.F&lt;Kol.E","")</f>
        <v/>
      </c>
      <c r="K10" s="255"/>
      <c r="L10" s="255"/>
    </row>
    <row r="11" spans="1:13" s="256" customFormat="1" ht="12.75" customHeight="1">
      <c r="A11" s="612" t="s">
        <v>368</v>
      </c>
      <c r="B11" s="611" t="s">
        <v>364</v>
      </c>
      <c r="C11" s="261">
        <v>-17859</v>
      </c>
      <c r="D11" s="262">
        <v>-5437</v>
      </c>
      <c r="E11" s="1643">
        <v>-8</v>
      </c>
      <c r="F11" s="1915">
        <v>-2</v>
      </c>
      <c r="G11" s="2015">
        <v>-49245</v>
      </c>
      <c r="H11" s="2055">
        <v>-10</v>
      </c>
      <c r="I11" s="2120" t="str">
        <f>IF(E11&lt;-100,"Kommentera beloppet i kol. E","")</f>
        <v/>
      </c>
      <c r="J11" s="2101" t="str">
        <f>IF(F11&lt;E11,"Rad 991: därav-Kol.F&lt;Kol.E","")</f>
        <v/>
      </c>
      <c r="K11" s="255"/>
      <c r="L11" s="255"/>
    </row>
    <row r="12" spans="1:13" s="256" customFormat="1" ht="12.75" customHeight="1">
      <c r="A12" s="612" t="s">
        <v>369</v>
      </c>
      <c r="B12" s="611" t="s">
        <v>157</v>
      </c>
      <c r="C12" s="264">
        <v>55</v>
      </c>
      <c r="D12" s="265">
        <v>123</v>
      </c>
      <c r="E12" s="55">
        <v>-45</v>
      </c>
      <c r="F12" s="1711">
        <v>-22</v>
      </c>
      <c r="G12" s="2015">
        <v>-947</v>
      </c>
      <c r="H12" s="2055">
        <v>-42</v>
      </c>
      <c r="I12" s="2233"/>
      <c r="J12" s="2125"/>
      <c r="K12" s="255"/>
      <c r="L12" s="255"/>
    </row>
    <row r="13" spans="1:13" s="256" customFormat="1" ht="12.75" customHeight="1">
      <c r="A13" s="613" t="s">
        <v>370</v>
      </c>
      <c r="B13" s="611" t="s">
        <v>365</v>
      </c>
      <c r="C13" s="261">
        <v>-1103</v>
      </c>
      <c r="D13" s="262">
        <v>184</v>
      </c>
      <c r="E13" s="263">
        <v>-2346</v>
      </c>
      <c r="F13" s="1914">
        <v>58</v>
      </c>
      <c r="G13" s="2015">
        <v>-2093</v>
      </c>
      <c r="H13" s="2055">
        <v>-449</v>
      </c>
      <c r="I13" s="2126"/>
      <c r="J13" s="2127"/>
      <c r="K13" s="1906"/>
      <c r="L13" s="1906"/>
    </row>
    <row r="14" spans="1:13" s="256" customFormat="1" ht="12.75" customHeight="1">
      <c r="A14" s="612" t="s">
        <v>371</v>
      </c>
      <c r="B14" s="611" t="s">
        <v>366</v>
      </c>
      <c r="C14" s="261">
        <v>162</v>
      </c>
      <c r="D14" s="262">
        <v>457</v>
      </c>
      <c r="E14" s="263">
        <v>-3384</v>
      </c>
      <c r="F14" s="1914">
        <v>39</v>
      </c>
      <c r="G14" s="2015">
        <v>-280</v>
      </c>
      <c r="H14" s="2055">
        <v>200</v>
      </c>
      <c r="I14" s="2127"/>
      <c r="J14" s="2127"/>
      <c r="K14" s="1906"/>
      <c r="L14" s="1906"/>
    </row>
    <row r="15" spans="1:13" s="256" customFormat="1" ht="12" thickBot="1">
      <c r="A15" s="614" t="s">
        <v>372</v>
      </c>
      <c r="B15" s="615" t="s">
        <v>384</v>
      </c>
      <c r="C15" s="316">
        <f>BR!D10</f>
        <v>500031</v>
      </c>
      <c r="D15" s="317">
        <f>BR!D11</f>
        <v>26445</v>
      </c>
      <c r="E15" s="317">
        <f>BR!D17</f>
        <v>278520</v>
      </c>
      <c r="F15" s="1916">
        <f>BR!D13</f>
        <v>77072</v>
      </c>
      <c r="G15" s="1917">
        <f>BR!E12</f>
        <v>1279459</v>
      </c>
      <c r="H15" s="1907">
        <f>BR!E17</f>
        <v>47927</v>
      </c>
      <c r="I15" s="1644"/>
      <c r="J15" s="1637"/>
      <c r="K15" s="255"/>
      <c r="L15" s="255"/>
    </row>
    <row r="16" spans="1:13" s="256" customFormat="1" ht="37.5" customHeight="1">
      <c r="A16" s="62"/>
      <c r="B16" s="61"/>
      <c r="C16" s="148" t="str">
        <f>IF(ABS(SUM(C6:C14)-C15)&gt;100,"Diff mot BR rad 021","")</f>
        <v/>
      </c>
      <c r="D16" s="148" t="str">
        <f>IF(ABS(SUM(D6:D14)-D15)&gt;100,"Diff mot BR rad 023","")</f>
        <v/>
      </c>
      <c r="E16" s="148" t="str">
        <f>IF(ABS(SUM(E6:E14)-E15)&gt;100,"Diff mot BR rad 035","")</f>
        <v/>
      </c>
      <c r="F16" s="148" t="str">
        <f>IF(ABS(SUM(F6:F14)-F15)&gt;100,"Diff mot BR rad 036","")</f>
        <v/>
      </c>
      <c r="G16" s="2016" t="str">
        <f>IF(ABS(SUM(G6:G14)-G15)&gt;100,"Diff mot BR rad 025","")</f>
        <v/>
      </c>
      <c r="H16" s="2017" t="str">
        <f>IF(ABS(SUM(H6:H14)-H15)&gt;100,"Diff mot BR rad 035","")</f>
        <v/>
      </c>
      <c r="I16" s="2544"/>
      <c r="J16" s="2560"/>
      <c r="K16" s="2560"/>
      <c r="L16" s="2560"/>
    </row>
    <row r="17" spans="1:12" ht="16.5" customHeight="1">
      <c r="A17" s="303"/>
      <c r="B17" s="216"/>
      <c r="C17" s="43" t="str">
        <f>IF(C16&lt;&gt;"diff mot BR rad 021","",C15-SUM(C6:C14))</f>
        <v/>
      </c>
      <c r="D17" s="43" t="str">
        <f>IF(D16&lt;&gt;"diff mot BR rad 023","",D15-SUM(D6:D14))</f>
        <v/>
      </c>
      <c r="E17" s="43" t="str">
        <f>IF(E16&lt;&gt;"diff mot BR rad 035","",E15-SUM(E6:E14))</f>
        <v/>
      </c>
      <c r="F17" s="43" t="str">
        <f>IF(F16&lt;&gt;"diff mot BR rad 036","",F15-SUM(F6:F14))</f>
        <v/>
      </c>
      <c r="G17" s="2014" t="str">
        <f>IF(G16&lt;&gt;"diff mot BR rad 025","",G15-SUM(G6:G14))</f>
        <v/>
      </c>
      <c r="H17" s="2014" t="str">
        <f>IF(H16&lt;&gt;"diff mot BR rad 035","",H15-SUM(H6:H14))</f>
        <v/>
      </c>
      <c r="I17" s="47"/>
      <c r="J17" s="47"/>
      <c r="K17" s="4"/>
      <c r="L17" s="179"/>
    </row>
    <row r="18" spans="1:12" ht="20.25" customHeight="1">
      <c r="A18" s="1669" t="s">
        <v>1067</v>
      </c>
      <c r="B18" s="1668"/>
      <c r="C18" s="1668"/>
      <c r="D18" s="1668"/>
      <c r="E18" s="1668"/>
      <c r="F18" s="1668"/>
      <c r="G18" s="1668"/>
      <c r="H18" s="1668"/>
      <c r="I18" s="1668"/>
      <c r="J18" s="2324"/>
      <c r="K18" s="2324"/>
      <c r="L18" s="2325"/>
    </row>
    <row r="19" spans="1:12" s="258" customFormat="1" ht="22.5" customHeight="1" thickBot="1">
      <c r="A19" s="1636" t="s">
        <v>1318</v>
      </c>
      <c r="B19" s="257"/>
      <c r="C19" s="63"/>
      <c r="D19" s="64"/>
      <c r="E19" s="65"/>
      <c r="F19" s="65"/>
      <c r="G19" s="65"/>
      <c r="H19" s="65"/>
      <c r="I19" s="168"/>
      <c r="J19" s="165"/>
      <c r="K19" s="66"/>
      <c r="L19" s="257"/>
    </row>
    <row r="20" spans="1:12" ht="14.25" customHeight="1">
      <c r="A20" s="877" t="s">
        <v>658</v>
      </c>
      <c r="B20" s="878" t="s">
        <v>16</v>
      </c>
      <c r="C20" s="1638" t="s">
        <v>1040</v>
      </c>
      <c r="D20" s="879" t="s">
        <v>177</v>
      </c>
      <c r="E20" s="880"/>
      <c r="F20" s="880"/>
      <c r="G20" s="2068"/>
      <c r="H20" s="2069"/>
      <c r="I20" s="39"/>
      <c r="J20" s="39"/>
      <c r="K20" s="44"/>
      <c r="L20" s="4"/>
    </row>
    <row r="21" spans="1:12" ht="27.75" customHeight="1">
      <c r="A21" s="881" t="s">
        <v>661</v>
      </c>
      <c r="B21" s="837"/>
      <c r="C21" s="1639" t="s">
        <v>1041</v>
      </c>
      <c r="D21" s="1635" t="s">
        <v>1143</v>
      </c>
      <c r="E21" s="1635" t="s">
        <v>1038</v>
      </c>
      <c r="F21" s="2056" t="s">
        <v>1039</v>
      </c>
      <c r="G21" s="2070"/>
      <c r="H21" s="2071"/>
      <c r="I21" s="8"/>
      <c r="J21" s="67"/>
      <c r="K21" s="44"/>
      <c r="L21" s="4"/>
    </row>
    <row r="22" spans="1:12">
      <c r="A22" s="881"/>
      <c r="B22" s="883"/>
      <c r="C22" s="884"/>
      <c r="D22" s="882" t="s">
        <v>1144</v>
      </c>
      <c r="E22" s="940" t="s">
        <v>178</v>
      </c>
      <c r="F22" s="2057" t="s">
        <v>179</v>
      </c>
      <c r="G22" s="2072"/>
      <c r="H22" s="2073"/>
      <c r="I22" s="8"/>
      <c r="J22" s="67"/>
      <c r="K22" s="44"/>
      <c r="L22" s="4"/>
    </row>
    <row r="23" spans="1:12" ht="36" customHeight="1">
      <c r="A23" s="885"/>
      <c r="B23" s="886"/>
      <c r="C23" s="887"/>
      <c r="D23" s="1766" t="s">
        <v>1147</v>
      </c>
      <c r="E23" s="1767" t="s">
        <v>1145</v>
      </c>
      <c r="F23" s="2058" t="s">
        <v>1146</v>
      </c>
      <c r="G23" s="2074"/>
      <c r="H23" s="1698"/>
      <c r="I23" s="8"/>
      <c r="J23" s="8"/>
      <c r="K23" s="44"/>
      <c r="L23" s="4"/>
    </row>
    <row r="24" spans="1:12">
      <c r="A24" s="888"/>
      <c r="B24" s="889" t="s">
        <v>17</v>
      </c>
      <c r="C24" s="890"/>
      <c r="D24" s="890"/>
      <c r="E24" s="890"/>
      <c r="F24" s="2059"/>
      <c r="G24" s="2075"/>
      <c r="H24" s="2076"/>
      <c r="I24" s="169"/>
      <c r="J24" s="170"/>
      <c r="K24" s="171"/>
      <c r="L24" s="171"/>
    </row>
    <row r="25" spans="1:12">
      <c r="A25" s="2177" t="s">
        <v>225</v>
      </c>
      <c r="B25" s="620" t="s">
        <v>18</v>
      </c>
      <c r="C25" s="266">
        <v>62</v>
      </c>
      <c r="D25" s="266">
        <v>22</v>
      </c>
      <c r="E25" s="266">
        <v>17</v>
      </c>
      <c r="F25" s="2060">
        <v>21</v>
      </c>
      <c r="G25" s="2100" t="str">
        <f>IF(SUM(D25:F25)&gt;(C25+100),"Summa kol.D+kol.E+kol.F &gt; Kol.C","")</f>
        <v/>
      </c>
      <c r="H25" s="2077"/>
      <c r="I25" s="328"/>
      <c r="J25" s="328"/>
      <c r="K25" s="329"/>
      <c r="L25" s="188"/>
    </row>
    <row r="26" spans="1:12" ht="18.75">
      <c r="A26" s="891" t="s">
        <v>226</v>
      </c>
      <c r="B26" s="623" t="s">
        <v>1261</v>
      </c>
      <c r="C26" s="20">
        <v>6664</v>
      </c>
      <c r="D26" s="20">
        <v>4776</v>
      </c>
      <c r="E26" s="20">
        <v>80</v>
      </c>
      <c r="F26" s="474">
        <v>1280</v>
      </c>
      <c r="G26" s="2100" t="str">
        <f t="shared" ref="G26:G62" si="0">IF(SUM(D26:F26)&gt;(C26+100),"Summa kol.D+kol.E+kol.F &gt; Kol.C","")</f>
        <v/>
      </c>
      <c r="H26" s="2077"/>
      <c r="I26" s="328"/>
      <c r="J26" s="328"/>
      <c r="K26" s="329"/>
      <c r="L26" s="188"/>
    </row>
    <row r="27" spans="1:12">
      <c r="A27" s="612" t="s">
        <v>358</v>
      </c>
      <c r="B27" s="581" t="s">
        <v>180</v>
      </c>
      <c r="C27" s="20">
        <v>158</v>
      </c>
      <c r="D27" s="20">
        <v>109</v>
      </c>
      <c r="E27" s="20">
        <v>9</v>
      </c>
      <c r="F27" s="474">
        <v>30</v>
      </c>
      <c r="G27" s="2100" t="str">
        <f t="shared" si="0"/>
        <v/>
      </c>
      <c r="H27" s="2077"/>
      <c r="I27" s="328"/>
      <c r="J27" s="328"/>
      <c r="K27" s="329"/>
      <c r="L27" s="188"/>
    </row>
    <row r="28" spans="1:12">
      <c r="A28" s="612" t="s">
        <v>229</v>
      </c>
      <c r="B28" s="581" t="s">
        <v>932</v>
      </c>
      <c r="C28" s="20">
        <v>13936</v>
      </c>
      <c r="D28" s="20">
        <v>12793</v>
      </c>
      <c r="E28" s="20">
        <v>235</v>
      </c>
      <c r="F28" s="474">
        <v>263</v>
      </c>
      <c r="G28" s="2100" t="str">
        <f t="shared" si="0"/>
        <v/>
      </c>
      <c r="H28" s="2077"/>
      <c r="I28" s="328"/>
      <c r="J28" s="328"/>
      <c r="K28" s="329"/>
      <c r="L28" s="188"/>
    </row>
    <row r="29" spans="1:12">
      <c r="A29" s="612" t="s">
        <v>230</v>
      </c>
      <c r="B29" s="581" t="s">
        <v>19</v>
      </c>
      <c r="C29" s="20">
        <v>2008</v>
      </c>
      <c r="D29" s="20">
        <v>1590</v>
      </c>
      <c r="E29" s="20">
        <v>114</v>
      </c>
      <c r="F29" s="474">
        <v>66</v>
      </c>
      <c r="G29" s="2100" t="str">
        <f t="shared" si="0"/>
        <v/>
      </c>
      <c r="H29" s="2077"/>
      <c r="I29" s="328"/>
      <c r="J29" s="328"/>
      <c r="K29" s="329"/>
      <c r="L29" s="188"/>
    </row>
    <row r="30" spans="1:12">
      <c r="A30" s="612" t="s">
        <v>359</v>
      </c>
      <c r="B30" s="581" t="s">
        <v>182</v>
      </c>
      <c r="C30" s="20">
        <v>113</v>
      </c>
      <c r="D30" s="20">
        <v>71</v>
      </c>
      <c r="E30" s="20">
        <v>18</v>
      </c>
      <c r="F30" s="474">
        <v>15</v>
      </c>
      <c r="G30" s="2100" t="str">
        <f t="shared" si="0"/>
        <v/>
      </c>
      <c r="H30" s="2077"/>
      <c r="I30" s="328"/>
      <c r="J30" s="328"/>
      <c r="K30" s="329"/>
      <c r="L30" s="188"/>
    </row>
    <row r="31" spans="1:12">
      <c r="A31" s="612" t="s">
        <v>234</v>
      </c>
      <c r="B31" s="581" t="s">
        <v>20</v>
      </c>
      <c r="C31" s="20">
        <v>601</v>
      </c>
      <c r="D31" s="20">
        <v>359</v>
      </c>
      <c r="E31" s="20">
        <v>207</v>
      </c>
      <c r="F31" s="474">
        <v>7</v>
      </c>
      <c r="G31" s="2100" t="str">
        <f t="shared" si="0"/>
        <v/>
      </c>
      <c r="H31" s="2077"/>
      <c r="I31" s="328"/>
      <c r="J31" s="328"/>
      <c r="K31" s="329"/>
      <c r="L31" s="188"/>
    </row>
    <row r="32" spans="1:12">
      <c r="A32" s="612" t="s">
        <v>235</v>
      </c>
      <c r="B32" s="581" t="s">
        <v>183</v>
      </c>
      <c r="C32" s="20">
        <v>109</v>
      </c>
      <c r="D32" s="20">
        <v>40</v>
      </c>
      <c r="E32" s="20">
        <v>4</v>
      </c>
      <c r="F32" s="474">
        <v>65</v>
      </c>
      <c r="G32" s="2100" t="str">
        <f t="shared" si="0"/>
        <v/>
      </c>
      <c r="H32" s="2077"/>
      <c r="I32" s="328"/>
      <c r="J32" s="328"/>
      <c r="K32" s="329"/>
      <c r="L32" s="188"/>
    </row>
    <row r="33" spans="1:12">
      <c r="A33" s="619" t="s">
        <v>236</v>
      </c>
      <c r="B33" s="620" t="s">
        <v>184</v>
      </c>
      <c r="C33" s="384">
        <f>SUM(C26:C32)</f>
        <v>23589</v>
      </c>
      <c r="D33" s="384">
        <f>SUM(D26:D32)</f>
        <v>19738</v>
      </c>
      <c r="E33" s="384">
        <f>SUM(E26:E32)</f>
        <v>667</v>
      </c>
      <c r="F33" s="2061">
        <f>SUM(F26:F32)</f>
        <v>1726</v>
      </c>
      <c r="G33" s="2100"/>
      <c r="H33" s="2077"/>
      <c r="I33" s="328"/>
      <c r="J33" s="328"/>
      <c r="K33" s="330"/>
      <c r="L33" s="188"/>
    </row>
    <row r="34" spans="1:12">
      <c r="A34" s="621" t="s">
        <v>246</v>
      </c>
      <c r="B34" s="622" t="s">
        <v>185</v>
      </c>
      <c r="C34" s="267">
        <v>6023</v>
      </c>
      <c r="D34" s="267">
        <v>4520</v>
      </c>
      <c r="E34" s="267">
        <v>597</v>
      </c>
      <c r="F34" s="2062">
        <v>629</v>
      </c>
      <c r="G34" s="2100" t="str">
        <f t="shared" si="0"/>
        <v/>
      </c>
      <c r="H34" s="2077"/>
      <c r="I34" s="328"/>
      <c r="J34" s="328"/>
      <c r="K34" s="329"/>
      <c r="L34" s="188"/>
    </row>
    <row r="35" spans="1:12" ht="18.75">
      <c r="A35" s="892" t="s">
        <v>252</v>
      </c>
      <c r="B35" s="1366" t="s">
        <v>810</v>
      </c>
      <c r="C35" s="266">
        <v>5026</v>
      </c>
      <c r="D35" s="266">
        <v>4462</v>
      </c>
      <c r="E35" s="266">
        <v>310</v>
      </c>
      <c r="F35" s="2060">
        <v>44</v>
      </c>
      <c r="G35" s="2100" t="str">
        <f t="shared" si="0"/>
        <v/>
      </c>
      <c r="H35" s="2077"/>
      <c r="I35" s="328"/>
      <c r="J35" s="328"/>
      <c r="K35" s="329"/>
      <c r="L35" s="188"/>
    </row>
    <row r="36" spans="1:12">
      <c r="A36" s="616"/>
      <c r="B36" s="617" t="s">
        <v>186</v>
      </c>
      <c r="C36" s="893"/>
      <c r="D36" s="893"/>
      <c r="E36" s="893"/>
      <c r="F36" s="2063"/>
      <c r="G36" s="2100"/>
      <c r="H36" s="2077"/>
      <c r="I36" s="328"/>
      <c r="J36" s="328"/>
      <c r="K36" s="329"/>
      <c r="L36" s="188"/>
    </row>
    <row r="37" spans="1:12">
      <c r="A37" s="610" t="s">
        <v>408</v>
      </c>
      <c r="B37" s="618" t="s">
        <v>796</v>
      </c>
      <c r="C37" s="20">
        <v>11939</v>
      </c>
      <c r="D37" s="20">
        <v>10553</v>
      </c>
      <c r="E37" s="20">
        <v>1010</v>
      </c>
      <c r="F37" s="474">
        <v>57</v>
      </c>
      <c r="G37" s="2100" t="str">
        <f t="shared" si="0"/>
        <v/>
      </c>
      <c r="H37" s="2077"/>
      <c r="I37" s="328"/>
      <c r="J37" s="328"/>
      <c r="K37" s="329"/>
      <c r="L37" s="188"/>
    </row>
    <row r="38" spans="1:12">
      <c r="A38" s="612" t="s">
        <v>360</v>
      </c>
      <c r="B38" s="581" t="s">
        <v>187</v>
      </c>
      <c r="C38" s="20">
        <v>2112</v>
      </c>
      <c r="D38" s="20">
        <v>1659</v>
      </c>
      <c r="E38" s="20">
        <v>378</v>
      </c>
      <c r="F38" s="474">
        <v>12</v>
      </c>
      <c r="G38" s="2100" t="str">
        <f t="shared" si="0"/>
        <v/>
      </c>
      <c r="H38" s="2077"/>
      <c r="I38" s="328"/>
      <c r="J38" s="328"/>
      <c r="K38" s="329"/>
      <c r="L38" s="188"/>
    </row>
    <row r="39" spans="1:12">
      <c r="A39" s="610" t="s">
        <v>361</v>
      </c>
      <c r="B39" s="581" t="s">
        <v>21</v>
      </c>
      <c r="C39" s="20">
        <v>155</v>
      </c>
      <c r="D39" s="20">
        <v>79</v>
      </c>
      <c r="E39" s="20">
        <v>56</v>
      </c>
      <c r="F39" s="474">
        <v>11</v>
      </c>
      <c r="G39" s="2100" t="str">
        <f t="shared" si="0"/>
        <v/>
      </c>
      <c r="H39" s="2077"/>
      <c r="I39" s="328"/>
      <c r="J39" s="328"/>
      <c r="K39" s="329"/>
      <c r="L39" s="329"/>
    </row>
    <row r="40" spans="1:12">
      <c r="A40" s="619" t="s">
        <v>261</v>
      </c>
      <c r="B40" s="620" t="s">
        <v>22</v>
      </c>
      <c r="C40" s="384">
        <f>SUM(C37:C39)</f>
        <v>14206</v>
      </c>
      <c r="D40" s="384">
        <f>SUM(D37:D39)</f>
        <v>12291</v>
      </c>
      <c r="E40" s="384">
        <f>SUM(E37:E39)</f>
        <v>1444</v>
      </c>
      <c r="F40" s="2061">
        <f>SUM(F37:F39)</f>
        <v>80</v>
      </c>
      <c r="G40" s="2100"/>
      <c r="H40" s="2077"/>
      <c r="I40" s="328"/>
      <c r="J40" s="328"/>
      <c r="K40" s="329"/>
      <c r="L40" s="329"/>
    </row>
    <row r="41" spans="1:12">
      <c r="A41" s="621" t="s">
        <v>262</v>
      </c>
      <c r="B41" s="622" t="s">
        <v>188</v>
      </c>
      <c r="C41" s="384">
        <f>C35+C40</f>
        <v>19232</v>
      </c>
      <c r="D41" s="384">
        <f>D35+D40</f>
        <v>16753</v>
      </c>
      <c r="E41" s="384">
        <f>E35+E40</f>
        <v>1754</v>
      </c>
      <c r="F41" s="2064">
        <f>F35+F40</f>
        <v>124</v>
      </c>
      <c r="G41" s="2100"/>
      <c r="H41" s="2077"/>
      <c r="I41" s="328"/>
      <c r="J41" s="328"/>
      <c r="K41" s="329"/>
      <c r="L41" s="329"/>
    </row>
    <row r="42" spans="1:12" ht="18.75">
      <c r="A42" s="608" t="s">
        <v>263</v>
      </c>
      <c r="B42" s="623" t="s">
        <v>189</v>
      </c>
      <c r="C42" s="20">
        <v>9</v>
      </c>
      <c r="D42" s="20">
        <v>5</v>
      </c>
      <c r="E42" s="20">
        <v>2</v>
      </c>
      <c r="F42" s="474">
        <v>0</v>
      </c>
      <c r="G42" s="2100" t="str">
        <f t="shared" si="0"/>
        <v/>
      </c>
      <c r="H42" s="2077"/>
      <c r="I42" s="328"/>
      <c r="J42" s="328"/>
      <c r="K42" s="329"/>
      <c r="L42" s="329"/>
    </row>
    <row r="43" spans="1:12">
      <c r="A43" s="624" t="s">
        <v>264</v>
      </c>
      <c r="B43" s="581" t="s">
        <v>102</v>
      </c>
      <c r="C43" s="20">
        <v>65</v>
      </c>
      <c r="D43" s="20">
        <v>40</v>
      </c>
      <c r="E43" s="20">
        <v>17</v>
      </c>
      <c r="F43" s="474">
        <v>0</v>
      </c>
      <c r="G43" s="2100" t="str">
        <f t="shared" si="0"/>
        <v/>
      </c>
      <c r="H43" s="2077"/>
      <c r="I43" s="328"/>
      <c r="J43" s="328"/>
      <c r="K43" s="329"/>
      <c r="L43" s="188"/>
    </row>
    <row r="44" spans="1:12">
      <c r="A44" s="612" t="s">
        <v>451</v>
      </c>
      <c r="B44" s="625" t="s">
        <v>507</v>
      </c>
      <c r="C44" s="512">
        <v>2793</v>
      </c>
      <c r="D44" s="20">
        <v>2191</v>
      </c>
      <c r="E44" s="20">
        <v>442</v>
      </c>
      <c r="F44" s="474">
        <v>16</v>
      </c>
      <c r="G44" s="2100" t="str">
        <f t="shared" si="0"/>
        <v/>
      </c>
      <c r="H44" s="2077"/>
      <c r="I44" s="328"/>
      <c r="J44" s="328"/>
      <c r="K44" s="329"/>
      <c r="L44" s="188"/>
    </row>
    <row r="45" spans="1:12" ht="18.75">
      <c r="A45" s="612" t="s">
        <v>520</v>
      </c>
      <c r="B45" s="618" t="s">
        <v>521</v>
      </c>
      <c r="C45" s="512">
        <v>1055</v>
      </c>
      <c r="D45" s="20">
        <v>878</v>
      </c>
      <c r="E45" s="20">
        <v>89</v>
      </c>
      <c r="F45" s="474">
        <v>11</v>
      </c>
      <c r="G45" s="2100" t="str">
        <f t="shared" si="0"/>
        <v/>
      </c>
      <c r="H45" s="2077"/>
      <c r="I45" s="328"/>
      <c r="J45" s="328"/>
      <c r="K45" s="329"/>
      <c r="L45" s="188"/>
    </row>
    <row r="46" spans="1:12">
      <c r="A46" s="612" t="s">
        <v>362</v>
      </c>
      <c r="B46" s="581" t="s">
        <v>190</v>
      </c>
      <c r="C46" s="20">
        <v>227</v>
      </c>
      <c r="D46" s="20">
        <v>179</v>
      </c>
      <c r="E46" s="20">
        <v>35</v>
      </c>
      <c r="F46" s="474">
        <v>0</v>
      </c>
      <c r="G46" s="2100" t="str">
        <f t="shared" si="0"/>
        <v/>
      </c>
      <c r="H46" s="2077"/>
      <c r="I46" s="328"/>
      <c r="J46" s="328"/>
      <c r="K46" s="329"/>
      <c r="L46" s="188"/>
    </row>
    <row r="47" spans="1:12">
      <c r="A47" s="619" t="s">
        <v>363</v>
      </c>
      <c r="B47" s="894" t="s">
        <v>191</v>
      </c>
      <c r="C47" s="384">
        <f>SUM(C42:C46)</f>
        <v>4149</v>
      </c>
      <c r="D47" s="384">
        <f>SUM(D42:D46)</f>
        <v>3293</v>
      </c>
      <c r="E47" s="384">
        <f>SUM(E42:E46)</f>
        <v>585</v>
      </c>
      <c r="F47" s="2061">
        <f>SUM(F42:F46)</f>
        <v>27</v>
      </c>
      <c r="G47" s="2100"/>
      <c r="H47" s="2077"/>
      <c r="I47" s="328"/>
      <c r="J47" s="328"/>
      <c r="K47" s="330"/>
      <c r="L47" s="188"/>
    </row>
    <row r="48" spans="1:12">
      <c r="A48" s="621" t="s">
        <v>269</v>
      </c>
      <c r="B48" s="622" t="s">
        <v>192</v>
      </c>
      <c r="C48" s="267">
        <v>246</v>
      </c>
      <c r="D48" s="267">
        <v>167</v>
      </c>
      <c r="E48" s="267">
        <v>25</v>
      </c>
      <c r="F48" s="2062">
        <v>43</v>
      </c>
      <c r="G48" s="2100" t="str">
        <f t="shared" si="0"/>
        <v/>
      </c>
      <c r="H48" s="2077"/>
      <c r="I48" s="328"/>
      <c r="J48" s="328"/>
      <c r="K48" s="329"/>
      <c r="L48" s="188"/>
    </row>
    <row r="49" spans="1:12">
      <c r="A49" s="892" t="s">
        <v>270</v>
      </c>
      <c r="B49" s="620" t="s">
        <v>23</v>
      </c>
      <c r="C49" s="384">
        <f>SUM(C25,C33,C34,C41,C47,C48)</f>
        <v>53301</v>
      </c>
      <c r="D49" s="384">
        <f>SUM(D25,D33,D34,D41,D47,D48)</f>
        <v>44493</v>
      </c>
      <c r="E49" s="384">
        <f>SUM(E25,E33,E34,E41,E47,E48)</f>
        <v>3645</v>
      </c>
      <c r="F49" s="2065">
        <f>SUM(F25,F33,F34,F41,F47,F48)</f>
        <v>2570</v>
      </c>
      <c r="G49" s="2100"/>
      <c r="H49" s="2077"/>
      <c r="I49" s="328"/>
      <c r="J49" s="328"/>
      <c r="K49" s="329"/>
      <c r="L49" s="188"/>
    </row>
    <row r="50" spans="1:12" ht="27.75">
      <c r="A50" s="891" t="s">
        <v>271</v>
      </c>
      <c r="B50" s="895" t="s">
        <v>193</v>
      </c>
      <c r="C50" s="20">
        <v>1986</v>
      </c>
      <c r="D50" s="20">
        <v>1731</v>
      </c>
      <c r="E50" s="20">
        <v>6</v>
      </c>
      <c r="F50" s="474">
        <v>102</v>
      </c>
      <c r="G50" s="2100" t="str">
        <f t="shared" si="0"/>
        <v/>
      </c>
      <c r="H50" s="2077"/>
      <c r="I50" s="328"/>
      <c r="J50" s="328"/>
      <c r="K50" s="329"/>
      <c r="L50" s="188"/>
    </row>
    <row r="51" spans="1:12">
      <c r="A51" s="624" t="s">
        <v>272</v>
      </c>
      <c r="B51" s="593" t="s">
        <v>24</v>
      </c>
      <c r="C51" s="20">
        <v>626</v>
      </c>
      <c r="D51" s="20">
        <v>539</v>
      </c>
      <c r="E51" s="20">
        <v>11</v>
      </c>
      <c r="F51" s="474">
        <v>47</v>
      </c>
      <c r="G51" s="2100" t="str">
        <f t="shared" si="0"/>
        <v/>
      </c>
      <c r="H51" s="2077"/>
      <c r="I51" s="328"/>
      <c r="J51" s="328"/>
      <c r="K51" s="329"/>
      <c r="L51" s="188"/>
    </row>
    <row r="52" spans="1:12">
      <c r="A52" s="624" t="s">
        <v>273</v>
      </c>
      <c r="B52" s="593" t="s">
        <v>25</v>
      </c>
      <c r="C52" s="20">
        <v>680</v>
      </c>
      <c r="D52" s="20">
        <v>550</v>
      </c>
      <c r="E52" s="20">
        <v>23</v>
      </c>
      <c r="F52" s="474">
        <v>53</v>
      </c>
      <c r="G52" s="2100" t="str">
        <f t="shared" si="0"/>
        <v/>
      </c>
      <c r="H52" s="2077"/>
      <c r="I52" s="328"/>
      <c r="J52" s="328"/>
      <c r="K52" s="329"/>
      <c r="L52" s="188"/>
    </row>
    <row r="53" spans="1:12">
      <c r="A53" s="624" t="s">
        <v>274</v>
      </c>
      <c r="B53" s="593" t="s">
        <v>26</v>
      </c>
      <c r="C53" s="20">
        <v>2646</v>
      </c>
      <c r="D53" s="20">
        <v>2214</v>
      </c>
      <c r="E53" s="20">
        <v>4</v>
      </c>
      <c r="F53" s="474">
        <v>248</v>
      </c>
      <c r="G53" s="2100" t="str">
        <f t="shared" si="0"/>
        <v/>
      </c>
      <c r="H53" s="2077"/>
      <c r="I53" s="328"/>
      <c r="J53" s="328"/>
      <c r="K53" s="329"/>
      <c r="L53" s="188"/>
    </row>
    <row r="54" spans="1:12">
      <c r="A54" s="896" t="s">
        <v>275</v>
      </c>
      <c r="B54" s="897" t="s">
        <v>27</v>
      </c>
      <c r="C54" s="384">
        <f>SUM(C50:C53)</f>
        <v>5938</v>
      </c>
      <c r="D54" s="384">
        <f>SUM(D50:D53)</f>
        <v>5034</v>
      </c>
      <c r="E54" s="384">
        <f>SUM(E50:E53)</f>
        <v>44</v>
      </c>
      <c r="F54" s="2061">
        <f>SUM(F50:F53)</f>
        <v>450</v>
      </c>
      <c r="G54" s="2100"/>
      <c r="H54" s="2077"/>
      <c r="I54" s="328"/>
      <c r="J54" s="328"/>
      <c r="K54" s="330"/>
      <c r="L54" s="188"/>
    </row>
    <row r="55" spans="1:12" ht="18.75">
      <c r="A55" s="608" t="s">
        <v>276</v>
      </c>
      <c r="B55" s="898" t="s">
        <v>194</v>
      </c>
      <c r="C55" s="20">
        <v>21</v>
      </c>
      <c r="D55" s="20">
        <v>15</v>
      </c>
      <c r="E55" s="20">
        <v>5</v>
      </c>
      <c r="F55" s="474">
        <v>0</v>
      </c>
      <c r="G55" s="2100" t="str">
        <f t="shared" si="0"/>
        <v/>
      </c>
      <c r="H55" s="2077"/>
      <c r="I55" s="328"/>
      <c r="J55" s="328"/>
      <c r="K55" s="329"/>
      <c r="L55" s="188"/>
    </row>
    <row r="56" spans="1:12">
      <c r="A56" s="624" t="s">
        <v>277</v>
      </c>
      <c r="B56" s="632" t="s">
        <v>931</v>
      </c>
      <c r="C56" s="20">
        <v>305</v>
      </c>
      <c r="D56" s="20">
        <v>263</v>
      </c>
      <c r="E56" s="20">
        <v>7</v>
      </c>
      <c r="F56" s="474">
        <v>21</v>
      </c>
      <c r="G56" s="2100" t="str">
        <f t="shared" si="0"/>
        <v/>
      </c>
      <c r="H56" s="2077"/>
      <c r="I56" s="328"/>
      <c r="J56" s="328"/>
      <c r="K56" s="329"/>
      <c r="L56" s="188"/>
    </row>
    <row r="57" spans="1:12">
      <c r="A57" s="624" t="s">
        <v>278</v>
      </c>
      <c r="B57" s="899" t="s">
        <v>28</v>
      </c>
      <c r="C57" s="20">
        <v>6</v>
      </c>
      <c r="D57" s="20">
        <v>3</v>
      </c>
      <c r="E57" s="20">
        <v>1</v>
      </c>
      <c r="F57" s="474">
        <v>0</v>
      </c>
      <c r="G57" s="2100" t="str">
        <f t="shared" si="0"/>
        <v/>
      </c>
      <c r="H57" s="2077"/>
      <c r="I57" s="328"/>
      <c r="J57" s="328"/>
      <c r="K57" s="329"/>
      <c r="L57" s="188"/>
    </row>
    <row r="58" spans="1:12">
      <c r="A58" s="896" t="s">
        <v>279</v>
      </c>
      <c r="B58" s="622" t="s">
        <v>29</v>
      </c>
      <c r="C58" s="384">
        <f>SUM(C55:C57)</f>
        <v>332</v>
      </c>
      <c r="D58" s="384">
        <f>SUM(D55:D57)</f>
        <v>281</v>
      </c>
      <c r="E58" s="384">
        <f>SUM(E55:E57)</f>
        <v>13</v>
      </c>
      <c r="F58" s="2061">
        <f>SUM(F55:F57)</f>
        <v>21</v>
      </c>
      <c r="G58" s="2100"/>
      <c r="H58" s="2077"/>
      <c r="I58" s="328"/>
      <c r="J58" s="328"/>
      <c r="K58" s="330"/>
      <c r="L58" s="188"/>
    </row>
    <row r="59" spans="1:12" ht="18.75">
      <c r="A59" s="608" t="s">
        <v>280</v>
      </c>
      <c r="B59" s="623" t="s">
        <v>195</v>
      </c>
      <c r="C59" s="20">
        <v>309</v>
      </c>
      <c r="D59" s="20">
        <v>190</v>
      </c>
      <c r="E59" s="20">
        <v>32</v>
      </c>
      <c r="F59" s="474">
        <v>0</v>
      </c>
      <c r="G59" s="2100" t="str">
        <f t="shared" si="0"/>
        <v/>
      </c>
      <c r="H59" s="2077"/>
      <c r="I59" s="328"/>
      <c r="J59" s="328"/>
      <c r="K59" s="329"/>
      <c r="L59" s="188"/>
    </row>
    <row r="60" spans="1:12">
      <c r="A60" s="624" t="s">
        <v>281</v>
      </c>
      <c r="B60" s="593" t="s">
        <v>30</v>
      </c>
      <c r="C60" s="20">
        <v>21</v>
      </c>
      <c r="D60" s="20">
        <v>14</v>
      </c>
      <c r="E60" s="20">
        <v>5</v>
      </c>
      <c r="F60" s="474">
        <v>1</v>
      </c>
      <c r="G60" s="2100" t="str">
        <f t="shared" si="0"/>
        <v/>
      </c>
      <c r="H60" s="2077"/>
      <c r="I60" s="328"/>
      <c r="J60" s="328"/>
      <c r="K60" s="329"/>
      <c r="L60" s="188"/>
    </row>
    <row r="61" spans="1:12">
      <c r="A61" s="624" t="s">
        <v>282</v>
      </c>
      <c r="B61" s="593" t="s">
        <v>31</v>
      </c>
      <c r="C61" s="20">
        <v>7475</v>
      </c>
      <c r="D61" s="20">
        <v>6411</v>
      </c>
      <c r="E61" s="20">
        <v>197</v>
      </c>
      <c r="F61" s="474">
        <v>69</v>
      </c>
      <c r="G61" s="2100" t="str">
        <f t="shared" si="0"/>
        <v/>
      </c>
      <c r="H61" s="2077"/>
      <c r="I61" s="328"/>
      <c r="J61" s="328"/>
      <c r="K61" s="329"/>
      <c r="L61" s="188"/>
    </row>
    <row r="62" spans="1:12">
      <c r="A62" s="624" t="s">
        <v>283</v>
      </c>
      <c r="B62" s="593" t="s">
        <v>32</v>
      </c>
      <c r="C62" s="20">
        <v>498</v>
      </c>
      <c r="D62" s="20">
        <v>296</v>
      </c>
      <c r="E62" s="20">
        <v>165</v>
      </c>
      <c r="F62" s="474">
        <v>5</v>
      </c>
      <c r="G62" s="2100" t="str">
        <f t="shared" si="0"/>
        <v/>
      </c>
      <c r="H62" s="2077"/>
      <c r="I62" s="328"/>
      <c r="J62" s="328"/>
      <c r="K62" s="329"/>
      <c r="L62" s="188"/>
    </row>
    <row r="63" spans="1:12">
      <c r="A63" s="896" t="s">
        <v>284</v>
      </c>
      <c r="B63" s="622" t="s">
        <v>196</v>
      </c>
      <c r="C63" s="384">
        <f>SUM(C59:C62)</f>
        <v>8303</v>
      </c>
      <c r="D63" s="384">
        <f>SUM(D59:D62)</f>
        <v>6911</v>
      </c>
      <c r="E63" s="384">
        <f>SUM(E59:E62)</f>
        <v>399</v>
      </c>
      <c r="F63" s="2061">
        <f>SUM(F59:F62)</f>
        <v>75</v>
      </c>
      <c r="G63" s="2100"/>
      <c r="H63" s="2077"/>
      <c r="I63" s="328"/>
      <c r="J63" s="328"/>
      <c r="K63" s="330"/>
      <c r="L63" s="188"/>
    </row>
    <row r="64" spans="1:12">
      <c r="A64" s="892" t="s">
        <v>285</v>
      </c>
      <c r="B64" s="620" t="s">
        <v>33</v>
      </c>
      <c r="C64" s="384">
        <f>SUM(C54,C58,C63)</f>
        <v>14573</v>
      </c>
      <c r="D64" s="384">
        <f>SUM(D54,D58,D63)</f>
        <v>12226</v>
      </c>
      <c r="E64" s="384">
        <f>SUM(E54,E58,E63)</f>
        <v>456</v>
      </c>
      <c r="F64" s="2065">
        <f>SUM(F54,F58,F63)</f>
        <v>546</v>
      </c>
      <c r="G64" s="2100"/>
      <c r="H64" s="2077"/>
      <c r="I64" s="328"/>
      <c r="J64" s="328"/>
      <c r="K64" s="329"/>
      <c r="L64" s="188"/>
    </row>
    <row r="65" spans="1:13" ht="13.5" thickBot="1">
      <c r="A65" s="900" t="s">
        <v>288</v>
      </c>
      <c r="B65" s="901" t="s">
        <v>35</v>
      </c>
      <c r="C65" s="268">
        <v>4829</v>
      </c>
      <c r="D65" s="268">
        <v>2238</v>
      </c>
      <c r="E65" s="268">
        <v>2072</v>
      </c>
      <c r="F65" s="2066">
        <v>153</v>
      </c>
      <c r="G65" s="2100" t="str">
        <f>IF(C65&gt;(0.3*C66),"Rad 920 avser bara investeringar i gemensamma verksamheter. Alla andra investeringar ska fördelas till rätt verksamhet. Använd schabloner vid behov",IF(SUM(D65:F65)&gt;(C65+100),"Summa kol.D+kol.E+kol.F &gt; Kol.C",""))</f>
        <v/>
      </c>
      <c r="H65" s="2077"/>
      <c r="I65" s="328"/>
      <c r="J65" s="328"/>
      <c r="K65" s="329"/>
      <c r="L65" s="188"/>
    </row>
    <row r="66" spans="1:13" ht="27" customHeight="1" thickBot="1">
      <c r="A66" s="902" t="s">
        <v>289</v>
      </c>
      <c r="B66" s="710" t="s">
        <v>36</v>
      </c>
      <c r="C66" s="388">
        <f>SUM(C49,C64,C65)</f>
        <v>72703</v>
      </c>
      <c r="D66" s="388">
        <f>SUM(D49,D64,D65)</f>
        <v>58957</v>
      </c>
      <c r="E66" s="388">
        <f>SUM(E49,E64,E65)</f>
        <v>6173</v>
      </c>
      <c r="F66" s="2067">
        <f>SUM(F49,F64,F65)</f>
        <v>3269</v>
      </c>
      <c r="G66" s="2100" t="str">
        <f>IF(C66=0,"",IF(SUM(D66:F66)/C66&lt;0.9,"Vad avser de  " &amp;""&amp;(ROUND(C66-SUM(D66:F66),0))&amp; "tkr investeringsutgifter i kol C som inte ingår i kol. D-F? OBS! alla entrep. o kons. ska ingå i kol D",""))</f>
        <v/>
      </c>
      <c r="H66" s="2077"/>
      <c r="I66" s="1342"/>
      <c r="J66" s="1623"/>
      <c r="K66" s="1349"/>
      <c r="L66" s="188"/>
    </row>
    <row r="67" spans="1:13" ht="10.5" customHeight="1">
      <c r="A67" s="319"/>
      <c r="B67" s="18"/>
      <c r="C67" s="79"/>
      <c r="D67" s="79"/>
      <c r="E67" s="79"/>
      <c r="F67" s="79"/>
      <c r="G67" s="1918"/>
      <c r="H67" s="79"/>
      <c r="I67" s="1918"/>
      <c r="J67" s="69"/>
      <c r="K67" s="70"/>
      <c r="L67" s="4"/>
    </row>
    <row r="68" spans="1:13" ht="25.5" customHeight="1">
      <c r="A68" s="319"/>
      <c r="B68" s="18"/>
      <c r="C68" s="79"/>
      <c r="D68" s="79"/>
      <c r="E68" s="79"/>
      <c r="F68" s="79"/>
      <c r="G68" s="2562"/>
      <c r="H68" s="2526"/>
      <c r="I68" s="2526"/>
      <c r="J68" s="2526"/>
      <c r="K68" s="2280"/>
      <c r="L68" s="2079"/>
    </row>
    <row r="69" spans="1:13" ht="31.5" customHeight="1">
      <c r="A69" s="319"/>
      <c r="B69" s="18"/>
      <c r="C69" s="79"/>
      <c r="D69" s="79"/>
      <c r="E69" s="79"/>
      <c r="F69" s="79"/>
      <c r="G69" s="2526"/>
      <c r="H69" s="2526"/>
      <c r="I69" s="2526"/>
      <c r="J69" s="2526"/>
      <c r="K69" s="2280"/>
      <c r="L69" s="2079"/>
      <c r="M69" s="1362"/>
    </row>
    <row r="70" spans="1:13" ht="28.5" customHeight="1">
      <c r="A70" s="2564" t="s">
        <v>1319</v>
      </c>
      <c r="B70" s="2565"/>
      <c r="C70" s="2566"/>
      <c r="D70" s="2566"/>
      <c r="E70" s="2566"/>
      <c r="F70" s="2566"/>
      <c r="G70" s="79"/>
      <c r="H70" s="1437"/>
      <c r="I70" s="2054"/>
      <c r="J70" s="2054"/>
      <c r="K70" s="2054"/>
      <c r="L70" s="2054"/>
      <c r="M70" s="1362"/>
    </row>
    <row r="71" spans="1:13">
      <c r="A71" s="1925" t="s">
        <v>1172</v>
      </c>
      <c r="B71" s="1509"/>
      <c r="C71" s="149"/>
      <c r="D71" s="73"/>
      <c r="F71" s="74"/>
      <c r="G71" s="75"/>
      <c r="H71" s="259"/>
      <c r="I71" s="2054"/>
      <c r="J71" s="2054"/>
      <c r="K71" s="2054"/>
      <c r="L71" s="2054"/>
      <c r="M71" s="1362"/>
    </row>
    <row r="72" spans="1:13" ht="32.25" customHeight="1" thickBot="1">
      <c r="A72" s="1919" t="s">
        <v>1218</v>
      </c>
      <c r="B72" s="96"/>
      <c r="C72" s="1473"/>
      <c r="D72" s="39"/>
      <c r="E72" s="1360"/>
      <c r="F72" s="1361"/>
      <c r="G72" s="1361"/>
      <c r="H72" s="1361"/>
      <c r="I72" s="2078"/>
      <c r="J72" s="2078"/>
      <c r="K72" s="2078"/>
      <c r="L72" s="2078"/>
      <c r="M72" s="1362"/>
    </row>
    <row r="73" spans="1:13" ht="27.75">
      <c r="A73" s="1921" t="s">
        <v>1168</v>
      </c>
      <c r="B73" s="1922" t="s">
        <v>1169</v>
      </c>
      <c r="C73" s="1945" t="s">
        <v>1311</v>
      </c>
      <c r="D73" s="153"/>
      <c r="E73" s="1361"/>
      <c r="F73" s="1361"/>
      <c r="G73" s="2123"/>
      <c r="H73" s="1361"/>
      <c r="I73" s="2123"/>
      <c r="J73" s="308"/>
      <c r="K73" s="308"/>
      <c r="L73" s="308"/>
      <c r="M73" s="1362"/>
    </row>
    <row r="74" spans="1:13" ht="15" customHeight="1">
      <c r="A74" s="2173" t="s">
        <v>437</v>
      </c>
      <c r="B74" s="2147" t="s">
        <v>1170</v>
      </c>
      <c r="C74" s="240">
        <v>2376</v>
      </c>
      <c r="D74" s="2134" t="str">
        <f>IF(C74="","skriv belopp eller 0",IF(C74&lt;0,"inget minusbelopp",""))</f>
        <v/>
      </c>
      <c r="E74" s="1361"/>
      <c r="F74" s="1361"/>
      <c r="G74" s="2080"/>
      <c r="H74" s="182"/>
      <c r="I74" s="182"/>
      <c r="J74" s="182"/>
      <c r="K74" s="182"/>
      <c r="L74" s="182"/>
      <c r="M74" s="1362"/>
    </row>
    <row r="75" spans="1:13" ht="13.5" thickBot="1">
      <c r="A75" s="2174">
        <v>705</v>
      </c>
      <c r="B75" s="2148" t="s">
        <v>1171</v>
      </c>
      <c r="C75" s="244">
        <v>7301</v>
      </c>
      <c r="D75" s="2134" t="str">
        <f>IF(C75="","skriv belopp eller 0","")</f>
        <v/>
      </c>
      <c r="E75" s="1361"/>
      <c r="F75" s="1361"/>
      <c r="G75" s="182"/>
      <c r="H75" s="307"/>
      <c r="I75" s="182"/>
      <c r="J75" s="182"/>
      <c r="K75" s="182"/>
      <c r="L75" s="182"/>
      <c r="M75" s="1362"/>
    </row>
    <row r="76" spans="1:13" ht="13.5" thickBot="1">
      <c r="A76" s="1511"/>
      <c r="B76" s="1510"/>
      <c r="C76" s="155"/>
      <c r="D76" s="1642"/>
      <c r="E76" s="1361"/>
      <c r="F76" s="1361"/>
      <c r="G76" s="1361"/>
      <c r="H76" s="1361"/>
      <c r="I76" s="2124"/>
      <c r="J76" s="2124"/>
      <c r="K76" s="2124"/>
      <c r="L76" s="2124"/>
      <c r="M76" s="1362"/>
    </row>
    <row r="77" spans="1:13" ht="18.75">
      <c r="A77" s="1923" t="s">
        <v>495</v>
      </c>
      <c r="B77" s="1924" t="s">
        <v>1189</v>
      </c>
      <c r="C77" s="2128" t="s">
        <v>1311</v>
      </c>
      <c r="D77" s="1642"/>
      <c r="E77" s="1361"/>
      <c r="F77" s="1361"/>
      <c r="H77" s="1361"/>
      <c r="I77" s="2124"/>
      <c r="J77" s="2124"/>
      <c r="K77" s="2124"/>
      <c r="L77" s="2124"/>
      <c r="M77" s="1362"/>
    </row>
    <row r="78" spans="1:13">
      <c r="A78" s="2175">
        <v>710</v>
      </c>
      <c r="B78" s="1233" t="s">
        <v>1260</v>
      </c>
      <c r="C78" s="240">
        <v>5772</v>
      </c>
      <c r="D78" s="2134" t="str">
        <f>IF(C78="","skriv belopp eller 0",IF(C78=0,"Bekräfta i kommentarrutan om det stämmer att kommunen inte fått några investeringsinkomster (exkl. försäljning av anl.tillg.)",IF(SUM(C79:C81)&gt;C78,"Därav-raderna 715-725 &gt; Total-rad 710","")))</f>
        <v/>
      </c>
      <c r="E78" s="1361"/>
      <c r="F78" s="1361"/>
      <c r="G78" s="1361"/>
      <c r="H78" s="1361"/>
      <c r="I78" s="2124"/>
      <c r="J78" s="2124"/>
      <c r="K78" s="2124"/>
      <c r="L78" s="2124"/>
      <c r="M78" s="1362"/>
    </row>
    <row r="79" spans="1:13">
      <c r="A79" s="2149" t="s">
        <v>1173</v>
      </c>
      <c r="B79" s="1227" t="s">
        <v>1203</v>
      </c>
      <c r="C79" s="240">
        <v>1802</v>
      </c>
      <c r="D79" s="2134" t="str">
        <f>IF(C79="","skriv belopp eller 0","")</f>
        <v/>
      </c>
      <c r="E79" s="1361"/>
      <c r="F79" s="1361"/>
      <c r="G79" s="1361"/>
      <c r="H79" s="1361"/>
      <c r="I79" s="2124"/>
      <c r="J79" s="2124"/>
      <c r="K79" s="2124"/>
      <c r="L79" s="2124"/>
      <c r="M79" s="1362"/>
    </row>
    <row r="80" spans="1:13">
      <c r="A80" s="2149" t="s">
        <v>1174</v>
      </c>
      <c r="B80" s="1227" t="s">
        <v>1204</v>
      </c>
      <c r="C80" s="240">
        <v>53</v>
      </c>
      <c r="D80" s="2134" t="str">
        <f>IF(C80="","skriv belopp eller 0","")</f>
        <v/>
      </c>
      <c r="E80" s="1361"/>
      <c r="F80" s="1361"/>
      <c r="G80" s="2123"/>
      <c r="H80" s="1361"/>
      <c r="I80" s="2124"/>
      <c r="J80" s="2124"/>
      <c r="K80" s="2124"/>
      <c r="L80" s="2124"/>
      <c r="M80" s="1362"/>
    </row>
    <row r="81" spans="1:13">
      <c r="A81" s="2149" t="s">
        <v>1175</v>
      </c>
      <c r="B81" s="1227" t="s">
        <v>1205</v>
      </c>
      <c r="C81" s="240">
        <v>2815</v>
      </c>
      <c r="D81" s="2134" t="str">
        <f>IF(C81="","skriv belopp eller 0","")</f>
        <v/>
      </c>
      <c r="E81" s="1361"/>
      <c r="F81" s="1361"/>
      <c r="G81" s="2513"/>
      <c r="H81" s="2563"/>
      <c r="I81" s="2563"/>
      <c r="J81" s="2563"/>
      <c r="K81" s="2124"/>
      <c r="L81" s="2124"/>
      <c r="M81" s="1362"/>
    </row>
    <row r="82" spans="1:13" ht="13.5" thickBot="1">
      <c r="A82" s="2150" t="s">
        <v>1179</v>
      </c>
      <c r="B82" s="1872" t="s">
        <v>1206</v>
      </c>
      <c r="C82" s="2121">
        <f>C78-C79-C80-C81</f>
        <v>1102</v>
      </c>
      <c r="D82" s="1855"/>
      <c r="E82" s="1361"/>
      <c r="F82" s="1361"/>
      <c r="G82" s="2563"/>
      <c r="H82" s="2563"/>
      <c r="I82" s="2563"/>
      <c r="J82" s="2563"/>
      <c r="K82" s="2124"/>
      <c r="L82" s="2124"/>
      <c r="M82" s="1362"/>
    </row>
    <row r="83" spans="1:13">
      <c r="A83" s="1511"/>
      <c r="B83" s="1510"/>
      <c r="C83" s="155"/>
      <c r="D83" s="1642"/>
      <c r="E83" s="1361"/>
      <c r="F83" s="1361"/>
      <c r="G83" s="1361"/>
      <c r="H83" s="1361"/>
      <c r="I83" s="2124"/>
      <c r="J83" s="2124"/>
      <c r="K83" s="2124"/>
      <c r="L83" s="2124"/>
      <c r="M83" s="1362"/>
    </row>
    <row r="84" spans="1:13" ht="19.5" customHeight="1">
      <c r="A84" s="2564" t="s">
        <v>1320</v>
      </c>
      <c r="B84" s="2567"/>
      <c r="C84" s="2568"/>
      <c r="D84" s="2568"/>
      <c r="E84" s="2568"/>
      <c r="F84" s="2568"/>
      <c r="G84" s="2568"/>
      <c r="H84" s="2568"/>
      <c r="I84" s="2568"/>
      <c r="J84" s="2568"/>
      <c r="K84" s="2568"/>
      <c r="L84" s="2124"/>
      <c r="M84" s="1362"/>
    </row>
    <row r="85" spans="1:13">
      <c r="A85" s="2568"/>
      <c r="B85" s="2568"/>
      <c r="C85" s="2568"/>
      <c r="D85" s="2568"/>
      <c r="E85" s="2568"/>
      <c r="F85" s="2568"/>
      <c r="G85" s="2568"/>
      <c r="H85" s="2568"/>
      <c r="I85" s="2568"/>
      <c r="J85" s="2568"/>
      <c r="K85" s="2568"/>
      <c r="L85" s="2124"/>
      <c r="M85" s="1362"/>
    </row>
    <row r="86" spans="1:13">
      <c r="A86" s="1934" t="s">
        <v>1219</v>
      </c>
      <c r="B86" s="1939"/>
      <c r="C86" s="1940"/>
      <c r="D86" s="1941"/>
      <c r="E86" s="1941"/>
      <c r="F86" s="1931"/>
      <c r="G86" s="1942"/>
      <c r="H86" s="1943"/>
      <c r="I86" s="1944"/>
      <c r="J86" s="1360"/>
      <c r="K86" s="1360"/>
      <c r="L86" s="1360"/>
      <c r="M86" s="1362"/>
    </row>
    <row r="87" spans="1:13">
      <c r="A87" s="1934" t="s">
        <v>1176</v>
      </c>
      <c r="B87" s="1939"/>
      <c r="C87" s="1940"/>
      <c r="D87" s="1941"/>
      <c r="E87" s="1941"/>
      <c r="F87" s="1931"/>
      <c r="G87" s="1942"/>
      <c r="H87" s="1943"/>
      <c r="I87" s="1944"/>
      <c r="J87" s="1360"/>
      <c r="K87" s="1360"/>
      <c r="L87" s="1360"/>
      <c r="M87" s="1362"/>
    </row>
    <row r="88" spans="1:13" ht="21.75" customHeight="1" thickBot="1">
      <c r="A88" s="1934" t="s">
        <v>1298</v>
      </c>
      <c r="B88" s="1939"/>
      <c r="C88" s="1940"/>
      <c r="D88" s="1941"/>
      <c r="E88" s="1941"/>
      <c r="F88" s="1931"/>
      <c r="G88" s="1942"/>
      <c r="H88" s="1943"/>
      <c r="I88" s="1944"/>
      <c r="J88" s="1360"/>
      <c r="K88" s="1360"/>
      <c r="L88" s="1360"/>
      <c r="M88" s="1362"/>
    </row>
    <row r="89" spans="1:13" ht="21.75" customHeight="1">
      <c r="A89" s="1927" t="s">
        <v>495</v>
      </c>
      <c r="B89" s="1933" t="s">
        <v>1177</v>
      </c>
      <c r="C89" s="2152" t="s">
        <v>1178</v>
      </c>
      <c r="D89" s="2153" t="s">
        <v>1178</v>
      </c>
      <c r="E89" s="1361"/>
      <c r="F89" s="1361"/>
      <c r="G89" s="2123"/>
      <c r="H89" s="1361"/>
      <c r="I89" s="2123"/>
      <c r="J89" s="308"/>
      <c r="K89" s="308"/>
      <c r="L89" s="308"/>
      <c r="M89" s="1362"/>
    </row>
    <row r="90" spans="1:13">
      <c r="A90" s="1926"/>
      <c r="B90" s="1935"/>
      <c r="C90" s="2269" t="s">
        <v>1040</v>
      </c>
      <c r="D90" s="2154" t="s">
        <v>1040</v>
      </c>
      <c r="E90" s="1361"/>
      <c r="F90" s="1361"/>
      <c r="G90" s="2081"/>
      <c r="H90" s="182"/>
      <c r="I90" s="182"/>
      <c r="J90" s="182"/>
      <c r="K90" s="182"/>
      <c r="L90" s="182"/>
      <c r="M90" s="1362"/>
    </row>
    <row r="91" spans="1:13">
      <c r="A91" s="1926"/>
      <c r="B91" s="1928"/>
      <c r="C91" s="2270" t="s">
        <v>1299</v>
      </c>
      <c r="D91" s="2155" t="s">
        <v>920</v>
      </c>
      <c r="E91" s="1361"/>
      <c r="F91" s="1361"/>
      <c r="G91" s="182"/>
      <c r="H91" s="182"/>
      <c r="I91" s="182"/>
      <c r="J91" s="182"/>
      <c r="K91" s="182"/>
      <c r="L91" s="182"/>
      <c r="M91" s="1362"/>
    </row>
    <row r="92" spans="1:13" ht="39.75" customHeight="1">
      <c r="A92" s="1926"/>
      <c r="B92" s="1935"/>
      <c r="C92" s="2271" t="s">
        <v>1300</v>
      </c>
      <c r="D92" s="2252" t="s">
        <v>1190</v>
      </c>
      <c r="E92" s="1361"/>
      <c r="F92" s="1361"/>
      <c r="G92" s="1361"/>
      <c r="H92" s="1361"/>
      <c r="I92" s="2124"/>
      <c r="J92" s="2124"/>
      <c r="K92" s="2124"/>
      <c r="L92" s="2124"/>
      <c r="M92" s="1362"/>
    </row>
    <row r="93" spans="1:13">
      <c r="A93" s="1926"/>
      <c r="B93" s="1929"/>
      <c r="C93" s="2156" t="s">
        <v>1311</v>
      </c>
      <c r="D93" s="2157" t="s">
        <v>1311</v>
      </c>
      <c r="E93" s="2135"/>
      <c r="F93" s="1361"/>
      <c r="G93" s="1361"/>
      <c r="H93" s="1361"/>
      <c r="I93" s="2124"/>
      <c r="J93" s="2124"/>
      <c r="K93" s="2124"/>
      <c r="L93" s="2124"/>
      <c r="M93" s="1362"/>
    </row>
    <row r="94" spans="1:13">
      <c r="A94" s="2175" t="s">
        <v>1181</v>
      </c>
      <c r="B94" s="1227" t="s">
        <v>1180</v>
      </c>
      <c r="C94" s="1936">
        <v>38947</v>
      </c>
      <c r="D94" s="1920">
        <v>1406</v>
      </c>
      <c r="E94" s="2272" t="str">
        <f>IF(OR(C94="",D94=""),"skriv belopp eller 0",IF(D94&gt;C94,"invest.inkomsterna borde inte vara större än invest.utgifterna",""))</f>
        <v/>
      </c>
      <c r="F94" s="1361"/>
      <c r="G94" s="1361"/>
      <c r="H94" s="1361"/>
      <c r="I94" s="2124"/>
      <c r="J94" s="2124"/>
      <c r="K94" s="2124"/>
      <c r="L94" s="2124"/>
      <c r="M94" s="1362"/>
    </row>
    <row r="95" spans="1:13">
      <c r="A95" s="2175" t="s">
        <v>1183</v>
      </c>
      <c r="B95" s="1227" t="s">
        <v>1182</v>
      </c>
      <c r="C95" s="1936">
        <v>16377</v>
      </c>
      <c r="D95" s="1920">
        <v>512</v>
      </c>
      <c r="E95" s="2272" t="str">
        <f t="shared" ref="E95:E97" si="1">IF(OR(C95="",D95=""),"skriv belopp eller 0",IF(D95&gt;C95,"invest.inkomsterna borde inte vara större än invest.utgifterna",""))</f>
        <v/>
      </c>
      <c r="F95" s="1361"/>
      <c r="G95" s="1361"/>
      <c r="H95" s="1361"/>
      <c r="I95" s="2124"/>
      <c r="J95" s="2124"/>
      <c r="K95" s="2124"/>
      <c r="L95" s="2124"/>
      <c r="M95" s="1362"/>
    </row>
    <row r="96" spans="1:13">
      <c r="A96" s="2175" t="s">
        <v>1185</v>
      </c>
      <c r="B96" s="1227" t="s">
        <v>1184</v>
      </c>
      <c r="C96" s="1936">
        <v>1169</v>
      </c>
      <c r="D96" s="1920">
        <v>78</v>
      </c>
      <c r="E96" s="2272" t="str">
        <f t="shared" si="1"/>
        <v/>
      </c>
      <c r="F96" s="1361"/>
      <c r="G96" s="1918"/>
      <c r="H96" s="1361"/>
      <c r="I96" s="2124"/>
      <c r="J96" s="2124"/>
      <c r="K96" s="2124"/>
      <c r="L96" s="2124"/>
      <c r="M96" s="1362"/>
    </row>
    <row r="97" spans="1:13" ht="13.5" thickBot="1">
      <c r="A97" s="2176" t="s">
        <v>1187</v>
      </c>
      <c r="B97" s="1935" t="s">
        <v>1186</v>
      </c>
      <c r="C97" s="1937">
        <v>4660</v>
      </c>
      <c r="D97" s="1938">
        <v>190</v>
      </c>
      <c r="E97" s="2272" t="str">
        <f t="shared" si="1"/>
        <v/>
      </c>
      <c r="F97" s="1361"/>
      <c r="G97" s="2512"/>
      <c r="H97" s="2561"/>
      <c r="I97" s="2561"/>
      <c r="J97" s="2561"/>
      <c r="K97" s="1885"/>
      <c r="L97" s="1885"/>
      <c r="M97" s="1362"/>
    </row>
    <row r="98" spans="1:13" ht="13.5" thickBot="1">
      <c r="A98" s="2178" t="s">
        <v>1210</v>
      </c>
      <c r="B98" s="2151" t="s">
        <v>1188</v>
      </c>
      <c r="C98" s="1932">
        <f>SUM(C94:C97)</f>
        <v>61153</v>
      </c>
      <c r="D98" s="1930">
        <f>SUM(D94:D97)</f>
        <v>2186</v>
      </c>
      <c r="E98" s="2273" t="str">
        <f>IF(C98&gt;0.2*SUM(BR!E9+BR!E12),"Kontrollera invest.utgifterna.","")</f>
        <v/>
      </c>
      <c r="F98" s="1361"/>
      <c r="G98" s="2561"/>
      <c r="H98" s="2561"/>
      <c r="I98" s="2561"/>
      <c r="J98" s="2561"/>
      <c r="K98" s="1885"/>
      <c r="L98" s="1885"/>
      <c r="M98" s="1362"/>
    </row>
    <row r="99" spans="1:13">
      <c r="A99" s="1511"/>
      <c r="B99" s="1510"/>
      <c r="C99" s="155"/>
      <c r="D99" s="71"/>
      <c r="E99" s="1361"/>
      <c r="F99" s="1361"/>
      <c r="G99" s="2122" t="s">
        <v>474</v>
      </c>
      <c r="H99" s="1361"/>
      <c r="I99" s="2124"/>
      <c r="J99" s="2124"/>
      <c r="K99" s="2124"/>
      <c r="L99" s="2124"/>
      <c r="M99" s="1362"/>
    </row>
    <row r="100" spans="1:13">
      <c r="A100" s="1511"/>
      <c r="B100" s="1510"/>
      <c r="C100" s="155"/>
      <c r="D100" s="71"/>
      <c r="E100" s="1361"/>
      <c r="F100" s="1361"/>
      <c r="G100" s="1361"/>
      <c r="H100" s="1361"/>
      <c r="I100" s="2124"/>
      <c r="J100" s="2124"/>
      <c r="K100" s="2124"/>
      <c r="L100" s="2124"/>
      <c r="M100" s="1362"/>
    </row>
    <row r="101" spans="1:13">
      <c r="A101" s="1511"/>
      <c r="B101" s="1510"/>
      <c r="C101" s="155"/>
      <c r="D101" s="71"/>
      <c r="E101" s="1361"/>
      <c r="F101" s="1361"/>
      <c r="G101" s="1361"/>
      <c r="H101" s="1361"/>
      <c r="I101" s="2124"/>
      <c r="J101" s="2124"/>
      <c r="K101" s="2124"/>
      <c r="L101" s="2124"/>
      <c r="M101" s="1362"/>
    </row>
    <row r="102" spans="1:13">
      <c r="A102" s="1511"/>
      <c r="B102" s="1510"/>
      <c r="C102" s="155"/>
      <c r="D102" s="71"/>
      <c r="E102" s="1361"/>
      <c r="F102" s="1361"/>
      <c r="G102" s="1361"/>
      <c r="H102" s="1361"/>
      <c r="I102" s="2124"/>
      <c r="J102" s="2124"/>
      <c r="K102" s="2124"/>
      <c r="L102" s="2124"/>
      <c r="M102" s="1362"/>
    </row>
    <row r="103" spans="1:13">
      <c r="A103" s="1511"/>
      <c r="B103" s="1510"/>
      <c r="C103" s="155"/>
      <c r="D103" s="71"/>
      <c r="E103" s="1361"/>
      <c r="F103" s="1361"/>
      <c r="G103" s="1361"/>
      <c r="H103" s="1361"/>
      <c r="I103" s="2124"/>
      <c r="J103" s="2124"/>
      <c r="K103" s="2124"/>
      <c r="L103" s="2124"/>
      <c r="M103" s="1362"/>
    </row>
    <row r="104" spans="1:13">
      <c r="A104" s="1511"/>
      <c r="B104" s="1510"/>
      <c r="C104" s="155"/>
      <c r="D104" s="71"/>
      <c r="E104" s="1361"/>
      <c r="F104" s="1361"/>
      <c r="G104" s="1361"/>
      <c r="H104" s="1361"/>
      <c r="I104" s="1362"/>
      <c r="J104" s="1362"/>
      <c r="K104" s="1362"/>
      <c r="L104" s="1362"/>
      <c r="M104" s="1362"/>
    </row>
    <row r="105" spans="1:13" ht="14.25" hidden="1" customHeight="1">
      <c r="A105" s="1511"/>
      <c r="B105" s="1510"/>
      <c r="C105" s="155"/>
      <c r="D105" s="71"/>
      <c r="E105" s="1361"/>
      <c r="F105" s="1361"/>
      <c r="G105" s="1361"/>
      <c r="H105" s="1361"/>
      <c r="J105" s="178"/>
      <c r="K105" s="178"/>
    </row>
    <row r="106" spans="1:13" ht="14.25" hidden="1" customHeight="1">
      <c r="A106" s="1511"/>
      <c r="B106" s="1510"/>
      <c r="C106" s="155"/>
      <c r="D106" s="71"/>
      <c r="E106" s="1361"/>
      <c r="F106" s="1361"/>
      <c r="G106" s="1361"/>
      <c r="H106" s="1361"/>
      <c r="I106" s="153"/>
      <c r="J106" s="153"/>
      <c r="K106" s="154"/>
    </row>
    <row r="107" spans="1:13" ht="14.25" hidden="1" customHeight="1">
      <c r="A107" s="4"/>
      <c r="B107" s="4"/>
      <c r="C107" s="4"/>
      <c r="D107" s="4"/>
      <c r="E107" s="4"/>
      <c r="F107" s="4"/>
      <c r="G107" s="4"/>
      <c r="H107" s="4"/>
      <c r="J107" s="152"/>
      <c r="K107" s="154"/>
    </row>
    <row r="108" spans="1:13" ht="14.25" hidden="1" customHeight="1">
      <c r="A108" s="178"/>
      <c r="B108" s="178"/>
      <c r="C108" s="178"/>
      <c r="D108" s="178"/>
      <c r="E108" s="178"/>
      <c r="F108" s="178"/>
      <c r="G108" s="178"/>
      <c r="H108" s="178"/>
      <c r="I108" s="153"/>
      <c r="J108" s="153"/>
      <c r="K108" s="154"/>
    </row>
    <row r="109" spans="1:13" ht="14.25" hidden="1" customHeight="1">
      <c r="A109" s="260"/>
      <c r="B109" s="152"/>
      <c r="C109" s="153"/>
      <c r="D109" s="153"/>
      <c r="E109" s="153"/>
      <c r="F109" s="153"/>
      <c r="G109" s="153"/>
      <c r="H109" s="153"/>
      <c r="I109" s="153"/>
      <c r="J109" s="153"/>
      <c r="K109" s="154"/>
    </row>
    <row r="110" spans="1:13" ht="14.25" hidden="1" customHeight="1">
      <c r="A110" s="260"/>
      <c r="B110" s="152"/>
      <c r="C110" s="153"/>
      <c r="D110" s="153"/>
      <c r="E110" s="153"/>
      <c r="F110" s="153"/>
      <c r="G110" s="153"/>
      <c r="H110" s="153"/>
      <c r="I110" s="153"/>
      <c r="J110" s="153"/>
      <c r="K110" s="154"/>
    </row>
    <row r="111" spans="1:13" ht="14.25" hidden="1" customHeight="1">
      <c r="A111" s="260"/>
      <c r="B111" s="152"/>
      <c r="C111" s="153"/>
      <c r="D111" s="153"/>
      <c r="E111" s="153"/>
      <c r="F111" s="153"/>
      <c r="G111" s="153"/>
      <c r="H111" s="153"/>
      <c r="J111" s="152"/>
      <c r="K111" s="154"/>
    </row>
    <row r="112" spans="1:13" ht="14.25" hidden="1" customHeight="1">
      <c r="A112" s="260"/>
      <c r="B112" s="152"/>
      <c r="C112" s="153"/>
      <c r="D112" s="153"/>
      <c r="E112" s="153"/>
      <c r="F112" s="153"/>
      <c r="G112" s="153"/>
      <c r="H112" s="153"/>
      <c r="J112" s="178"/>
      <c r="K112" s="178"/>
    </row>
    <row r="113" spans="1:11" ht="14.25" hidden="1" customHeight="1">
      <c r="A113" s="154"/>
      <c r="B113" s="152"/>
      <c r="C113" s="152"/>
      <c r="D113" s="152"/>
      <c r="E113" s="152"/>
      <c r="F113" s="152"/>
      <c r="G113" s="153"/>
      <c r="H113" s="153"/>
      <c r="J113" s="178"/>
      <c r="K113" s="178"/>
    </row>
    <row r="114" spans="1:11" ht="14.25" hidden="1" customHeight="1">
      <c r="A114" s="152"/>
      <c r="B114" s="152"/>
      <c r="C114" s="152"/>
      <c r="D114" s="152"/>
      <c r="E114" s="152"/>
      <c r="F114" s="152"/>
      <c r="G114" s="152"/>
      <c r="H114" s="152"/>
      <c r="J114" s="178"/>
      <c r="K114" s="178"/>
    </row>
    <row r="115" spans="1:11">
      <c r="A115" s="178"/>
      <c r="B115" s="178"/>
      <c r="C115" s="178"/>
      <c r="D115" s="178"/>
      <c r="E115" s="178"/>
      <c r="F115" s="178"/>
      <c r="G115" s="178"/>
      <c r="H115" s="178"/>
    </row>
    <row r="116" spans="1:11">
      <c r="A116" s="178"/>
      <c r="B116" s="178"/>
      <c r="C116" s="178"/>
      <c r="D116" s="178"/>
      <c r="E116" s="178"/>
      <c r="F116" s="178"/>
      <c r="G116" s="178"/>
      <c r="H116" s="178"/>
    </row>
    <row r="117" spans="1:11">
      <c r="A117" s="178"/>
      <c r="B117" s="178"/>
      <c r="C117" s="178"/>
      <c r="D117" s="178"/>
      <c r="E117" s="178"/>
      <c r="F117" s="178"/>
      <c r="G117" s="178"/>
      <c r="H117" s="178"/>
    </row>
    <row r="118" spans="1:11"/>
    <row r="119" spans="1:11"/>
    <row r="120" spans="1:11" hidden="1"/>
    <row r="121" spans="1:11" hidden="1"/>
    <row r="122" spans="1:11" hidden="1"/>
  </sheetData>
  <sheetProtection password="CBFD" sheet="1" objects="1" scenarios="1"/>
  <customSheetViews>
    <customSheetView guid="{27C9E95B-0E2B-454F-B637-1CECC9579A10}" showGridLines="0" fitToPage="1" hiddenRows="1" hiddenColumns="1" showRuler="0" topLeftCell="A46">
      <selection activeCell="C16" sqref="C16"/>
      <pageMargins left="0.70866141732283472" right="0.70866141732283472" top="0.74803149606299213" bottom="0.35433070866141736" header="0.31496062992125984" footer="0.31496062992125984"/>
      <pageSetup paperSize="9" scale="73" orientation="portrait" r:id="rId1"/>
      <headerFooter alignWithMargins="0">
        <oddHeader>&amp;L&amp;8Statistiska Centralbyrå
Offentlig ekonomi&amp;R&amp;P</oddHeader>
      </headerFooter>
    </customSheetView>
    <customSheetView guid="{99FBDEB7-DD08-4F57-81F4-3C180403E153}" showGridLines="0" fitToPage="1" hiddenRows="1" hiddenColumns="1" topLeftCell="A22">
      <selection activeCell="B37" sqref="B37"/>
      <pageMargins left="0.70866141732283472" right="0.70866141732283472" top="0.74803149606299213" bottom="0.35433070866141736" header="0.31496062992125984" footer="0.31496062992125984"/>
      <pageSetup paperSize="9" scale="73" orientation="portrait" r:id="rId2"/>
      <headerFooter>
        <oddHeader>&amp;L&amp;8Statistiska Centralbyrå
Offentlig ekonomi&amp;R&amp;P</oddHeader>
      </headerFooter>
    </customSheetView>
    <customSheetView guid="{97D6DB71-3F4C-4C5F-8C5B-51E3EBF78932}" showPageBreaks="1" showGridLines="0" fitToPage="1" hiddenRows="1" hiddenColumns="1" topLeftCell="A34">
      <selection activeCell="B37" sqref="B37"/>
      <pageMargins left="0.70866141732283472" right="0.70866141732283472" top="0.74803149606299213" bottom="0.35433070866141736" header="0.31496062992125984" footer="0.31496062992125984"/>
      <pageSetup paperSize="9" scale="70" orientation="portrait" r:id="rId3"/>
      <headerFooter>
        <oddHeader>&amp;L&amp;8Statistiska Centralbyrå
Offentlig ekonomi&amp;R&amp;P</oddHeader>
      </headerFooter>
    </customSheetView>
  </customSheetViews>
  <mergeCells count="9">
    <mergeCell ref="E4:E5"/>
    <mergeCell ref="D4:D5"/>
    <mergeCell ref="C4:C5"/>
    <mergeCell ref="I16:L16"/>
    <mergeCell ref="G97:J98"/>
    <mergeCell ref="G68:J69"/>
    <mergeCell ref="G81:J82"/>
    <mergeCell ref="A70:F70"/>
    <mergeCell ref="A84:K85"/>
  </mergeCells>
  <phoneticPr fontId="92" type="noConversion"/>
  <conditionalFormatting sqref="C74:C77 C34:F35 C37:F39 C42:F46 C48:F48 C50:F53 C55:F57 C59:F62 C65:F65 C86:C106 D98 C83 C25:H25 H65 H59:H62 H55:H57 H50:H53 H48 H42:H46 H37:H39 H34:H35 C26:F32 H26:H32 G26:G65">
    <cfRule type="cellIs" dxfId="96" priority="4" stopIfTrue="1" operator="lessThan">
      <formula>-500</formula>
    </cfRule>
  </conditionalFormatting>
  <conditionalFormatting sqref="C8:F8 C10:F11">
    <cfRule type="cellIs" dxfId="95" priority="6" stopIfTrue="1" operator="greaterThan">
      <formula>1</formula>
    </cfRule>
  </conditionalFormatting>
  <conditionalFormatting sqref="C7:F7 C9:F9">
    <cfRule type="cellIs" dxfId="94" priority="7" stopIfTrue="1" operator="lessThan">
      <formula>-1</formula>
    </cfRule>
  </conditionalFormatting>
  <conditionalFormatting sqref="C78:C82">
    <cfRule type="cellIs" dxfId="93" priority="1" stopIfTrue="1" operator="lessThan">
      <formula>-10</formula>
    </cfRule>
  </conditionalFormatting>
  <dataValidations count="3">
    <dataValidation type="decimal" operator="lessThan" allowBlank="1" showInputMessage="1" showErrorMessage="1" error="Beloppet ska vara i 1000 tal kronor" sqref="H37:H39 H42:H46 H50:H53 H55:H57 H59:H62 H25:H32 H65 C6:F7 D98 C98:C106 C76 C86:C88 H48 C59:F62 C55:F57 C50:F53 H34:H35 C42:F46 C37:F39 C34:F35 C48:F48 C65:F65 C25:F32 C12:H14 C82:C83 C9:H9 G7:H7">
      <formula1>99999999</formula1>
    </dataValidation>
    <dataValidation type="decimal" operator="lessThanOrEqual" allowBlank="1" showInputMessage="1" showErrorMessage="1" error="Minustecken måste anges" sqref="C8:H8 C10:H11">
      <formula1>0</formula1>
    </dataValidation>
    <dataValidation type="decimal" allowBlank="1" showInputMessage="1" showErrorMessage="1" error="Beloppet ska vara utan minustecken och i tusental kronor" sqref="C78:C81 C74:C75 C94:D97">
      <formula1>0</formula1>
      <formula2>99999999</formula2>
    </dataValidation>
  </dataValidations>
  <pageMargins left="0.70866141732283472" right="0.70866141732283472" top="0.74803149606299213" bottom="0.35433070866141736" header="0.31496062992125984" footer="0.31496062992125984"/>
  <pageSetup paperSize="9" scale="64" orientation="portrait" r:id="rId4"/>
  <headerFooter>
    <oddHeader>&amp;L&amp;8Statistiska Centralbyrå
Offentlig ekonomi&amp;R&amp;P</oddHeader>
  </headerFooter>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304"/>
  <sheetViews>
    <sheetView showGridLines="0" zoomScaleNormal="100" workbookViewId="0">
      <pane xSplit="2" ySplit="10" topLeftCell="E110" activePane="bottomRight" state="frozen"/>
      <selection pane="topRight" activeCell="C1" sqref="C1"/>
      <selection pane="bottomLeft" activeCell="A11" sqref="A11"/>
      <selection pane="bottomRight" activeCell="P123" sqref="P123"/>
    </sheetView>
  </sheetViews>
  <sheetFormatPr defaultColWidth="0" defaultRowHeight="12.75" zeroHeight="1"/>
  <cols>
    <col min="1" max="1" width="3.85546875" style="219" customWidth="1"/>
    <col min="2" max="2" width="30.140625" style="219" customWidth="1"/>
    <col min="3" max="3" width="10.140625" style="219" customWidth="1"/>
    <col min="4" max="4" width="9.7109375" style="219" customWidth="1"/>
    <col min="5" max="5" width="8.7109375" style="219" customWidth="1"/>
    <col min="6" max="6" width="9.7109375" style="219" customWidth="1"/>
    <col min="7" max="7" width="11.140625" style="219" customWidth="1"/>
    <col min="8" max="8" width="9.7109375" style="219" customWidth="1"/>
    <col min="9" max="10" width="8.7109375" style="219" customWidth="1"/>
    <col min="11" max="11" width="1.28515625" style="219" customWidth="1"/>
    <col min="12" max="14" width="8.7109375" style="219" customWidth="1"/>
    <col min="15" max="15" width="9.42578125" style="219" customWidth="1"/>
    <col min="16" max="16" width="10" style="219" customWidth="1"/>
    <col min="17" max="17" width="3.7109375" style="219" customWidth="1"/>
    <col min="18" max="19" width="8.7109375" style="219" customWidth="1"/>
    <col min="20" max="20" width="10.85546875" style="219" customWidth="1"/>
    <col min="21" max="21" width="2.28515625" style="219" customWidth="1"/>
    <col min="22" max="22" width="8.7109375" style="219" customWidth="1"/>
    <col min="23" max="23" width="10.5703125" style="219" customWidth="1"/>
    <col min="24" max="24" width="2.28515625" style="219" customWidth="1"/>
    <col min="25" max="25" width="11.7109375" style="219" customWidth="1"/>
    <col min="26" max="26" width="9.140625" style="219" customWidth="1"/>
    <col min="27" max="27" width="8.7109375" style="219" customWidth="1"/>
    <col min="28" max="28" width="8.7109375" style="151" customWidth="1"/>
    <col min="29" max="29" width="7.28515625" style="151" customWidth="1"/>
    <col min="30" max="30" width="1" style="178" customWidth="1"/>
    <col min="31" max="31" width="6.85546875" style="434" hidden="1" customWidth="1"/>
    <col min="32" max="32" width="10.42578125" style="178" customWidth="1"/>
    <col min="33" max="33" width="10.140625" style="178" customWidth="1"/>
    <col min="34" max="34" width="0.140625" style="178" customWidth="1"/>
    <col min="35" max="36" width="9.140625" style="178" customWidth="1"/>
    <col min="37" max="16384" width="0" style="178" hidden="1"/>
  </cols>
  <sheetData>
    <row r="1" spans="1:34" ht="21.75" customHeight="1">
      <c r="A1" s="177"/>
      <c r="B1" s="85"/>
      <c r="C1" s="84" t="str">
        <f>"Driftredovisning "&amp;År&amp;", miljoner kr"</f>
        <v>Driftredovisning 2018, miljoner kr</v>
      </c>
      <c r="D1" s="85"/>
      <c r="E1" s="85"/>
      <c r="F1" s="177"/>
      <c r="G1" s="177"/>
      <c r="H1" s="177"/>
      <c r="I1" s="536" t="s">
        <v>474</v>
      </c>
      <c r="J1" s="537" t="str">
        <f>'Kn Information'!B2</f>
        <v>RIKSTOTAL</v>
      </c>
      <c r="K1" s="206"/>
      <c r="L1" s="177"/>
      <c r="M1" s="177"/>
      <c r="N1" s="177"/>
      <c r="O1" s="177"/>
      <c r="P1" s="177"/>
      <c r="Q1" s="177"/>
      <c r="R1" s="84" t="str">
        <f>"Driftredovisning "&amp;År&amp;", miljoner kr"</f>
        <v>Driftredovisning 2018, miljoner kr</v>
      </c>
      <c r="S1" s="177"/>
      <c r="T1" s="177"/>
      <c r="U1" s="177"/>
      <c r="V1" s="177"/>
      <c r="W1" s="177"/>
      <c r="X1" s="177"/>
      <c r="Y1" s="536"/>
      <c r="Z1" s="537" t="str">
        <f>'Kn Information'!B2</f>
        <v>RIKSTOTAL</v>
      </c>
      <c r="AA1" s="177"/>
      <c r="AB1" s="431"/>
      <c r="AC1" s="431"/>
      <c r="AD1" s="177"/>
      <c r="AE1" s="431"/>
      <c r="AF1" s="177"/>
      <c r="AG1" s="177"/>
    </row>
    <row r="2" spans="1:34" ht="12.75" customHeight="1">
      <c r="A2" s="1338"/>
      <c r="C2" s="1437"/>
      <c r="D2" s="154"/>
      <c r="G2" s="2304"/>
      <c r="H2" s="154"/>
      <c r="I2" s="178"/>
      <c r="J2" s="178"/>
      <c r="N2" s="154"/>
      <c r="O2" s="178"/>
      <c r="P2" s="178"/>
      <c r="Q2" s="207" t="s">
        <v>115</v>
      </c>
      <c r="R2" s="4"/>
      <c r="S2" s="208"/>
      <c r="T2" s="4"/>
      <c r="U2" s="4"/>
      <c r="V2" s="4"/>
      <c r="W2" s="4"/>
      <c r="X2" s="180"/>
      <c r="Y2" s="4"/>
      <c r="Z2" s="216"/>
      <c r="AA2" s="216"/>
      <c r="AB2" s="1449"/>
      <c r="AC2" s="1365"/>
      <c r="AD2" s="1373"/>
      <c r="AE2" s="1382"/>
      <c r="AF2" s="216"/>
    </row>
    <row r="3" spans="1:34" s="214" customFormat="1" ht="12.75" customHeight="1" thickBot="1">
      <c r="C3" s="2326"/>
      <c r="D3" s="2327"/>
      <c r="E3" s="2328"/>
      <c r="F3" s="2328"/>
      <c r="G3" s="2329"/>
      <c r="H3" s="2327"/>
      <c r="I3" s="2330"/>
      <c r="J3" s="2328"/>
      <c r="L3" s="2328"/>
      <c r="M3" s="2328"/>
      <c r="N3" s="2327"/>
      <c r="O3" s="2330"/>
      <c r="P3" s="2330"/>
      <c r="Q3" s="211"/>
      <c r="R3" s="209"/>
      <c r="S3" s="210"/>
      <c r="T3" s="210"/>
      <c r="U3" s="212"/>
      <c r="V3" s="209"/>
      <c r="W3" s="210"/>
      <c r="X3" s="212"/>
      <c r="Y3" s="209" t="s">
        <v>148</v>
      </c>
      <c r="Z3" s="1383"/>
      <c r="AA3" s="1383"/>
      <c r="AB3" s="1450"/>
      <c r="AC3" s="1451"/>
      <c r="AD3" s="1452"/>
      <c r="AE3" s="1384"/>
      <c r="AF3" s="1385"/>
    </row>
    <row r="4" spans="1:34" s="191" customFormat="1" ht="43.5" customHeight="1">
      <c r="A4" s="903" t="s">
        <v>210</v>
      </c>
      <c r="B4" s="904" t="s">
        <v>16</v>
      </c>
      <c r="C4" s="2572" t="s">
        <v>37</v>
      </c>
      <c r="D4" s="2573"/>
      <c r="E4" s="2574" t="s">
        <v>38</v>
      </c>
      <c r="F4" s="2575"/>
      <c r="G4" s="2575"/>
      <c r="H4" s="2576"/>
      <c r="I4" s="2579" t="s">
        <v>39</v>
      </c>
      <c r="J4" s="2580"/>
      <c r="K4" s="39"/>
      <c r="L4" s="2577" t="s">
        <v>149</v>
      </c>
      <c r="M4" s="2578"/>
      <c r="N4" s="2578"/>
      <c r="O4" s="2573"/>
      <c r="P4" s="1001"/>
      <c r="Q4" s="80"/>
      <c r="R4" s="2597" t="s">
        <v>40</v>
      </c>
      <c r="S4" s="2598"/>
      <c r="T4" s="2599"/>
      <c r="U4" s="118"/>
      <c r="V4" s="2103" t="s">
        <v>151</v>
      </c>
      <c r="W4" s="1000"/>
      <c r="X4" s="39"/>
      <c r="Y4" s="1772" t="s">
        <v>1083</v>
      </c>
      <c r="Z4" s="2600" t="s">
        <v>1107</v>
      </c>
      <c r="AA4" s="2601"/>
      <c r="AB4" s="2602"/>
      <c r="AC4" s="1406" t="str">
        <f>"Förändring kostnader för eget åtagande "&amp;År-1&amp;"-"&amp;År&amp;" procent"</f>
        <v>Förändring kostnader för eget åtagande 2017-2018 procent</v>
      </c>
      <c r="AD4" s="2342"/>
      <c r="AE4" s="1718" t="str">
        <f>"Köp av verksamhet som andel av "</f>
        <v xml:space="preserve">Köp av verksamhet som andel av </v>
      </c>
      <c r="AF4" s="1772" t="s">
        <v>1089</v>
      </c>
      <c r="AG4" s="1782" t="s">
        <v>1090</v>
      </c>
      <c r="AH4" s="2171" t="s">
        <v>1191</v>
      </c>
    </row>
    <row r="5" spans="1:34" ht="47.25" customHeight="1">
      <c r="A5" s="1429"/>
      <c r="B5" s="1430"/>
      <c r="C5" s="1414" t="s">
        <v>200</v>
      </c>
      <c r="D5" s="939" t="s">
        <v>517</v>
      </c>
      <c r="E5" s="1523" t="s">
        <v>935</v>
      </c>
      <c r="F5" s="939" t="s">
        <v>843</v>
      </c>
      <c r="G5" s="940" t="s">
        <v>209</v>
      </c>
      <c r="H5" s="941" t="s">
        <v>829</v>
      </c>
      <c r="I5" s="942" t="s">
        <v>481</v>
      </c>
      <c r="J5" s="943" t="s">
        <v>518</v>
      </c>
      <c r="K5" s="39"/>
      <c r="L5" s="982" t="s">
        <v>561</v>
      </c>
      <c r="M5" s="983" t="s">
        <v>482</v>
      </c>
      <c r="N5" s="2613" t="s">
        <v>1291</v>
      </c>
      <c r="O5" s="2614"/>
      <c r="P5" s="984" t="s">
        <v>493</v>
      </c>
      <c r="Q5" s="49"/>
      <c r="R5" s="998" t="s">
        <v>738</v>
      </c>
      <c r="S5" s="941" t="s">
        <v>484</v>
      </c>
      <c r="T5" s="999" t="s">
        <v>485</v>
      </c>
      <c r="U5" s="33"/>
      <c r="V5" s="985"/>
      <c r="W5" s="1001" t="s">
        <v>494</v>
      </c>
      <c r="X5" s="39"/>
      <c r="Y5" s="2612" t="s">
        <v>486</v>
      </c>
      <c r="Z5" s="945" t="str">
        <f>"Netto-kostnader "&amp;År&amp;""</f>
        <v>Netto-kostnader 2018</v>
      </c>
      <c r="AA5" s="945" t="str">
        <f>"Kostnader för eget åtagande "&amp;År&amp;""</f>
        <v>Kostnader för eget åtagande 2018</v>
      </c>
      <c r="AB5" s="945" t="str">
        <f>"Kostnader för eget åtagande "&amp;År-1&amp;""</f>
        <v>Kostnader för eget åtagande 2017</v>
      </c>
      <c r="AC5" s="1407"/>
      <c r="AD5" s="2343"/>
      <c r="AE5" s="1717" t="str">
        <f>"verksamhetens kostnad för eget åtagande "&amp;År&amp;" procent"</f>
        <v>verksamhetens kostnad för eget åtagande 2018 procent</v>
      </c>
      <c r="AF5" s="2585" t="s">
        <v>1091</v>
      </c>
      <c r="AG5" s="2583" t="s">
        <v>1092</v>
      </c>
      <c r="AH5" s="2581" t="s">
        <v>1192</v>
      </c>
    </row>
    <row r="6" spans="1:34" ht="56.25" customHeight="1" thickBot="1">
      <c r="A6" s="906"/>
      <c r="B6" s="1581" t="s">
        <v>814</v>
      </c>
      <c r="C6" s="1582" t="s">
        <v>886</v>
      </c>
      <c r="D6" s="2331"/>
      <c r="E6" s="1582" t="s">
        <v>911</v>
      </c>
      <c r="F6" s="1512" t="s">
        <v>880</v>
      </c>
      <c r="G6" s="1583" t="s">
        <v>887</v>
      </c>
      <c r="H6" s="1512" t="s">
        <v>47</v>
      </c>
      <c r="I6" s="1513" t="s">
        <v>48</v>
      </c>
      <c r="J6" s="1514"/>
      <c r="K6" s="39"/>
      <c r="L6" s="2332"/>
      <c r="M6" s="2333"/>
      <c r="N6" s="2334" t="s">
        <v>936</v>
      </c>
      <c r="O6" s="2335" t="s">
        <v>937</v>
      </c>
      <c r="P6" s="2336"/>
      <c r="Q6" s="80"/>
      <c r="R6" s="1789" t="s">
        <v>930</v>
      </c>
      <c r="S6" s="1790" t="s">
        <v>49</v>
      </c>
      <c r="T6" s="1515" t="s">
        <v>844</v>
      </c>
      <c r="U6" s="33"/>
      <c r="V6" s="906"/>
      <c r="W6" s="986"/>
      <c r="X6" s="39"/>
      <c r="Y6" s="2586"/>
      <c r="Z6" s="1827"/>
      <c r="AA6" s="1828"/>
      <c r="AB6" s="1829"/>
      <c r="AC6" s="1830"/>
      <c r="AD6" s="2344"/>
      <c r="AE6" s="1675"/>
      <c r="AF6" s="2586"/>
      <c r="AG6" s="2584"/>
      <c r="AH6" s="2582"/>
    </row>
    <row r="7" spans="1:34" ht="9.75" hidden="1" customHeight="1">
      <c r="A7" s="906"/>
      <c r="B7" s="1671"/>
      <c r="C7" s="1586"/>
      <c r="D7" s="1587"/>
      <c r="E7" s="1591"/>
      <c r="F7" s="1592"/>
      <c r="G7" s="1593"/>
      <c r="H7" s="1594"/>
      <c r="I7" s="1595"/>
      <c r="J7" s="1596"/>
      <c r="K7" s="33"/>
      <c r="L7" s="1416"/>
      <c r="M7" s="1417"/>
      <c r="N7" s="1415"/>
      <c r="O7" s="907"/>
      <c r="P7" s="987"/>
      <c r="Q7" s="49"/>
      <c r="R7" s="1617"/>
      <c r="S7" s="1618"/>
      <c r="T7" s="1619"/>
      <c r="U7" s="33"/>
      <c r="V7" s="985"/>
      <c r="W7" s="987"/>
      <c r="X7" s="33"/>
      <c r="Y7" s="1408"/>
      <c r="Z7" s="1016"/>
      <c r="AA7" s="1018"/>
      <c r="AB7" s="1017"/>
      <c r="AC7" s="1407"/>
      <c r="AD7" s="2343"/>
      <c r="AE7" s="1675"/>
      <c r="AF7" s="1768"/>
      <c r="AG7" s="1769"/>
      <c r="AH7" s="2038"/>
    </row>
    <row r="8" spans="1:34" ht="12.75" hidden="1" customHeight="1">
      <c r="A8" s="908"/>
      <c r="B8" s="1588"/>
      <c r="C8" s="1589"/>
      <c r="D8" s="1590"/>
      <c r="E8" s="1597"/>
      <c r="F8" s="1598"/>
      <c r="G8" s="1599"/>
      <c r="H8" s="1600"/>
      <c r="I8" s="1601"/>
      <c r="J8" s="1602"/>
      <c r="K8" s="33"/>
      <c r="L8" s="985"/>
      <c r="M8" s="947"/>
      <c r="N8" s="1415"/>
      <c r="O8" s="907"/>
      <c r="P8" s="987"/>
      <c r="Q8" s="49"/>
      <c r="R8" s="1617"/>
      <c r="S8" s="1618"/>
      <c r="T8" s="1619"/>
      <c r="U8" s="33"/>
      <c r="V8" s="988"/>
      <c r="W8" s="987"/>
      <c r="X8" s="33"/>
      <c r="Y8" s="1408"/>
      <c r="Z8" s="1019"/>
      <c r="AA8" s="1020"/>
      <c r="AB8" s="946"/>
      <c r="AC8" s="1407"/>
      <c r="AD8" s="1707"/>
      <c r="AE8" s="1026"/>
      <c r="AF8" s="1768"/>
      <c r="AG8" s="1769"/>
      <c r="AH8" s="2038"/>
    </row>
    <row r="9" spans="1:34" ht="10.5" hidden="1" customHeight="1">
      <c r="A9" s="906"/>
      <c r="B9" s="1603"/>
      <c r="C9" s="1604"/>
      <c r="D9" s="1605"/>
      <c r="E9" s="1606"/>
      <c r="F9" s="1607"/>
      <c r="G9" s="1599"/>
      <c r="H9" s="1600"/>
      <c r="I9" s="1608"/>
      <c r="J9" s="1609"/>
      <c r="K9" s="11"/>
      <c r="L9" s="988"/>
      <c r="M9" s="947"/>
      <c r="N9" s="1290"/>
      <c r="O9" s="1302"/>
      <c r="P9" s="987"/>
      <c r="Q9" s="49"/>
      <c r="R9" s="1620"/>
      <c r="S9" s="1621"/>
      <c r="T9" s="1609"/>
      <c r="U9" s="11"/>
      <c r="V9" s="988"/>
      <c r="W9" s="1002"/>
      <c r="X9" s="11"/>
      <c r="Y9" s="1408"/>
      <c r="Z9" s="1019"/>
      <c r="AA9" s="1019"/>
      <c r="AB9" s="946"/>
      <c r="AC9" s="1407"/>
      <c r="AD9" s="1707"/>
      <c r="AE9" s="1027"/>
      <c r="AF9" s="1768"/>
      <c r="AG9" s="1769"/>
      <c r="AH9" s="2038"/>
    </row>
    <row r="10" spans="1:34" ht="12" hidden="1" customHeight="1">
      <c r="A10" s="909"/>
      <c r="B10" s="1610"/>
      <c r="C10" s="1611"/>
      <c r="D10" s="1612"/>
      <c r="E10" s="1613"/>
      <c r="F10" s="1612"/>
      <c r="G10" s="1614"/>
      <c r="H10" s="1615"/>
      <c r="I10" s="1611"/>
      <c r="J10" s="1609"/>
      <c r="K10" s="11"/>
      <c r="L10" s="988"/>
      <c r="M10" s="2337"/>
      <c r="N10" s="2338"/>
      <c r="O10" s="1112"/>
      <c r="P10" s="2339"/>
      <c r="Q10" s="217"/>
      <c r="R10" s="1622"/>
      <c r="S10" s="1612"/>
      <c r="T10" s="1616"/>
      <c r="U10" s="119"/>
      <c r="V10" s="989"/>
      <c r="W10" s="1003"/>
      <c r="X10" s="11"/>
      <c r="Y10" s="1833"/>
      <c r="Z10" s="1823"/>
      <c r="AA10" s="1824"/>
      <c r="AB10" s="1825"/>
      <c r="AC10" s="1826"/>
      <c r="AD10" s="2345"/>
      <c r="AE10" s="1028"/>
      <c r="AF10" s="1768"/>
      <c r="AG10" s="1769"/>
      <c r="AH10" s="2039"/>
    </row>
    <row r="11" spans="1:34" ht="39" customHeight="1">
      <c r="A11" s="910"/>
      <c r="B11" s="911" t="s">
        <v>17</v>
      </c>
      <c r="C11" s="948"/>
      <c r="D11" s="949"/>
      <c r="E11" s="948"/>
      <c r="F11" s="950"/>
      <c r="G11" s="951"/>
      <c r="H11" s="952"/>
      <c r="I11" s="948"/>
      <c r="J11" s="2340"/>
      <c r="K11" s="2341"/>
      <c r="L11" s="990"/>
      <c r="M11" s="950"/>
      <c r="N11" s="949"/>
      <c r="O11" s="991"/>
      <c r="P11" s="953"/>
      <c r="Q11" s="218"/>
      <c r="R11" s="990"/>
      <c r="S11" s="950"/>
      <c r="T11" s="953"/>
      <c r="U11" s="218"/>
      <c r="V11" s="1004"/>
      <c r="W11" s="1005"/>
      <c r="X11" s="37"/>
      <c r="Y11" s="2388"/>
      <c r="Z11" s="2373"/>
      <c r="AA11" s="2374"/>
      <c r="AB11" s="2374"/>
      <c r="AC11" s="2375"/>
      <c r="AD11" s="2346"/>
      <c r="AE11" s="776"/>
      <c r="AF11" s="1768"/>
      <c r="AG11" s="1769"/>
      <c r="AH11" s="2040"/>
    </row>
    <row r="12" spans="1:34" ht="11.25" customHeight="1">
      <c r="A12" s="912"/>
      <c r="B12" s="913" t="s">
        <v>51</v>
      </c>
      <c r="C12" s="954"/>
      <c r="D12" s="955"/>
      <c r="E12" s="954"/>
      <c r="F12" s="956"/>
      <c r="G12" s="957"/>
      <c r="H12" s="958"/>
      <c r="I12" s="954"/>
      <c r="J12" s="959"/>
      <c r="K12" s="218"/>
      <c r="L12" s="992"/>
      <c r="M12" s="956"/>
      <c r="N12" s="955"/>
      <c r="O12" s="993"/>
      <c r="P12" s="959"/>
      <c r="Q12" s="218"/>
      <c r="R12" s="992"/>
      <c r="S12" s="956"/>
      <c r="T12" s="959"/>
      <c r="U12" s="218"/>
      <c r="V12" s="1006"/>
      <c r="W12" s="1007"/>
      <c r="X12" s="30"/>
      <c r="Y12" s="2365"/>
      <c r="Z12" s="2376"/>
      <c r="AA12" s="1021"/>
      <c r="AB12" s="2377"/>
      <c r="AC12" s="2378"/>
      <c r="AD12" s="2366"/>
      <c r="AE12" s="776"/>
      <c r="AF12" s="1768"/>
      <c r="AG12" s="1769"/>
      <c r="AH12" s="2041"/>
    </row>
    <row r="13" spans="1:34">
      <c r="A13" s="610" t="s">
        <v>221</v>
      </c>
      <c r="B13" s="914" t="s">
        <v>52</v>
      </c>
      <c r="C13" s="20">
        <v>1986</v>
      </c>
      <c r="D13" s="21">
        <v>655</v>
      </c>
      <c r="E13" s="22">
        <v>57</v>
      </c>
      <c r="F13" s="20">
        <v>24</v>
      </c>
      <c r="G13" s="20">
        <v>304</v>
      </c>
      <c r="H13" s="21">
        <v>69</v>
      </c>
      <c r="I13" s="20">
        <v>22</v>
      </c>
      <c r="J13" s="108">
        <v>14</v>
      </c>
      <c r="K13" s="31"/>
      <c r="L13" s="111">
        <v>65</v>
      </c>
      <c r="M13" s="20">
        <v>174</v>
      </c>
      <c r="N13" s="21">
        <v>20</v>
      </c>
      <c r="O13" s="465">
        <v>111</v>
      </c>
      <c r="P13" s="389">
        <f>SUM(C13:O13)</f>
        <v>3501</v>
      </c>
      <c r="Q13" s="50"/>
      <c r="R13" s="111">
        <v>5</v>
      </c>
      <c r="S13" s="20">
        <v>1</v>
      </c>
      <c r="T13" s="108">
        <v>110</v>
      </c>
      <c r="U13" s="51"/>
      <c r="V13" s="121">
        <v>74</v>
      </c>
      <c r="W13" s="424">
        <f>SUM(R13:V13)</f>
        <v>190</v>
      </c>
      <c r="X13" s="58"/>
      <c r="Y13" s="1030">
        <v>3404</v>
      </c>
      <c r="Z13" s="1022"/>
      <c r="AA13" s="2379"/>
      <c r="AB13" s="2380"/>
      <c r="AC13" s="1025"/>
      <c r="AD13" s="2347"/>
      <c r="AE13" s="1029"/>
      <c r="AF13" s="1030">
        <v>3309</v>
      </c>
      <c r="AG13" s="1773">
        <v>3333</v>
      </c>
      <c r="AH13" s="2042">
        <f>W13-V13-(IF(AND(Motpart!$Y$9="",Motpart!$Z$9=""),0,IF(AND(Motpart!$Y$9=0,Motpart!$Z$9=0),0,((T13/$T$17)*(Motpart!$Y$9+Motpart!$Z$9)))))</f>
        <v>89.731343283582092</v>
      </c>
    </row>
    <row r="14" spans="1:34">
      <c r="A14" s="610" t="s">
        <v>222</v>
      </c>
      <c r="B14" s="915" t="s">
        <v>53</v>
      </c>
      <c r="C14" s="23">
        <v>5</v>
      </c>
      <c r="D14" s="21">
        <v>2</v>
      </c>
      <c r="E14" s="25">
        <v>0</v>
      </c>
      <c r="F14" s="23">
        <v>0</v>
      </c>
      <c r="G14" s="23">
        <v>1</v>
      </c>
      <c r="H14" s="24">
        <v>465</v>
      </c>
      <c r="I14" s="23">
        <v>0</v>
      </c>
      <c r="J14" s="109">
        <v>0</v>
      </c>
      <c r="K14" s="31"/>
      <c r="L14" s="112">
        <v>0</v>
      </c>
      <c r="M14" s="23">
        <v>2</v>
      </c>
      <c r="N14" s="21">
        <v>0</v>
      </c>
      <c r="O14" s="390">
        <v>0</v>
      </c>
      <c r="P14" s="389">
        <f>SUM(C14:O14)</f>
        <v>475</v>
      </c>
      <c r="Q14" s="50"/>
      <c r="R14" s="112">
        <v>0</v>
      </c>
      <c r="S14" s="23">
        <v>0</v>
      </c>
      <c r="T14" s="109">
        <v>0</v>
      </c>
      <c r="U14" s="51"/>
      <c r="V14" s="122">
        <v>2</v>
      </c>
      <c r="W14" s="424">
        <f>SUM(R14:V14)</f>
        <v>2</v>
      </c>
      <c r="X14" s="58"/>
      <c r="Y14" s="1665">
        <v>474</v>
      </c>
      <c r="Z14" s="2381"/>
      <c r="AA14" s="2382"/>
      <c r="AB14" s="2382"/>
      <c r="AC14" s="2383"/>
      <c r="AD14" s="2347"/>
      <c r="AE14" s="1029"/>
      <c r="AF14" s="1030">
        <v>473</v>
      </c>
      <c r="AG14" s="1773">
        <v>9</v>
      </c>
      <c r="AH14" s="2042">
        <f>W14-V14-(IF(AND(Motpart!$Y$9="",Motpart!$Z$9=""),0,IF(AND(Motpart!$Y$9=0,Motpart!$Z$9=0),0,((T14/$T$17)*(Motpart!$Y$9+Motpart!$Z$9)))))</f>
        <v>0</v>
      </c>
    </row>
    <row r="15" spans="1:34">
      <c r="A15" s="610" t="s">
        <v>223</v>
      </c>
      <c r="B15" s="915" t="s">
        <v>54</v>
      </c>
      <c r="C15" s="23">
        <v>120</v>
      </c>
      <c r="D15" s="21">
        <v>39</v>
      </c>
      <c r="E15" s="25">
        <v>3</v>
      </c>
      <c r="F15" s="23">
        <v>5</v>
      </c>
      <c r="G15" s="23">
        <v>239</v>
      </c>
      <c r="H15" s="24">
        <v>0</v>
      </c>
      <c r="I15" s="23">
        <v>3</v>
      </c>
      <c r="J15" s="109">
        <v>0</v>
      </c>
      <c r="K15" s="31"/>
      <c r="L15" s="112">
        <v>3</v>
      </c>
      <c r="M15" s="23">
        <v>8</v>
      </c>
      <c r="N15" s="21">
        <v>2</v>
      </c>
      <c r="O15" s="390">
        <v>14</v>
      </c>
      <c r="P15" s="389">
        <f>SUM(C15:O15)</f>
        <v>436</v>
      </c>
      <c r="Q15" s="50"/>
      <c r="R15" s="112">
        <v>5</v>
      </c>
      <c r="S15" s="23">
        <v>0</v>
      </c>
      <c r="T15" s="109">
        <v>11</v>
      </c>
      <c r="U15" s="51"/>
      <c r="V15" s="122">
        <v>2</v>
      </c>
      <c r="W15" s="424">
        <f>SUM(R15:V15)</f>
        <v>18</v>
      </c>
      <c r="X15" s="58"/>
      <c r="Y15" s="1665">
        <v>432</v>
      </c>
      <c r="Z15" s="2381"/>
      <c r="AA15" s="2382"/>
      <c r="AB15" s="2382"/>
      <c r="AC15" s="2383"/>
      <c r="AD15" s="2347"/>
      <c r="AE15" s="1029"/>
      <c r="AF15" s="1030">
        <v>416</v>
      </c>
      <c r="AG15" s="1773">
        <v>427</v>
      </c>
      <c r="AH15" s="2042">
        <f>W15-V15-(IF(AND(Motpart!$Y$9="",Motpart!$Z$9=""),0,IF(AND(Motpart!$Y$9=0,Motpart!$Z$9=0),0,((T15/$T$17)*(Motpart!$Y$9+Motpart!$Z$9)))))</f>
        <v>13.373134328358208</v>
      </c>
    </row>
    <row r="16" spans="1:34">
      <c r="A16" s="610" t="s">
        <v>224</v>
      </c>
      <c r="B16" s="915" t="s">
        <v>55</v>
      </c>
      <c r="C16" s="23">
        <v>1337</v>
      </c>
      <c r="D16" s="21">
        <v>456</v>
      </c>
      <c r="E16" s="25">
        <v>40</v>
      </c>
      <c r="F16" s="23">
        <v>142</v>
      </c>
      <c r="G16" s="23">
        <v>606</v>
      </c>
      <c r="H16" s="24">
        <v>81</v>
      </c>
      <c r="I16" s="23">
        <v>21</v>
      </c>
      <c r="J16" s="109">
        <v>10</v>
      </c>
      <c r="K16" s="31"/>
      <c r="L16" s="112">
        <v>35</v>
      </c>
      <c r="M16" s="23">
        <v>201</v>
      </c>
      <c r="N16" s="21">
        <v>33</v>
      </c>
      <c r="O16" s="390">
        <v>83</v>
      </c>
      <c r="P16" s="389">
        <f>SUM(C16:O16)</f>
        <v>3045</v>
      </c>
      <c r="Q16" s="50"/>
      <c r="R16" s="112">
        <v>25</v>
      </c>
      <c r="S16" s="23">
        <v>0</v>
      </c>
      <c r="T16" s="109">
        <v>415</v>
      </c>
      <c r="U16" s="51"/>
      <c r="V16" s="122">
        <v>100</v>
      </c>
      <c r="W16" s="424">
        <f>SUM(R16:V16)</f>
        <v>540</v>
      </c>
      <c r="X16" s="58"/>
      <c r="Y16" s="1665">
        <v>2839</v>
      </c>
      <c r="Z16" s="2361"/>
      <c r="AA16" s="2362"/>
      <c r="AB16" s="2362"/>
      <c r="AC16" s="2384"/>
      <c r="AD16" s="2347"/>
      <c r="AE16" s="1029"/>
      <c r="AF16" s="1030">
        <v>2505</v>
      </c>
      <c r="AG16" s="1773">
        <v>2722</v>
      </c>
      <c r="AH16" s="2042">
        <f>W16-V16-(IF(AND(Motpart!$Y$9="",Motpart!$Z$9=""),0,IF(AND(Motpart!$Y$9=0,Motpart!$Z$9=0),0,((T16/$T$17)*(Motpart!$Y$9+Motpart!$Z$9)))))</f>
        <v>340.8955223880597</v>
      </c>
    </row>
    <row r="17" spans="1:34" ht="12.75" customHeight="1" thickBot="1">
      <c r="A17" s="612" t="s">
        <v>225</v>
      </c>
      <c r="B17" s="915" t="s">
        <v>56</v>
      </c>
      <c r="C17" s="382">
        <f>SUM(C13:C16)</f>
        <v>3448</v>
      </c>
      <c r="D17" s="26">
        <f t="shared" ref="D17:O17" si="0">SUM(D13:D16)</f>
        <v>1152</v>
      </c>
      <c r="E17" s="392">
        <f t="shared" si="0"/>
        <v>100</v>
      </c>
      <c r="F17" s="382">
        <f t="shared" si="0"/>
        <v>171</v>
      </c>
      <c r="G17" s="382">
        <f t="shared" si="0"/>
        <v>1150</v>
      </c>
      <c r="H17" s="26">
        <f t="shared" si="0"/>
        <v>615</v>
      </c>
      <c r="I17" s="382">
        <f t="shared" si="0"/>
        <v>46</v>
      </c>
      <c r="J17" s="113">
        <f t="shared" si="0"/>
        <v>24</v>
      </c>
      <c r="K17" s="155"/>
      <c r="L17" s="391">
        <f>SUM(L13:L16)</f>
        <v>103</v>
      </c>
      <c r="M17" s="382">
        <f t="shared" si="0"/>
        <v>385</v>
      </c>
      <c r="N17" s="26">
        <f t="shared" si="0"/>
        <v>55</v>
      </c>
      <c r="O17" s="26">
        <f t="shared" si="0"/>
        <v>208</v>
      </c>
      <c r="P17" s="113">
        <f>SUM(P6:P16)</f>
        <v>7457</v>
      </c>
      <c r="Q17" s="50"/>
      <c r="R17" s="391">
        <f>SUM(R13:R16)</f>
        <v>35</v>
      </c>
      <c r="S17" s="382">
        <f>SUM(S13:S16)</f>
        <v>1</v>
      </c>
      <c r="T17" s="113">
        <f>SUM(T13:T16)</f>
        <v>536</v>
      </c>
      <c r="U17" s="50"/>
      <c r="V17" s="125">
        <f>SUM(V13:V16)</f>
        <v>178</v>
      </c>
      <c r="W17" s="126">
        <f>SUM(W13:W16)</f>
        <v>750</v>
      </c>
      <c r="X17" s="58"/>
      <c r="Y17" s="1030">
        <v>7149</v>
      </c>
      <c r="Z17" s="1031">
        <f>(P17-W17)*1000000/invanare</f>
        <v>655.60886728832372</v>
      </c>
      <c r="AA17" s="1031">
        <f>Y17*1000000/invanare</f>
        <v>698.81434206712777</v>
      </c>
      <c r="AB17" s="1031">
        <v>686</v>
      </c>
      <c r="AC17" s="1032">
        <f>IF(ISERROR((AA17-AB17)/AB17)," ",((AA17-AB17)/AB17))</f>
        <v>1.8679798931673132E-2</v>
      </c>
      <c r="AD17" s="2348"/>
      <c r="AE17" s="1770"/>
      <c r="AF17" s="1068">
        <v>6703</v>
      </c>
      <c r="AG17" s="1776">
        <v>6491</v>
      </c>
      <c r="AH17" s="2042">
        <f>W17-V17-SUM(Motpart!Y9:Z9)</f>
        <v>444</v>
      </c>
    </row>
    <row r="18" spans="1:34" ht="37.5" customHeight="1">
      <c r="A18" s="916"/>
      <c r="B18" s="917" t="s">
        <v>57</v>
      </c>
      <c r="C18" s="960"/>
      <c r="D18" s="961"/>
      <c r="E18" s="960"/>
      <c r="F18" s="962"/>
      <c r="G18" s="962"/>
      <c r="H18" s="961"/>
      <c r="I18" s="962"/>
      <c r="J18" s="963"/>
      <c r="K18" s="31"/>
      <c r="L18" s="994"/>
      <c r="M18" s="962"/>
      <c r="N18" s="961"/>
      <c r="O18" s="961"/>
      <c r="P18" s="963"/>
      <c r="Q18" s="51"/>
      <c r="R18" s="994"/>
      <c r="S18" s="962"/>
      <c r="T18" s="963"/>
      <c r="U18" s="51"/>
      <c r="V18" s="1008"/>
      <c r="W18" s="1009"/>
      <c r="X18" s="31"/>
      <c r="Y18" s="2388"/>
      <c r="Z18" s="2373"/>
      <c r="AA18" s="2374"/>
      <c r="AB18" s="2374"/>
      <c r="AC18" s="2375"/>
      <c r="AD18" s="325"/>
      <c r="AE18" s="1033"/>
      <c r="AF18" s="1783"/>
      <c r="AG18" s="1785"/>
      <c r="AH18" s="2043"/>
    </row>
    <row r="19" spans="1:34">
      <c r="A19" s="610" t="s">
        <v>226</v>
      </c>
      <c r="B19" s="918" t="s">
        <v>58</v>
      </c>
      <c r="C19" s="20">
        <v>3783</v>
      </c>
      <c r="D19" s="21">
        <v>1470</v>
      </c>
      <c r="E19" s="20">
        <v>826</v>
      </c>
      <c r="F19" s="20">
        <v>108</v>
      </c>
      <c r="G19" s="20">
        <v>1896</v>
      </c>
      <c r="H19" s="21">
        <v>62</v>
      </c>
      <c r="I19" s="20">
        <v>750</v>
      </c>
      <c r="J19" s="108">
        <v>703</v>
      </c>
      <c r="K19" s="31"/>
      <c r="L19" s="111">
        <v>381</v>
      </c>
      <c r="M19" s="20">
        <v>1280</v>
      </c>
      <c r="N19" s="21">
        <v>123</v>
      </c>
      <c r="O19" s="390">
        <v>274</v>
      </c>
      <c r="P19" s="389">
        <f>SUM(C19:O19)</f>
        <v>11656</v>
      </c>
      <c r="Q19" s="50"/>
      <c r="R19" s="111">
        <v>2657</v>
      </c>
      <c r="S19" s="20">
        <v>326</v>
      </c>
      <c r="T19" s="108">
        <v>1516</v>
      </c>
      <c r="U19" s="51"/>
      <c r="V19" s="121">
        <v>2482</v>
      </c>
      <c r="W19" s="424">
        <f t="shared" ref="W19:W29" si="1">SUM(R19:V19)</f>
        <v>6981</v>
      </c>
      <c r="X19" s="58"/>
      <c r="Y19" s="1822">
        <v>9115</v>
      </c>
      <c r="Z19" s="2376"/>
      <c r="AA19" s="2385"/>
      <c r="AB19" s="2377"/>
      <c r="AC19" s="2378"/>
      <c r="AD19" s="354"/>
      <c r="AE19" s="1033"/>
      <c r="AF19" s="1030">
        <v>4676</v>
      </c>
      <c r="AG19" s="1773">
        <v>9004</v>
      </c>
      <c r="AH19" s="2042">
        <f>W19-V19-(IF(AND(Motpart!$Y$10="",Motpart!$Z$10=""),0,IF(AND(Motpart!$Y$10=0,Motpart!$Z$10=0),0,((T19/$T$30)*(Motpart!$Y$10+Motpart!$Z$10)))))</f>
        <v>4409.6714219258802</v>
      </c>
    </row>
    <row r="20" spans="1:34">
      <c r="A20" s="610" t="s">
        <v>227</v>
      </c>
      <c r="B20" s="915" t="s">
        <v>59</v>
      </c>
      <c r="C20" s="20">
        <v>530</v>
      </c>
      <c r="D20" s="21">
        <v>206</v>
      </c>
      <c r="E20" s="20">
        <v>48</v>
      </c>
      <c r="F20" s="20">
        <v>101</v>
      </c>
      <c r="G20" s="20">
        <v>592</v>
      </c>
      <c r="H20" s="21">
        <v>793</v>
      </c>
      <c r="I20" s="20">
        <v>44</v>
      </c>
      <c r="J20" s="108">
        <v>41</v>
      </c>
      <c r="K20" s="31"/>
      <c r="L20" s="112">
        <v>32</v>
      </c>
      <c r="M20" s="23">
        <v>105</v>
      </c>
      <c r="N20" s="21">
        <v>14</v>
      </c>
      <c r="O20" s="390">
        <v>46</v>
      </c>
      <c r="P20" s="389">
        <f t="shared" ref="P20:P29" si="2">SUM(C20:O20)</f>
        <v>2552</v>
      </c>
      <c r="Q20" s="50"/>
      <c r="R20" s="112">
        <v>10</v>
      </c>
      <c r="S20" s="23">
        <v>9</v>
      </c>
      <c r="T20" s="109">
        <v>358</v>
      </c>
      <c r="U20" s="51"/>
      <c r="V20" s="122">
        <v>67</v>
      </c>
      <c r="W20" s="424">
        <f t="shared" si="1"/>
        <v>444</v>
      </c>
      <c r="X20" s="58"/>
      <c r="Y20" s="1665">
        <v>2466</v>
      </c>
      <c r="Z20" s="2386"/>
      <c r="AA20" s="2379"/>
      <c r="AB20" s="2380"/>
      <c r="AC20" s="1025"/>
      <c r="AD20" s="325"/>
      <c r="AE20" s="1033"/>
      <c r="AF20" s="1030">
        <v>2108</v>
      </c>
      <c r="AG20" s="1773">
        <v>1591</v>
      </c>
      <c r="AH20" s="2042">
        <f>W20-V20-(IF(AND(Motpart!$Y$10="",Motpart!$Z$10=""),0,IF(AND(Motpart!$Y$10=0,Motpart!$Z$10=0),0,((T20/$T$30)*(Motpart!$Y$10+Motpart!$Z$10)))))</f>
        <v>355.90525662893469</v>
      </c>
    </row>
    <row r="21" spans="1:34">
      <c r="A21" s="610" t="s">
        <v>703</v>
      </c>
      <c r="B21" s="915" t="s">
        <v>60</v>
      </c>
      <c r="C21" s="20">
        <v>123</v>
      </c>
      <c r="D21" s="21">
        <v>48</v>
      </c>
      <c r="E21" s="20">
        <v>3</v>
      </c>
      <c r="F21" s="20">
        <v>11</v>
      </c>
      <c r="G21" s="20">
        <v>36</v>
      </c>
      <c r="H21" s="21">
        <v>4</v>
      </c>
      <c r="I21" s="20">
        <v>9</v>
      </c>
      <c r="J21" s="108">
        <v>0</v>
      </c>
      <c r="K21" s="31"/>
      <c r="L21" s="112">
        <v>5</v>
      </c>
      <c r="M21" s="23">
        <v>19</v>
      </c>
      <c r="N21" s="21">
        <v>2</v>
      </c>
      <c r="O21" s="390">
        <v>6</v>
      </c>
      <c r="P21" s="389">
        <f t="shared" si="2"/>
        <v>266</v>
      </c>
      <c r="Q21" s="50"/>
      <c r="R21" s="112">
        <v>2</v>
      </c>
      <c r="S21" s="23">
        <v>0</v>
      </c>
      <c r="T21" s="109">
        <v>90</v>
      </c>
      <c r="U21" s="51"/>
      <c r="V21" s="122">
        <v>10</v>
      </c>
      <c r="W21" s="424">
        <f t="shared" si="1"/>
        <v>102</v>
      </c>
      <c r="X21" s="58"/>
      <c r="Y21" s="1665">
        <v>252</v>
      </c>
      <c r="Z21" s="2381"/>
      <c r="AA21" s="2382"/>
      <c r="AB21" s="2382"/>
      <c r="AC21" s="2383"/>
      <c r="AD21" s="325"/>
      <c r="AE21" s="1033"/>
      <c r="AF21" s="1030">
        <v>165</v>
      </c>
      <c r="AG21" s="1773">
        <v>242</v>
      </c>
      <c r="AH21" s="2042">
        <f>W21-V21-(IF(AND(Motpart!$Y$10="",Motpart!$Z$10=""),0,IF(AND(Motpart!$Y$10=0,Motpart!$Z$10=0),0,((T21/$T$30)*(Motpart!$Y$10+Motpart!$Z$10)))))</f>
        <v>86.69685222515119</v>
      </c>
    </row>
    <row r="22" spans="1:34">
      <c r="A22" s="610" t="s">
        <v>228</v>
      </c>
      <c r="B22" s="915" t="s">
        <v>61</v>
      </c>
      <c r="C22" s="20">
        <v>168</v>
      </c>
      <c r="D22" s="21">
        <v>65</v>
      </c>
      <c r="E22" s="20">
        <v>63</v>
      </c>
      <c r="F22" s="20">
        <v>125</v>
      </c>
      <c r="G22" s="20">
        <v>203</v>
      </c>
      <c r="H22" s="21">
        <v>258</v>
      </c>
      <c r="I22" s="20">
        <v>11</v>
      </c>
      <c r="J22" s="108">
        <v>35</v>
      </c>
      <c r="K22" s="31"/>
      <c r="L22" s="112">
        <v>28</v>
      </c>
      <c r="M22" s="23">
        <v>30</v>
      </c>
      <c r="N22" s="21">
        <v>5</v>
      </c>
      <c r="O22" s="390">
        <v>20</v>
      </c>
      <c r="P22" s="389">
        <f t="shared" si="2"/>
        <v>1011</v>
      </c>
      <c r="Q22" s="50"/>
      <c r="R22" s="112">
        <v>56</v>
      </c>
      <c r="S22" s="23">
        <v>30</v>
      </c>
      <c r="T22" s="109">
        <v>118</v>
      </c>
      <c r="U22" s="51"/>
      <c r="V22" s="122">
        <v>17</v>
      </c>
      <c r="W22" s="424">
        <f t="shared" si="1"/>
        <v>221</v>
      </c>
      <c r="X22" s="58"/>
      <c r="Y22" s="1665">
        <v>986</v>
      </c>
      <c r="Z22" s="2381"/>
      <c r="AA22" s="2382"/>
      <c r="AB22" s="2382"/>
      <c r="AC22" s="2383"/>
      <c r="AD22" s="2347"/>
      <c r="AE22" s="1033"/>
      <c r="AF22" s="1030">
        <v>791</v>
      </c>
      <c r="AG22" s="1773">
        <v>610</v>
      </c>
      <c r="AH22" s="2042">
        <f>W22-V22-(IF(AND(Motpart!$Y$10="",Motpart!$Z$10=""),0,IF(AND(Motpart!$Y$10=0,Motpart!$Z$10=0),0,((T22/$T$30)*(Motpart!$Y$10+Motpart!$Z$10)))))</f>
        <v>197.04698402853157</v>
      </c>
    </row>
    <row r="23" spans="1:34">
      <c r="A23" s="610" t="s">
        <v>229</v>
      </c>
      <c r="B23" s="926" t="s">
        <v>932</v>
      </c>
      <c r="C23" s="20">
        <v>1815</v>
      </c>
      <c r="D23" s="21">
        <v>721</v>
      </c>
      <c r="E23" s="20">
        <v>4213</v>
      </c>
      <c r="F23" s="20">
        <v>3050</v>
      </c>
      <c r="G23" s="20">
        <v>1859</v>
      </c>
      <c r="H23" s="21">
        <v>573</v>
      </c>
      <c r="I23" s="20">
        <v>108</v>
      </c>
      <c r="J23" s="108">
        <v>4599</v>
      </c>
      <c r="K23" s="31"/>
      <c r="L23" s="112">
        <v>235</v>
      </c>
      <c r="M23" s="23">
        <v>2725</v>
      </c>
      <c r="N23" s="21">
        <v>83</v>
      </c>
      <c r="O23" s="390">
        <v>433</v>
      </c>
      <c r="P23" s="389">
        <f t="shared" si="2"/>
        <v>20414</v>
      </c>
      <c r="Q23" s="50"/>
      <c r="R23" s="112">
        <v>3393</v>
      </c>
      <c r="S23" s="23">
        <v>23</v>
      </c>
      <c r="T23" s="109">
        <v>2373</v>
      </c>
      <c r="U23" s="51"/>
      <c r="V23" s="122">
        <v>2997</v>
      </c>
      <c r="W23" s="424">
        <f t="shared" si="1"/>
        <v>8786</v>
      </c>
      <c r="X23" s="58"/>
      <c r="Y23" s="1665">
        <v>17313</v>
      </c>
      <c r="Z23" s="2381"/>
      <c r="AA23" s="2382"/>
      <c r="AB23" s="2382"/>
      <c r="AC23" s="2387"/>
      <c r="AD23" s="2347"/>
      <c r="AE23" s="1033"/>
      <c r="AF23" s="1030">
        <v>11628</v>
      </c>
      <c r="AG23" s="1773">
        <v>13794</v>
      </c>
      <c r="AH23" s="2042">
        <f>W23-V23-(IF(AND(Motpart!$Y$10="",Motpart!$Z$10=""),0,IF(AND(Motpart!$Y$10=0,Motpart!$Z$10=0),0,((T23/$T$30)*(Motpart!$Y$10+Motpart!$Z$10)))))</f>
        <v>5649.1736703364859</v>
      </c>
    </row>
    <row r="24" spans="1:34">
      <c r="A24" s="610" t="s">
        <v>230</v>
      </c>
      <c r="B24" s="915" t="s">
        <v>19</v>
      </c>
      <c r="C24" s="20">
        <v>1010</v>
      </c>
      <c r="D24" s="21">
        <v>391</v>
      </c>
      <c r="E24" s="20">
        <v>618</v>
      </c>
      <c r="F24" s="20">
        <v>914</v>
      </c>
      <c r="G24" s="20">
        <v>471</v>
      </c>
      <c r="H24" s="21">
        <v>19</v>
      </c>
      <c r="I24" s="20">
        <v>30</v>
      </c>
      <c r="J24" s="108">
        <v>874</v>
      </c>
      <c r="K24" s="31"/>
      <c r="L24" s="112">
        <v>90</v>
      </c>
      <c r="M24" s="23">
        <v>1293</v>
      </c>
      <c r="N24" s="21">
        <v>32</v>
      </c>
      <c r="O24" s="390">
        <v>114</v>
      </c>
      <c r="P24" s="389">
        <f t="shared" si="2"/>
        <v>5856</v>
      </c>
      <c r="Q24" s="50"/>
      <c r="R24" s="112">
        <v>19</v>
      </c>
      <c r="S24" s="23">
        <v>6</v>
      </c>
      <c r="T24" s="109">
        <v>555</v>
      </c>
      <c r="U24" s="51"/>
      <c r="V24" s="122">
        <v>1032</v>
      </c>
      <c r="W24" s="424">
        <f t="shared" si="1"/>
        <v>1612</v>
      </c>
      <c r="X24" s="58"/>
      <c r="Y24" s="1665">
        <v>4806</v>
      </c>
      <c r="Z24" s="2381"/>
      <c r="AA24" s="2382"/>
      <c r="AB24" s="2382"/>
      <c r="AC24" s="2387"/>
      <c r="AD24" s="2347"/>
      <c r="AE24" s="1033"/>
      <c r="AF24" s="1030">
        <v>4243</v>
      </c>
      <c r="AG24" s="1773">
        <v>3890</v>
      </c>
      <c r="AH24" s="2042">
        <f>W24-V24-(IF(AND(Motpart!$Y$10="",Motpart!$Z$10=""),0,IF(AND(Motpart!$Y$10=0,Motpart!$Z$10=0),0,((T24/$T$30)*(Motpart!$Y$10+Motpart!$Z$10)))))</f>
        <v>547.29725538843229</v>
      </c>
    </row>
    <row r="25" spans="1:34">
      <c r="A25" s="610" t="s">
        <v>231</v>
      </c>
      <c r="B25" s="915" t="s">
        <v>63</v>
      </c>
      <c r="C25" s="20">
        <v>1262</v>
      </c>
      <c r="D25" s="21">
        <v>492</v>
      </c>
      <c r="E25" s="20">
        <v>57</v>
      </c>
      <c r="F25" s="20">
        <v>127</v>
      </c>
      <c r="G25" s="20">
        <v>202</v>
      </c>
      <c r="H25" s="21">
        <v>12</v>
      </c>
      <c r="I25" s="20">
        <v>31</v>
      </c>
      <c r="J25" s="108">
        <v>7</v>
      </c>
      <c r="K25" s="31"/>
      <c r="L25" s="112">
        <v>55</v>
      </c>
      <c r="M25" s="23">
        <v>154</v>
      </c>
      <c r="N25" s="21">
        <v>17</v>
      </c>
      <c r="O25" s="390">
        <v>69</v>
      </c>
      <c r="P25" s="389">
        <f t="shared" si="2"/>
        <v>2485</v>
      </c>
      <c r="Q25" s="50"/>
      <c r="R25" s="112">
        <v>871</v>
      </c>
      <c r="S25" s="23">
        <v>1</v>
      </c>
      <c r="T25" s="109">
        <v>133</v>
      </c>
      <c r="U25" s="51"/>
      <c r="V25" s="122">
        <v>228</v>
      </c>
      <c r="W25" s="424">
        <f t="shared" si="1"/>
        <v>1233</v>
      </c>
      <c r="X25" s="58"/>
      <c r="Y25" s="1665">
        <v>2235</v>
      </c>
      <c r="Z25" s="2381"/>
      <c r="AA25" s="2382"/>
      <c r="AB25" s="2382"/>
      <c r="AC25" s="2383"/>
      <c r="AD25" s="354"/>
      <c r="AE25" s="1033"/>
      <c r="AF25" s="1030">
        <v>1250</v>
      </c>
      <c r="AG25" s="1773">
        <v>2117</v>
      </c>
      <c r="AH25" s="2042">
        <f>W25-V25-(IF(AND(Motpart!$Y$10="",Motpart!$Z$10=""),0,IF(AND(Motpart!$Y$10=0,Motpart!$Z$10=0),0,((T25/$T$30)*(Motpart!$Y$10+Motpart!$Z$10)))))</f>
        <v>997.16312606605675</v>
      </c>
    </row>
    <row r="26" spans="1:34">
      <c r="A26" s="610" t="s">
        <v>232</v>
      </c>
      <c r="B26" s="915" t="s">
        <v>64</v>
      </c>
      <c r="C26" s="20">
        <v>496</v>
      </c>
      <c r="D26" s="21">
        <v>193</v>
      </c>
      <c r="E26" s="20">
        <v>163</v>
      </c>
      <c r="F26" s="20">
        <v>47</v>
      </c>
      <c r="G26" s="20">
        <v>436</v>
      </c>
      <c r="H26" s="21">
        <v>82</v>
      </c>
      <c r="I26" s="20">
        <v>15</v>
      </c>
      <c r="J26" s="108">
        <v>50</v>
      </c>
      <c r="K26" s="31"/>
      <c r="L26" s="112">
        <v>24</v>
      </c>
      <c r="M26" s="23">
        <v>144</v>
      </c>
      <c r="N26" s="21">
        <v>11</v>
      </c>
      <c r="O26" s="390">
        <v>51</v>
      </c>
      <c r="P26" s="389">
        <f t="shared" si="2"/>
        <v>1712</v>
      </c>
      <c r="Q26" s="50"/>
      <c r="R26" s="112">
        <v>52</v>
      </c>
      <c r="S26" s="23">
        <v>2</v>
      </c>
      <c r="T26" s="109">
        <v>498</v>
      </c>
      <c r="U26" s="51"/>
      <c r="V26" s="122">
        <v>87</v>
      </c>
      <c r="W26" s="424">
        <f t="shared" si="1"/>
        <v>639</v>
      </c>
      <c r="X26" s="58"/>
      <c r="Y26" s="1665">
        <v>1607</v>
      </c>
      <c r="Z26" s="2381"/>
      <c r="AA26" s="2382"/>
      <c r="AB26" s="2382"/>
      <c r="AC26" s="2383"/>
      <c r="AD26" s="2347"/>
      <c r="AE26" s="1033"/>
      <c r="AF26" s="1030">
        <v>1072</v>
      </c>
      <c r="AG26" s="1773">
        <v>1496</v>
      </c>
      <c r="AH26" s="2042">
        <f>W26-V26-(IF(AND(Motpart!$Y$10="",Motpart!$Z$10=""),0,IF(AND(Motpart!$Y$10=0,Motpart!$Z$10=0),0,((T26/$T$30)*(Motpart!$Y$10+Motpart!$Z$10)))))</f>
        <v>522.65591564583656</v>
      </c>
    </row>
    <row r="27" spans="1:34">
      <c r="A27" s="610" t="s">
        <v>233</v>
      </c>
      <c r="B27" s="915" t="s">
        <v>65</v>
      </c>
      <c r="C27" s="20">
        <v>111</v>
      </c>
      <c r="D27" s="21">
        <v>43</v>
      </c>
      <c r="E27" s="20">
        <v>2</v>
      </c>
      <c r="F27" s="20">
        <v>14</v>
      </c>
      <c r="G27" s="20">
        <v>30</v>
      </c>
      <c r="H27" s="21">
        <v>0</v>
      </c>
      <c r="I27" s="20">
        <v>1</v>
      </c>
      <c r="J27" s="108">
        <v>0</v>
      </c>
      <c r="K27" s="31"/>
      <c r="L27" s="112">
        <v>5</v>
      </c>
      <c r="M27" s="23">
        <v>19</v>
      </c>
      <c r="N27" s="21">
        <v>3</v>
      </c>
      <c r="O27" s="390">
        <v>7</v>
      </c>
      <c r="P27" s="389">
        <f t="shared" si="2"/>
        <v>235</v>
      </c>
      <c r="Q27" s="50"/>
      <c r="R27" s="112">
        <v>176</v>
      </c>
      <c r="S27" s="23">
        <v>0</v>
      </c>
      <c r="T27" s="109">
        <v>18</v>
      </c>
      <c r="U27" s="51"/>
      <c r="V27" s="122">
        <v>7</v>
      </c>
      <c r="W27" s="424">
        <f t="shared" si="1"/>
        <v>201</v>
      </c>
      <c r="X27" s="58"/>
      <c r="Y27" s="1665">
        <v>223</v>
      </c>
      <c r="Z27" s="2381"/>
      <c r="AA27" s="2382"/>
      <c r="AB27" s="2382"/>
      <c r="AC27" s="2383"/>
      <c r="AD27" s="2347"/>
      <c r="AE27" s="1033"/>
      <c r="AF27" s="1030">
        <v>34</v>
      </c>
      <c r="AG27" s="1773">
        <v>214</v>
      </c>
      <c r="AH27" s="2042">
        <f>W27-V27-(IF(AND(Motpart!$Y$10="",Motpart!$Z$10=""),0,IF(AND(Motpart!$Y$10=0,Motpart!$Z$10=0),0,((T27/$T$30)*(Motpart!$Y$10+Motpart!$Z$10)))))</f>
        <v>192.93937044503025</v>
      </c>
    </row>
    <row r="28" spans="1:34">
      <c r="A28" s="610" t="s">
        <v>234</v>
      </c>
      <c r="B28" s="915" t="s">
        <v>20</v>
      </c>
      <c r="C28" s="20">
        <v>1596</v>
      </c>
      <c r="D28" s="21">
        <v>618</v>
      </c>
      <c r="E28" s="20">
        <v>180</v>
      </c>
      <c r="F28" s="20">
        <v>3860</v>
      </c>
      <c r="G28" s="20">
        <v>387</v>
      </c>
      <c r="H28" s="21">
        <v>1068</v>
      </c>
      <c r="I28" s="20">
        <v>114</v>
      </c>
      <c r="J28" s="108">
        <v>191</v>
      </c>
      <c r="K28" s="31"/>
      <c r="L28" s="112">
        <v>191</v>
      </c>
      <c r="M28" s="23">
        <v>123</v>
      </c>
      <c r="N28" s="21">
        <v>28</v>
      </c>
      <c r="O28" s="390">
        <v>103</v>
      </c>
      <c r="P28" s="389">
        <f t="shared" si="2"/>
        <v>8459</v>
      </c>
      <c r="Q28" s="50"/>
      <c r="R28" s="112">
        <v>162</v>
      </c>
      <c r="S28" s="23">
        <v>29</v>
      </c>
      <c r="T28" s="109">
        <v>506</v>
      </c>
      <c r="U28" s="51"/>
      <c r="V28" s="122">
        <v>116</v>
      </c>
      <c r="W28" s="424">
        <f t="shared" si="1"/>
        <v>813</v>
      </c>
      <c r="X28" s="58"/>
      <c r="Y28" s="1665">
        <v>8235</v>
      </c>
      <c r="Z28" s="2381"/>
      <c r="AA28" s="2382"/>
      <c r="AB28" s="2382"/>
      <c r="AC28" s="2383"/>
      <c r="AD28" s="2347"/>
      <c r="AE28" s="1033"/>
      <c r="AF28" s="1030">
        <v>7647</v>
      </c>
      <c r="AG28" s="1773">
        <v>3415</v>
      </c>
      <c r="AH28" s="2042">
        <f>W28-V28-(IF(AND(Motpart!$Y$10="",Motpart!$Z$10=""),0,IF(AND(Motpart!$Y$10=0,Motpart!$Z$10=0),0,((T28/$T$30)*(Motpart!$Y$10+Motpart!$Z$10)))))</f>
        <v>667.18452473251671</v>
      </c>
    </row>
    <row r="29" spans="1:34">
      <c r="A29" s="610" t="s">
        <v>235</v>
      </c>
      <c r="B29" s="915" t="s">
        <v>66</v>
      </c>
      <c r="C29" s="20">
        <v>148</v>
      </c>
      <c r="D29" s="21">
        <v>58</v>
      </c>
      <c r="E29" s="20">
        <v>18</v>
      </c>
      <c r="F29" s="20">
        <v>22</v>
      </c>
      <c r="G29" s="20">
        <v>175</v>
      </c>
      <c r="H29" s="21">
        <v>6</v>
      </c>
      <c r="I29" s="20">
        <v>3</v>
      </c>
      <c r="J29" s="108">
        <v>17</v>
      </c>
      <c r="K29" s="31"/>
      <c r="L29" s="112">
        <v>6</v>
      </c>
      <c r="M29" s="23">
        <v>50</v>
      </c>
      <c r="N29" s="21">
        <v>3</v>
      </c>
      <c r="O29" s="390">
        <v>16</v>
      </c>
      <c r="P29" s="389">
        <f t="shared" si="2"/>
        <v>522</v>
      </c>
      <c r="Q29" s="50"/>
      <c r="R29" s="112">
        <v>13</v>
      </c>
      <c r="S29" s="23">
        <v>3</v>
      </c>
      <c r="T29" s="109">
        <v>284</v>
      </c>
      <c r="U29" s="51"/>
      <c r="V29" s="122">
        <v>29</v>
      </c>
      <c r="W29" s="424">
        <f t="shared" si="1"/>
        <v>329</v>
      </c>
      <c r="X29" s="58"/>
      <c r="Y29" s="1665">
        <v>474</v>
      </c>
      <c r="Z29" s="2361"/>
      <c r="AA29" s="2362"/>
      <c r="AB29" s="2362"/>
      <c r="AC29" s="2384"/>
      <c r="AD29" s="2367"/>
      <c r="AE29" s="1033"/>
      <c r="AF29" s="1030">
        <v>191</v>
      </c>
      <c r="AG29" s="1773">
        <v>463</v>
      </c>
      <c r="AH29" s="2042">
        <f>W29-V29-(IF(AND(Motpart!$Y$10="",Motpart!$Z$10=""),0,IF(AND(Motpart!$Y$10=0,Motpart!$Z$10=0),0,((T29/$T$30)*(Motpart!$Y$10+Motpart!$Z$10)))))</f>
        <v>283.26562257714374</v>
      </c>
    </row>
    <row r="30" spans="1:34" ht="12.75" customHeight="1" thickBot="1">
      <c r="A30" s="612" t="s">
        <v>236</v>
      </c>
      <c r="B30" s="915" t="s">
        <v>67</v>
      </c>
      <c r="C30" s="382">
        <f t="shared" ref="C30:M30" si="3">SUM(C19:C29)</f>
        <v>11042</v>
      </c>
      <c r="D30" s="26">
        <f t="shared" si="3"/>
        <v>4305</v>
      </c>
      <c r="E30" s="26">
        <f t="shared" si="3"/>
        <v>6191</v>
      </c>
      <c r="F30" s="393">
        <f t="shared" si="3"/>
        <v>8379</v>
      </c>
      <c r="G30" s="394">
        <f t="shared" si="3"/>
        <v>6287</v>
      </c>
      <c r="H30" s="395">
        <f t="shared" si="3"/>
        <v>2877</v>
      </c>
      <c r="I30" s="382">
        <f t="shared" si="3"/>
        <v>1116</v>
      </c>
      <c r="J30" s="113">
        <f t="shared" si="3"/>
        <v>6517</v>
      </c>
      <c r="K30" s="155"/>
      <c r="L30" s="391">
        <f>SUM(L19:L29)</f>
        <v>1052</v>
      </c>
      <c r="M30" s="382">
        <f t="shared" si="3"/>
        <v>5942</v>
      </c>
      <c r="N30" s="26">
        <f t="shared" ref="N30:W30" si="4">SUM(N19:N29)</f>
        <v>321</v>
      </c>
      <c r="O30" s="26">
        <f t="shared" si="4"/>
        <v>1139</v>
      </c>
      <c r="P30" s="113">
        <f t="shared" si="4"/>
        <v>55168</v>
      </c>
      <c r="Q30" s="50"/>
      <c r="R30" s="391">
        <f t="shared" si="4"/>
        <v>7411</v>
      </c>
      <c r="S30" s="382">
        <f t="shared" si="4"/>
        <v>429</v>
      </c>
      <c r="T30" s="113">
        <f t="shared" si="4"/>
        <v>6449</v>
      </c>
      <c r="U30" s="50"/>
      <c r="V30" s="125">
        <f t="shared" si="4"/>
        <v>7072</v>
      </c>
      <c r="W30" s="126">
        <f t="shared" si="4"/>
        <v>21361</v>
      </c>
      <c r="X30" s="58"/>
      <c r="Y30" s="1832">
        <v>47712</v>
      </c>
      <c r="Z30" s="1031">
        <f>(P30-W30)*1000000/invanare</f>
        <v>3304.6323209208826</v>
      </c>
      <c r="AA30" s="1031">
        <f>Y30*1000000/invanare</f>
        <v>4663.8452774803191</v>
      </c>
      <c r="AB30" s="1031">
        <v>4405</v>
      </c>
      <c r="AC30" s="1034">
        <f>IF(ISERROR((AA30-AB30)/AB30)," ",((AA30-AB30)/AB30))</f>
        <v>5.8761697498369819E-2</v>
      </c>
      <c r="AD30" s="2348"/>
      <c r="AE30" s="1778">
        <f>IF(ISERROR(F30/(AA30/1000*invanare)),"",(F30/(AA30/100000*invanare)))</f>
        <v>1.756161971830986E-2</v>
      </c>
      <c r="AF30" s="1030">
        <v>33803</v>
      </c>
      <c r="AG30" s="1776">
        <v>36837</v>
      </c>
      <c r="AH30" s="2044">
        <f>W30-V30-SUM(Motpart!Y10:Z10)</f>
        <v>13909</v>
      </c>
    </row>
    <row r="31" spans="1:34" ht="37.5" customHeight="1">
      <c r="A31" s="703"/>
      <c r="B31" s="919" t="s">
        <v>68</v>
      </c>
      <c r="C31" s="964"/>
      <c r="D31" s="965"/>
      <c r="E31" s="966"/>
      <c r="F31" s="967"/>
      <c r="G31" s="968"/>
      <c r="H31" s="969"/>
      <c r="I31" s="968"/>
      <c r="J31" s="970"/>
      <c r="K31" s="31"/>
      <c r="L31" s="995"/>
      <c r="M31" s="968"/>
      <c r="N31" s="965"/>
      <c r="O31" s="965"/>
      <c r="P31" s="970"/>
      <c r="Q31" s="51"/>
      <c r="R31" s="995"/>
      <c r="S31" s="968"/>
      <c r="T31" s="970"/>
      <c r="U31" s="51"/>
      <c r="V31" s="1010"/>
      <c r="W31" s="1011"/>
      <c r="X31" s="31"/>
      <c r="Y31" s="2388"/>
      <c r="Z31" s="2373"/>
      <c r="AA31" s="2374"/>
      <c r="AB31" s="2374"/>
      <c r="AC31" s="2375"/>
      <c r="AD31" s="325"/>
      <c r="AE31" s="1033">
        <f>IF(ISERROR(F30/(AA30/1000*invanare)),"",(SUM(Motpart!D10,Motpart!F10)/(AA30/100000*invanare)))</f>
        <v>7.0736921529175054E-3</v>
      </c>
      <c r="AF31" s="1662"/>
      <c r="AG31" s="1775"/>
      <c r="AH31" s="2045"/>
    </row>
    <row r="32" spans="1:34" ht="9" customHeight="1">
      <c r="A32" s="920"/>
      <c r="B32" s="921" t="s">
        <v>69</v>
      </c>
      <c r="C32" s="971"/>
      <c r="D32" s="972"/>
      <c r="E32" s="973"/>
      <c r="F32" s="974"/>
      <c r="G32" s="975"/>
      <c r="H32" s="976"/>
      <c r="I32" s="975"/>
      <c r="J32" s="977"/>
      <c r="K32" s="31"/>
      <c r="L32" s="996"/>
      <c r="M32" s="975"/>
      <c r="N32" s="972"/>
      <c r="O32" s="972"/>
      <c r="P32" s="977"/>
      <c r="Q32" s="51"/>
      <c r="R32" s="996"/>
      <c r="S32" s="975"/>
      <c r="T32" s="977"/>
      <c r="U32" s="51"/>
      <c r="V32" s="1012"/>
      <c r="W32" s="1013"/>
      <c r="X32" s="31"/>
      <c r="Y32" s="1663"/>
      <c r="Z32" s="1022"/>
      <c r="AA32" s="1023"/>
      <c r="AB32" s="1024"/>
      <c r="AC32" s="1025"/>
      <c r="AD32" s="325"/>
      <c r="AE32" s="1033"/>
      <c r="AF32" s="1663"/>
      <c r="AG32" s="1774"/>
      <c r="AH32" s="2046"/>
    </row>
    <row r="33" spans="1:34" ht="12" customHeight="1">
      <c r="A33" s="610" t="s">
        <v>237</v>
      </c>
      <c r="B33" s="918" t="s">
        <v>70</v>
      </c>
      <c r="C33" s="20">
        <v>5</v>
      </c>
      <c r="D33" s="21">
        <v>2</v>
      </c>
      <c r="E33" s="473">
        <v>1</v>
      </c>
      <c r="F33" s="474">
        <v>2</v>
      </c>
      <c r="G33" s="20">
        <v>5</v>
      </c>
      <c r="H33" s="475">
        <v>478</v>
      </c>
      <c r="I33" s="20">
        <v>4</v>
      </c>
      <c r="J33" s="108">
        <v>0</v>
      </c>
      <c r="K33" s="31"/>
      <c r="L33" s="111">
        <v>3</v>
      </c>
      <c r="M33" s="20">
        <v>13</v>
      </c>
      <c r="N33" s="21">
        <v>0</v>
      </c>
      <c r="O33" s="390">
        <v>1</v>
      </c>
      <c r="P33" s="389">
        <f>SUM(C33:O33)</f>
        <v>514</v>
      </c>
      <c r="Q33" s="50"/>
      <c r="R33" s="111">
        <v>0</v>
      </c>
      <c r="S33" s="20">
        <v>0</v>
      </c>
      <c r="T33" s="108">
        <v>4</v>
      </c>
      <c r="U33" s="51"/>
      <c r="V33" s="121">
        <v>10</v>
      </c>
      <c r="W33" s="424">
        <f>SUM(R33:V33)</f>
        <v>14</v>
      </c>
      <c r="X33" s="58"/>
      <c r="Y33" s="1030">
        <v>505</v>
      </c>
      <c r="Z33" s="1022"/>
      <c r="AA33" s="1022"/>
      <c r="AB33" s="1022"/>
      <c r="AC33" s="2389"/>
      <c r="AD33" s="2347"/>
      <c r="AE33" s="1033"/>
      <c r="AF33" s="1030">
        <v>501</v>
      </c>
      <c r="AG33" s="1773">
        <v>25</v>
      </c>
      <c r="AH33" s="2042">
        <f>W33-V33-(IF(AND(Motpart!$Y$11="",Motpart!$Z$11=""),0,IF(AND(Motpart!$Y$11=0,Motpart!$Z$11=0),0,((T33/$T$37)*(Motpart!$Y$11+Motpart!$Z$11)))))</f>
        <v>3.9523809523809526</v>
      </c>
    </row>
    <row r="34" spans="1:34">
      <c r="A34" s="610" t="s">
        <v>238</v>
      </c>
      <c r="B34" s="915" t="s">
        <v>71</v>
      </c>
      <c r="C34" s="20">
        <v>1186</v>
      </c>
      <c r="D34" s="21">
        <v>459</v>
      </c>
      <c r="E34" s="20">
        <v>231</v>
      </c>
      <c r="F34" s="20">
        <v>144</v>
      </c>
      <c r="G34" s="20">
        <v>947</v>
      </c>
      <c r="H34" s="24">
        <v>1193</v>
      </c>
      <c r="I34" s="23">
        <v>276</v>
      </c>
      <c r="J34" s="109">
        <v>98</v>
      </c>
      <c r="K34" s="31"/>
      <c r="L34" s="112">
        <v>568</v>
      </c>
      <c r="M34" s="23">
        <v>396</v>
      </c>
      <c r="N34" s="21">
        <v>21</v>
      </c>
      <c r="O34" s="390">
        <v>114</v>
      </c>
      <c r="P34" s="389">
        <f>SUM(C34:O34)</f>
        <v>5633</v>
      </c>
      <c r="Q34" s="50"/>
      <c r="R34" s="112">
        <v>122</v>
      </c>
      <c r="S34" s="23">
        <v>68</v>
      </c>
      <c r="T34" s="109">
        <v>807</v>
      </c>
      <c r="U34" s="51"/>
      <c r="V34" s="122">
        <v>441</v>
      </c>
      <c r="W34" s="424">
        <f>SUM(R34:V34)</f>
        <v>1438</v>
      </c>
      <c r="X34" s="58"/>
      <c r="Y34" s="1059">
        <v>5186</v>
      </c>
      <c r="Z34" s="1022"/>
      <c r="AA34" s="1022"/>
      <c r="AB34" s="1022"/>
      <c r="AC34" s="2389"/>
      <c r="AD34" s="2367"/>
      <c r="AE34" s="1033"/>
      <c r="AF34" s="1030">
        <v>4196</v>
      </c>
      <c r="AG34" s="1773">
        <v>3855</v>
      </c>
      <c r="AH34" s="2042">
        <f>W34-V34-(IF(AND(Motpart!$Y$11="",Motpart!$Z$11=""),0,IF(AND(Motpart!$Y$11=0,Motpart!$Z$11=0),0,((T34/$T$37)*(Motpart!$Y$11+Motpart!$Z$11)))))</f>
        <v>987.39285714285711</v>
      </c>
    </row>
    <row r="35" spans="1:34">
      <c r="A35" s="610" t="s">
        <v>239</v>
      </c>
      <c r="B35" s="915" t="s">
        <v>72</v>
      </c>
      <c r="C35" s="20">
        <v>1846</v>
      </c>
      <c r="D35" s="21">
        <v>715</v>
      </c>
      <c r="E35" s="23">
        <v>570</v>
      </c>
      <c r="F35" s="23">
        <v>26</v>
      </c>
      <c r="G35" s="23">
        <v>437</v>
      </c>
      <c r="H35" s="24">
        <v>5</v>
      </c>
      <c r="I35" s="23">
        <v>332</v>
      </c>
      <c r="J35" s="109">
        <v>106</v>
      </c>
      <c r="K35" s="31"/>
      <c r="L35" s="112">
        <v>564</v>
      </c>
      <c r="M35" s="23">
        <v>371</v>
      </c>
      <c r="N35" s="21">
        <v>32</v>
      </c>
      <c r="O35" s="390">
        <v>152</v>
      </c>
      <c r="P35" s="389">
        <f>SUM(C35:O35)</f>
        <v>5156</v>
      </c>
      <c r="Q35" s="50"/>
      <c r="R35" s="112">
        <v>53</v>
      </c>
      <c r="S35" s="23">
        <v>7</v>
      </c>
      <c r="T35" s="109">
        <v>230</v>
      </c>
      <c r="U35" s="51"/>
      <c r="V35" s="122">
        <v>290</v>
      </c>
      <c r="W35" s="424">
        <f>SUM(R35:V35)</f>
        <v>580</v>
      </c>
      <c r="X35" s="58"/>
      <c r="Y35" s="1059">
        <v>4862</v>
      </c>
      <c r="Z35" s="1022"/>
      <c r="AA35" s="1022"/>
      <c r="AB35" s="1022"/>
      <c r="AC35" s="2390"/>
      <c r="AD35" s="2347"/>
      <c r="AE35" s="1033"/>
      <c r="AF35" s="1030">
        <v>4578</v>
      </c>
      <c r="AG35" s="1773">
        <v>4836</v>
      </c>
      <c r="AH35" s="2042">
        <f>W35-V35-(IF(AND(Motpart!$Y$11="",Motpart!$Z$11=""),0,IF(AND(Motpart!$Y$11=0,Motpart!$Z$11=0),0,((T35/$T$37)*(Motpart!$Y$11+Motpart!$Z$11)))))</f>
        <v>287.26190476190476</v>
      </c>
    </row>
    <row r="36" spans="1:34">
      <c r="A36" s="610" t="s">
        <v>240</v>
      </c>
      <c r="B36" s="915" t="s">
        <v>73</v>
      </c>
      <c r="C36" s="20">
        <v>1693</v>
      </c>
      <c r="D36" s="21">
        <v>654</v>
      </c>
      <c r="E36" s="23">
        <v>83</v>
      </c>
      <c r="F36" s="23">
        <v>64</v>
      </c>
      <c r="G36" s="23">
        <v>183</v>
      </c>
      <c r="H36" s="24">
        <v>14</v>
      </c>
      <c r="I36" s="23">
        <v>103</v>
      </c>
      <c r="J36" s="109">
        <v>22</v>
      </c>
      <c r="K36" s="31"/>
      <c r="L36" s="112">
        <v>199</v>
      </c>
      <c r="M36" s="23">
        <v>259</v>
      </c>
      <c r="N36" s="21">
        <v>18</v>
      </c>
      <c r="O36" s="390">
        <v>98</v>
      </c>
      <c r="P36" s="389">
        <f>SUM(C36:O36)</f>
        <v>3390</v>
      </c>
      <c r="Q36" s="50"/>
      <c r="R36" s="112">
        <v>243</v>
      </c>
      <c r="S36" s="23">
        <v>3</v>
      </c>
      <c r="T36" s="109">
        <v>219</v>
      </c>
      <c r="U36" s="51"/>
      <c r="V36" s="122">
        <v>267</v>
      </c>
      <c r="W36" s="424">
        <f>SUM(R36:V36)</f>
        <v>732</v>
      </c>
      <c r="X36" s="58"/>
      <c r="Y36" s="1059">
        <v>3119</v>
      </c>
      <c r="Z36" s="1036">
        <f>(P36-W36)*1000000/invanare</f>
        <v>259.8193483304554</v>
      </c>
      <c r="AA36" s="1036">
        <f>Y36*1000000/inv7_15</f>
        <v>2878.2727779438851</v>
      </c>
      <c r="AB36" s="1036">
        <v>2834</v>
      </c>
      <c r="AC36" s="1037">
        <f>IF(ISERROR((AA36-AB36)/AB36)," ",((AA36-AB36)/AB36))</f>
        <v>1.5622010565943933E-2</v>
      </c>
      <c r="AD36" s="2368"/>
      <c r="AE36" s="1033"/>
      <c r="AF36" s="1030">
        <v>2657</v>
      </c>
      <c r="AG36" s="1773">
        <v>3045</v>
      </c>
      <c r="AH36" s="2042">
        <f>W36-V36-(IF(AND(Motpart!$Y$11="",Motpart!$Z$11=""),0,IF(AND(Motpart!$Y$11=0,Motpart!$Z$11=0),0,((T36/$T$37)*(Motpart!$Y$11+Motpart!$Z$11)))))</f>
        <v>462.39285714285717</v>
      </c>
    </row>
    <row r="37" spans="1:34">
      <c r="A37" s="610" t="s">
        <v>241</v>
      </c>
      <c r="B37" s="915" t="s">
        <v>74</v>
      </c>
      <c r="C37" s="382">
        <f t="shared" ref="C37:M37" si="5">SUM(C33:C36)</f>
        <v>4730</v>
      </c>
      <c r="D37" s="26">
        <f t="shared" si="5"/>
        <v>1830</v>
      </c>
      <c r="E37" s="382">
        <f t="shared" si="5"/>
        <v>885</v>
      </c>
      <c r="F37" s="382">
        <f t="shared" si="5"/>
        <v>236</v>
      </c>
      <c r="G37" s="382">
        <f t="shared" si="5"/>
        <v>1572</v>
      </c>
      <c r="H37" s="26">
        <f t="shared" si="5"/>
        <v>1690</v>
      </c>
      <c r="I37" s="382">
        <f t="shared" si="5"/>
        <v>715</v>
      </c>
      <c r="J37" s="113">
        <f t="shared" si="5"/>
        <v>226</v>
      </c>
      <c r="K37" s="155"/>
      <c r="L37" s="391">
        <f>SUM(L33:L36)</f>
        <v>1334</v>
      </c>
      <c r="M37" s="382">
        <f t="shared" si="5"/>
        <v>1039</v>
      </c>
      <c r="N37" s="26">
        <f t="shared" ref="N37:W37" si="6">SUM(N33:N36)</f>
        <v>71</v>
      </c>
      <c r="O37" s="26">
        <f t="shared" si="6"/>
        <v>365</v>
      </c>
      <c r="P37" s="113">
        <f t="shared" si="6"/>
        <v>14693</v>
      </c>
      <c r="Q37" s="50"/>
      <c r="R37" s="391">
        <f t="shared" si="6"/>
        <v>418</v>
      </c>
      <c r="S37" s="382">
        <f t="shared" si="6"/>
        <v>78</v>
      </c>
      <c r="T37" s="113">
        <f t="shared" si="6"/>
        <v>1260</v>
      </c>
      <c r="U37" s="50"/>
      <c r="V37" s="125">
        <f t="shared" si="6"/>
        <v>1008</v>
      </c>
      <c r="W37" s="126">
        <f t="shared" si="6"/>
        <v>2764</v>
      </c>
      <c r="X37" s="58"/>
      <c r="Y37" s="1030">
        <v>13672</v>
      </c>
      <c r="Z37" s="1038">
        <f>(P37-W37)*1000000/invanare</f>
        <v>1166.0590693130182</v>
      </c>
      <c r="AA37" s="1039">
        <f>Y37*1000000/invanare</f>
        <v>1336.4372198547728</v>
      </c>
      <c r="AB37" s="1039">
        <v>1294</v>
      </c>
      <c r="AC37" s="1040">
        <f>IF(ISERROR((AA37-AB37)/AB37)," ",((AA37-AB37)/AB37))</f>
        <v>3.2795378558557048E-2</v>
      </c>
      <c r="AD37" s="2368"/>
      <c r="AE37" s="1033"/>
      <c r="AF37" s="1030">
        <v>11931</v>
      </c>
      <c r="AG37" s="1773">
        <v>11761</v>
      </c>
      <c r="AH37" s="2042">
        <f>W37-V37-SUM(Motpart!Y11:Z11)</f>
        <v>1741</v>
      </c>
    </row>
    <row r="38" spans="1:34" ht="9" customHeight="1">
      <c r="A38" s="920"/>
      <c r="B38" s="921" t="s">
        <v>75</v>
      </c>
      <c r="C38" s="978"/>
      <c r="D38" s="979"/>
      <c r="E38" s="980"/>
      <c r="F38" s="980"/>
      <c r="G38" s="980"/>
      <c r="H38" s="979"/>
      <c r="I38" s="980"/>
      <c r="J38" s="981"/>
      <c r="K38" s="31"/>
      <c r="L38" s="997"/>
      <c r="M38" s="980"/>
      <c r="N38" s="979"/>
      <c r="O38" s="979"/>
      <c r="P38" s="981"/>
      <c r="Q38" s="51"/>
      <c r="R38" s="997"/>
      <c r="S38" s="980"/>
      <c r="T38" s="981"/>
      <c r="U38" s="51"/>
      <c r="V38" s="1014"/>
      <c r="W38" s="1015"/>
      <c r="X38" s="31"/>
      <c r="Y38" s="1663"/>
      <c r="Z38" s="2381"/>
      <c r="AA38" s="2382"/>
      <c r="AB38" s="2382"/>
      <c r="AC38" s="2383"/>
      <c r="AD38" s="325"/>
      <c r="AE38" s="1033"/>
      <c r="AF38" s="1030">
        <f t="shared" ref="AF38" si="7">P38-W38</f>
        <v>0</v>
      </c>
      <c r="AG38" s="1773">
        <f t="shared" ref="AG38:AG62" si="8">P38-F38-H38-V38</f>
        <v>0</v>
      </c>
      <c r="AH38" s="2042"/>
    </row>
    <row r="39" spans="1:34" ht="11.25" customHeight="1">
      <c r="A39" s="610" t="s">
        <v>242</v>
      </c>
      <c r="B39" s="918" t="s">
        <v>76</v>
      </c>
      <c r="C39" s="20">
        <v>364</v>
      </c>
      <c r="D39" s="21">
        <v>139</v>
      </c>
      <c r="E39" s="20">
        <v>83</v>
      </c>
      <c r="F39" s="20">
        <v>68</v>
      </c>
      <c r="G39" s="20">
        <v>187</v>
      </c>
      <c r="H39" s="21">
        <v>1616</v>
      </c>
      <c r="I39" s="20">
        <v>50</v>
      </c>
      <c r="J39" s="108">
        <v>28</v>
      </c>
      <c r="K39" s="31"/>
      <c r="L39" s="111">
        <v>229</v>
      </c>
      <c r="M39" s="20">
        <v>174</v>
      </c>
      <c r="N39" s="21">
        <v>12</v>
      </c>
      <c r="O39" s="390">
        <v>32</v>
      </c>
      <c r="P39" s="389">
        <f>SUM(C39:O39)</f>
        <v>2982</v>
      </c>
      <c r="Q39" s="50"/>
      <c r="R39" s="111">
        <v>22</v>
      </c>
      <c r="S39" s="20">
        <v>21</v>
      </c>
      <c r="T39" s="108">
        <v>276</v>
      </c>
      <c r="U39" s="51"/>
      <c r="V39" s="121">
        <v>112</v>
      </c>
      <c r="W39" s="424">
        <f>SUM(R39:V39)</f>
        <v>431</v>
      </c>
      <c r="X39" s="58"/>
      <c r="Y39" s="1059">
        <v>2869</v>
      </c>
      <c r="Z39" s="2381"/>
      <c r="AA39" s="2382"/>
      <c r="AB39" s="2382"/>
      <c r="AC39" s="2387"/>
      <c r="AD39" s="2367"/>
      <c r="AE39" s="1033"/>
      <c r="AF39" s="1030">
        <v>2551</v>
      </c>
      <c r="AG39" s="1773">
        <v>1187</v>
      </c>
      <c r="AH39" s="2042">
        <f>W39-V39-(IF(AND(Motpart!$Y$12="",Motpart!$Z$12=""),0,IF(AND(Motpart!$Y$12=0,Motpart!$Z$12=0),0,((T39/$T$42)*(Motpart!$Y$12+Motpart!$Z$12)))))</f>
        <v>315.69981120201385</v>
      </c>
    </row>
    <row r="40" spans="1:34">
      <c r="A40" s="610" t="s">
        <v>243</v>
      </c>
      <c r="B40" s="915" t="s">
        <v>77</v>
      </c>
      <c r="C40" s="20">
        <v>1923</v>
      </c>
      <c r="D40" s="21">
        <v>749</v>
      </c>
      <c r="E40" s="23">
        <v>1245</v>
      </c>
      <c r="F40" s="23">
        <v>505</v>
      </c>
      <c r="G40" s="23">
        <v>887</v>
      </c>
      <c r="H40" s="24">
        <v>305</v>
      </c>
      <c r="I40" s="23">
        <v>1438</v>
      </c>
      <c r="J40" s="109">
        <v>1117</v>
      </c>
      <c r="K40" s="31"/>
      <c r="L40" s="112">
        <v>4265</v>
      </c>
      <c r="M40" s="23">
        <v>977</v>
      </c>
      <c r="N40" s="21">
        <v>55</v>
      </c>
      <c r="O40" s="390">
        <v>344</v>
      </c>
      <c r="P40" s="389">
        <f>SUM(C40:O40)</f>
        <v>13810</v>
      </c>
      <c r="Q40" s="50"/>
      <c r="R40" s="112">
        <v>859</v>
      </c>
      <c r="S40" s="23">
        <v>391</v>
      </c>
      <c r="T40" s="109">
        <v>1077</v>
      </c>
      <c r="U40" s="51"/>
      <c r="V40" s="122">
        <v>1464</v>
      </c>
      <c r="W40" s="424">
        <f>SUM(R40:V40)</f>
        <v>3791</v>
      </c>
      <c r="X40" s="58"/>
      <c r="Y40" s="1059">
        <v>12329</v>
      </c>
      <c r="Z40" s="2381"/>
      <c r="AA40" s="2382"/>
      <c r="AB40" s="2382"/>
      <c r="AC40" s="2387"/>
      <c r="AD40" s="2347"/>
      <c r="AE40" s="1033"/>
      <c r="AF40" s="1030">
        <v>10019</v>
      </c>
      <c r="AG40" s="1773">
        <v>11536</v>
      </c>
      <c r="AH40" s="2042">
        <f>W40-V40-(IF(AND(Motpart!$Y$12="",Motpart!$Z$12=""),0,IF(AND(Motpart!$Y$12=0,Motpart!$Z$12=0),0,((T40/$T$42)*(Motpart!$Y$12+Motpart!$Z$12)))))</f>
        <v>2314.1220893643799</v>
      </c>
    </row>
    <row r="41" spans="1:34">
      <c r="A41" s="610" t="s">
        <v>244</v>
      </c>
      <c r="B41" s="915" t="s">
        <v>78</v>
      </c>
      <c r="C41" s="20">
        <v>1229</v>
      </c>
      <c r="D41" s="21">
        <v>479</v>
      </c>
      <c r="E41" s="23">
        <v>155</v>
      </c>
      <c r="F41" s="23">
        <v>154</v>
      </c>
      <c r="G41" s="23">
        <v>234</v>
      </c>
      <c r="H41" s="24">
        <v>80</v>
      </c>
      <c r="I41" s="23">
        <v>117</v>
      </c>
      <c r="J41" s="109">
        <v>16</v>
      </c>
      <c r="K41" s="31"/>
      <c r="L41" s="112">
        <v>250</v>
      </c>
      <c r="M41" s="23">
        <v>292</v>
      </c>
      <c r="N41" s="21">
        <v>16</v>
      </c>
      <c r="O41" s="390">
        <v>82</v>
      </c>
      <c r="P41" s="389">
        <f>SUM(C41:O41)</f>
        <v>3104</v>
      </c>
      <c r="Q41" s="50"/>
      <c r="R41" s="112">
        <v>27</v>
      </c>
      <c r="S41" s="23">
        <v>7</v>
      </c>
      <c r="T41" s="109">
        <v>236</v>
      </c>
      <c r="U41" s="51"/>
      <c r="V41" s="122">
        <v>298</v>
      </c>
      <c r="W41" s="424">
        <f>SUM(R41:V41)</f>
        <v>568</v>
      </c>
      <c r="X41" s="58"/>
      <c r="Y41" s="1059">
        <v>2806</v>
      </c>
      <c r="Z41" s="2381"/>
      <c r="AA41" s="2382"/>
      <c r="AB41" s="2382"/>
      <c r="AC41" s="2383"/>
      <c r="AD41" s="2367"/>
      <c r="AE41" s="1033"/>
      <c r="AF41" s="1030">
        <v>2537</v>
      </c>
      <c r="AG41" s="1773">
        <v>2573</v>
      </c>
      <c r="AH41" s="2042">
        <f>W41-V41-(IF(AND(Motpart!$Y$12="",Motpart!$Z$12=""),0,IF(AND(Motpart!$Y$12=0,Motpart!$Z$12=0),0,((T41/$T$42)*(Motpart!$Y$12+Motpart!$Z$12)))))</f>
        <v>267.17809943360606</v>
      </c>
    </row>
    <row r="42" spans="1:34">
      <c r="A42" s="610" t="s">
        <v>245</v>
      </c>
      <c r="B42" s="915" t="s">
        <v>79</v>
      </c>
      <c r="C42" s="382">
        <f t="shared" ref="C42:W42" si="9">SUM(C39:C41)</f>
        <v>3516</v>
      </c>
      <c r="D42" s="26">
        <f t="shared" si="9"/>
        <v>1367</v>
      </c>
      <c r="E42" s="382">
        <f t="shared" si="9"/>
        <v>1483</v>
      </c>
      <c r="F42" s="382">
        <f t="shared" si="9"/>
        <v>727</v>
      </c>
      <c r="G42" s="382">
        <f t="shared" si="9"/>
        <v>1308</v>
      </c>
      <c r="H42" s="26">
        <f t="shared" si="9"/>
        <v>2001</v>
      </c>
      <c r="I42" s="382">
        <f t="shared" si="9"/>
        <v>1605</v>
      </c>
      <c r="J42" s="113">
        <f t="shared" si="9"/>
        <v>1161</v>
      </c>
      <c r="K42" s="155"/>
      <c r="L42" s="391">
        <f>SUM(L39:L41)</f>
        <v>4744</v>
      </c>
      <c r="M42" s="382">
        <f t="shared" si="9"/>
        <v>1443</v>
      </c>
      <c r="N42" s="26">
        <f t="shared" si="9"/>
        <v>83</v>
      </c>
      <c r="O42" s="26">
        <f t="shared" si="9"/>
        <v>458</v>
      </c>
      <c r="P42" s="389">
        <f>SUM(C42:O42)</f>
        <v>19896</v>
      </c>
      <c r="Q42" s="50"/>
      <c r="R42" s="391">
        <f t="shared" si="9"/>
        <v>908</v>
      </c>
      <c r="S42" s="382">
        <f t="shared" si="9"/>
        <v>419</v>
      </c>
      <c r="T42" s="113">
        <f t="shared" si="9"/>
        <v>1589</v>
      </c>
      <c r="U42" s="50"/>
      <c r="V42" s="125">
        <f t="shared" si="9"/>
        <v>1874</v>
      </c>
      <c r="W42" s="126">
        <f t="shared" si="9"/>
        <v>4790</v>
      </c>
      <c r="X42" s="58"/>
      <c r="Y42" s="1030">
        <v>18003</v>
      </c>
      <c r="Z42" s="1036">
        <f>(P42-W42)*1000000/invanare</f>
        <v>1476.6106380285401</v>
      </c>
      <c r="AA42" s="1036">
        <f>Y42*1000000/invanare</f>
        <v>1759.79222272129</v>
      </c>
      <c r="AB42" s="1036">
        <v>1708</v>
      </c>
      <c r="AC42" s="1037">
        <f>IF(ISERROR((AA42-AB42)/AB42)," ",((AA42-AB42)/AB42))</f>
        <v>3.0323315410591363E-2</v>
      </c>
      <c r="AD42" s="2368"/>
      <c r="AE42" s="1033"/>
      <c r="AF42" s="1030">
        <v>15107</v>
      </c>
      <c r="AG42" s="1773">
        <v>15295</v>
      </c>
      <c r="AH42" s="2042">
        <f>W42-V42-SUM(Motpart!Y12:Z12)</f>
        <v>2897</v>
      </c>
    </row>
    <row r="43" spans="1:34" ht="12.75" customHeight="1" thickBot="1">
      <c r="A43" s="614" t="s">
        <v>246</v>
      </c>
      <c r="B43" s="922" t="s">
        <v>80</v>
      </c>
      <c r="C43" s="396">
        <f>SUM(C37,C42)</f>
        <v>8246</v>
      </c>
      <c r="D43" s="397">
        <f t="shared" ref="D43:P43" si="10">SUM(D37,D42)</f>
        <v>3197</v>
      </c>
      <c r="E43" s="396">
        <f t="shared" si="10"/>
        <v>2368</v>
      </c>
      <c r="F43" s="396">
        <f t="shared" si="10"/>
        <v>963</v>
      </c>
      <c r="G43" s="396">
        <f t="shared" si="10"/>
        <v>2880</v>
      </c>
      <c r="H43" s="397">
        <f t="shared" si="10"/>
        <v>3691</v>
      </c>
      <c r="I43" s="396">
        <f t="shared" si="10"/>
        <v>2320</v>
      </c>
      <c r="J43" s="398">
        <f t="shared" si="10"/>
        <v>1387</v>
      </c>
      <c r="K43" s="155"/>
      <c r="L43" s="399">
        <f>SUM(L37,L42)</f>
        <v>6078</v>
      </c>
      <c r="M43" s="396">
        <f t="shared" si="10"/>
        <v>2482</v>
      </c>
      <c r="N43" s="397">
        <f t="shared" si="10"/>
        <v>154</v>
      </c>
      <c r="O43" s="397">
        <f t="shared" si="10"/>
        <v>823</v>
      </c>
      <c r="P43" s="398">
        <f t="shared" si="10"/>
        <v>34589</v>
      </c>
      <c r="Q43" s="50"/>
      <c r="R43" s="399">
        <f>SUM(R37,R42)</f>
        <v>1326</v>
      </c>
      <c r="S43" s="396">
        <f>SUM(S37,S42)</f>
        <v>497</v>
      </c>
      <c r="T43" s="398">
        <f>SUM(T37,T42)</f>
        <v>2849</v>
      </c>
      <c r="U43" s="50"/>
      <c r="V43" s="426">
        <f>SUM(V37,V42)</f>
        <v>2882</v>
      </c>
      <c r="W43" s="425">
        <f>SUM(W37,W42)</f>
        <v>7554</v>
      </c>
      <c r="X43" s="58"/>
      <c r="Y43" s="1068">
        <v>31675</v>
      </c>
      <c r="Z43" s="1041"/>
      <c r="AA43" s="1042"/>
      <c r="AB43" s="1043"/>
      <c r="AC43" s="1044"/>
      <c r="AD43" s="2369"/>
      <c r="AE43" s="1779"/>
      <c r="AF43" s="1068">
        <v>27038</v>
      </c>
      <c r="AG43" s="1776">
        <v>27056</v>
      </c>
      <c r="AH43" s="2044">
        <f>AH37+AH42</f>
        <v>4638</v>
      </c>
    </row>
    <row r="44" spans="1:34" ht="48" customHeight="1">
      <c r="A44" s="920"/>
      <c r="B44" s="923" t="s">
        <v>81</v>
      </c>
      <c r="C44" s="1046"/>
      <c r="D44" s="1047"/>
      <c r="E44" s="1048"/>
      <c r="F44" s="1048"/>
      <c r="G44" s="1048"/>
      <c r="H44" s="1047"/>
      <c r="I44" s="1048"/>
      <c r="J44" s="1049"/>
      <c r="K44" s="32"/>
      <c r="L44" s="503"/>
      <c r="M44" s="504"/>
      <c r="N44" s="497"/>
      <c r="O44" s="497"/>
      <c r="P44" s="499"/>
      <c r="Q44" s="220"/>
      <c r="R44" s="503"/>
      <c r="S44" s="498"/>
      <c r="T44" s="499"/>
      <c r="U44" s="220"/>
      <c r="V44" s="507"/>
      <c r="W44" s="508"/>
      <c r="X44" s="32"/>
      <c r="Y44" s="2388"/>
      <c r="Z44" s="2373"/>
      <c r="AA44" s="2374"/>
      <c r="AB44" s="2374"/>
      <c r="AC44" s="2375"/>
      <c r="AD44" s="325"/>
      <c r="AE44" s="1033"/>
      <c r="AF44" s="1784"/>
      <c r="AG44" s="1775"/>
      <c r="AH44" s="2045"/>
    </row>
    <row r="45" spans="1:34" ht="39.75" customHeight="1">
      <c r="A45" s="1857" t="s">
        <v>400</v>
      </c>
      <c r="B45" s="924" t="s">
        <v>567</v>
      </c>
      <c r="C45" s="1050"/>
      <c r="D45" s="1051"/>
      <c r="E45" s="1052"/>
      <c r="F45" s="1052"/>
      <c r="G45" s="1052"/>
      <c r="H45" s="1051"/>
      <c r="I45" s="1052"/>
      <c r="J45" s="1053"/>
      <c r="K45" s="32"/>
      <c r="L45" s="505"/>
      <c r="M45" s="506"/>
      <c r="N45" s="500"/>
      <c r="O45" s="500"/>
      <c r="P45" s="502"/>
      <c r="Q45" s="220"/>
      <c r="R45" s="505"/>
      <c r="S45" s="501"/>
      <c r="T45" s="502"/>
      <c r="U45" s="220"/>
      <c r="V45" s="509"/>
      <c r="W45" s="510"/>
      <c r="X45" s="32"/>
      <c r="Y45" s="1663"/>
      <c r="Z45" s="1022"/>
      <c r="AA45" s="1023"/>
      <c r="AB45" s="1024"/>
      <c r="AC45" s="1025"/>
      <c r="AD45" s="325"/>
      <c r="AE45" s="1033"/>
      <c r="AF45" s="1059"/>
      <c r="AG45" s="1774"/>
      <c r="AH45" s="2046"/>
    </row>
    <row r="46" spans="1:34">
      <c r="A46" s="610" t="s">
        <v>247</v>
      </c>
      <c r="B46" s="918" t="s">
        <v>82</v>
      </c>
      <c r="C46" s="20">
        <v>212</v>
      </c>
      <c r="D46" s="21">
        <v>82</v>
      </c>
      <c r="E46" s="20">
        <v>12</v>
      </c>
      <c r="F46" s="20">
        <v>16</v>
      </c>
      <c r="G46" s="20">
        <v>19</v>
      </c>
      <c r="H46" s="21">
        <v>0</v>
      </c>
      <c r="I46" s="20">
        <v>33</v>
      </c>
      <c r="J46" s="108">
        <v>2</v>
      </c>
      <c r="K46" s="31"/>
      <c r="L46" s="111">
        <v>47</v>
      </c>
      <c r="M46" s="20">
        <v>82</v>
      </c>
      <c r="N46" s="21">
        <v>3</v>
      </c>
      <c r="O46" s="390">
        <v>13</v>
      </c>
      <c r="P46" s="389">
        <f>SUM(C46:O46)</f>
        <v>521</v>
      </c>
      <c r="Q46" s="50"/>
      <c r="R46" s="111">
        <v>1</v>
      </c>
      <c r="S46" s="20">
        <v>4</v>
      </c>
      <c r="T46" s="108">
        <v>19</v>
      </c>
      <c r="U46" s="51"/>
      <c r="V46" s="121">
        <v>67</v>
      </c>
      <c r="W46" s="424">
        <f t="shared" ref="W46:W51" si="11">SUM(R46:V46)</f>
        <v>91</v>
      </c>
      <c r="X46" s="58"/>
      <c r="Y46" s="1030">
        <v>450</v>
      </c>
      <c r="Z46" s="2381"/>
      <c r="AA46" s="2382"/>
      <c r="AB46" s="2382"/>
      <c r="AC46" s="2383"/>
      <c r="AD46" s="325"/>
      <c r="AE46" s="1033"/>
      <c r="AF46" s="1030">
        <v>429</v>
      </c>
      <c r="AG46" s="1773">
        <v>436</v>
      </c>
      <c r="AH46" s="2042">
        <f>W46-V46-(IF(AND(Motpart!$Y$16="",Motpart!$Z$16=""),0,IF(AND(Motpart!$Y$16=0,Motpart!$Z$16=0),0,((T46/($T$46+$T$49))*(Motpart!$Y$16+Motpart!$Z$16)))))</f>
        <v>21.945945945945947</v>
      </c>
    </row>
    <row r="47" spans="1:34">
      <c r="A47" s="610" t="s">
        <v>248</v>
      </c>
      <c r="B47" s="915" t="s">
        <v>83</v>
      </c>
      <c r="C47" s="20">
        <v>33159</v>
      </c>
      <c r="D47" s="21">
        <v>12897</v>
      </c>
      <c r="E47" s="23">
        <v>2010</v>
      </c>
      <c r="F47" s="23">
        <v>15549</v>
      </c>
      <c r="G47" s="23">
        <v>2039</v>
      </c>
      <c r="H47" s="24">
        <v>6</v>
      </c>
      <c r="I47" s="23">
        <v>2318</v>
      </c>
      <c r="J47" s="109">
        <v>351</v>
      </c>
      <c r="K47" s="31"/>
      <c r="L47" s="112">
        <v>4897</v>
      </c>
      <c r="M47" s="23">
        <v>12260</v>
      </c>
      <c r="N47" s="21">
        <v>402</v>
      </c>
      <c r="O47" s="390">
        <v>1971</v>
      </c>
      <c r="P47" s="389">
        <f>SUM(C47:O47)</f>
        <v>87859</v>
      </c>
      <c r="Q47" s="50"/>
      <c r="R47" s="2113">
        <v>4655</v>
      </c>
      <c r="S47" s="2114">
        <v>25</v>
      </c>
      <c r="T47" s="240">
        <v>5789</v>
      </c>
      <c r="U47" s="51"/>
      <c r="V47" s="122">
        <v>8804</v>
      </c>
      <c r="W47" s="424">
        <f t="shared" si="11"/>
        <v>19273</v>
      </c>
      <c r="X47" s="58"/>
      <c r="Y47" s="1030">
        <v>78679</v>
      </c>
      <c r="Z47" s="2381"/>
      <c r="AA47" s="2382"/>
      <c r="AB47" s="2382"/>
      <c r="AC47" s="2387"/>
      <c r="AD47" s="2367"/>
      <c r="AE47" s="1033"/>
      <c r="AF47" s="1030">
        <v>68586</v>
      </c>
      <c r="AG47" s="1773">
        <v>63501</v>
      </c>
      <c r="AH47" s="2042">
        <f>W47-V47-SUM(Motpart!Y13:Z13)</f>
        <v>10092</v>
      </c>
    </row>
    <row r="48" spans="1:34">
      <c r="A48" s="610" t="s">
        <v>249</v>
      </c>
      <c r="B48" s="915" t="s">
        <v>84</v>
      </c>
      <c r="C48" s="23">
        <v>443</v>
      </c>
      <c r="D48" s="21">
        <v>170</v>
      </c>
      <c r="E48" s="23">
        <v>8</v>
      </c>
      <c r="F48" s="23">
        <v>672</v>
      </c>
      <c r="G48" s="23">
        <v>49</v>
      </c>
      <c r="H48" s="24">
        <v>1</v>
      </c>
      <c r="I48" s="27">
        <v>5</v>
      </c>
      <c r="J48" s="109">
        <v>1</v>
      </c>
      <c r="K48" s="31"/>
      <c r="L48" s="112">
        <v>11</v>
      </c>
      <c r="M48" s="23">
        <v>126</v>
      </c>
      <c r="N48" s="21">
        <v>4</v>
      </c>
      <c r="O48" s="390">
        <v>21</v>
      </c>
      <c r="P48" s="389">
        <f>SUM(C48:O48)</f>
        <v>1511</v>
      </c>
      <c r="Q48" s="50"/>
      <c r="R48" s="2113">
        <v>105</v>
      </c>
      <c r="S48" s="2114">
        <v>0</v>
      </c>
      <c r="T48" s="240">
        <v>66</v>
      </c>
      <c r="U48" s="51"/>
      <c r="V48" s="122">
        <v>124</v>
      </c>
      <c r="W48" s="424">
        <f t="shared" si="11"/>
        <v>295</v>
      </c>
      <c r="X48" s="58"/>
      <c r="Y48" s="1059">
        <v>1382</v>
      </c>
      <c r="Z48" s="2381"/>
      <c r="AA48" s="2382"/>
      <c r="AB48" s="2382"/>
      <c r="AC48" s="2387"/>
      <c r="AD48" s="2367"/>
      <c r="AE48" s="1054">
        <f>(SUM(I51:L51))*1000/invanare</f>
        <v>0.95257319393539808</v>
      </c>
      <c r="AF48" s="1030">
        <v>1217</v>
      </c>
      <c r="AG48" s="1773">
        <v>715</v>
      </c>
      <c r="AH48" s="2042">
        <f>W48-V48-SUM(Motpart!Y14:Z14)</f>
        <v>165</v>
      </c>
    </row>
    <row r="49" spans="1:34">
      <c r="A49" s="610" t="s">
        <v>250</v>
      </c>
      <c r="B49" s="918" t="s">
        <v>85</v>
      </c>
      <c r="C49" s="20">
        <v>124</v>
      </c>
      <c r="D49" s="21">
        <v>48</v>
      </c>
      <c r="E49" s="20">
        <v>12</v>
      </c>
      <c r="F49" s="20">
        <v>61</v>
      </c>
      <c r="G49" s="20">
        <v>7</v>
      </c>
      <c r="H49" s="21">
        <v>0</v>
      </c>
      <c r="I49" s="20">
        <v>2</v>
      </c>
      <c r="J49" s="108">
        <v>0</v>
      </c>
      <c r="K49" s="31"/>
      <c r="L49" s="111">
        <v>15</v>
      </c>
      <c r="M49" s="20">
        <v>111</v>
      </c>
      <c r="N49" s="21">
        <v>5</v>
      </c>
      <c r="O49" s="390">
        <v>8</v>
      </c>
      <c r="P49" s="389">
        <f>SUM(C49:O49)</f>
        <v>393</v>
      </c>
      <c r="Q49" s="50"/>
      <c r="R49" s="2115">
        <v>38</v>
      </c>
      <c r="S49" s="2116">
        <v>0</v>
      </c>
      <c r="T49" s="243">
        <v>18</v>
      </c>
      <c r="U49" s="51"/>
      <c r="V49" s="121">
        <v>94</v>
      </c>
      <c r="W49" s="424">
        <f t="shared" si="11"/>
        <v>150</v>
      </c>
      <c r="X49" s="58"/>
      <c r="Y49" s="1059">
        <v>299</v>
      </c>
      <c r="Z49" s="2381"/>
      <c r="AA49" s="2382"/>
      <c r="AB49" s="2382"/>
      <c r="AC49" s="2383"/>
      <c r="AD49" s="2367"/>
      <c r="AE49" s="1054">
        <f>(R51)*1000/invanare</f>
        <v>0.75453180954205623</v>
      </c>
      <c r="AF49" s="1030">
        <v>244</v>
      </c>
      <c r="AG49" s="1773">
        <v>239</v>
      </c>
      <c r="AH49" s="2042">
        <f>W49-V49-(IF(AND(Motpart!$Y$16="",Motpart!$Z$16=""),0,IF(AND(Motpart!$Y$16=0,Motpart!$Z$16=0),0,((T49/($T$49+$T$46))*(Motpart!$Y$16+Motpart!$Z$16)))))</f>
        <v>54.054054054054056</v>
      </c>
    </row>
    <row r="50" spans="1:34">
      <c r="A50" s="610" t="s">
        <v>251</v>
      </c>
      <c r="B50" s="915" t="s">
        <v>86</v>
      </c>
      <c r="C50" s="20">
        <v>8806</v>
      </c>
      <c r="D50" s="21">
        <v>3422</v>
      </c>
      <c r="E50" s="23">
        <v>364</v>
      </c>
      <c r="F50" s="23">
        <v>2306</v>
      </c>
      <c r="G50" s="23">
        <v>442</v>
      </c>
      <c r="H50" s="24">
        <v>2</v>
      </c>
      <c r="I50" s="27">
        <v>591</v>
      </c>
      <c r="J50" s="109">
        <v>62</v>
      </c>
      <c r="K50" s="31"/>
      <c r="L50" s="112">
        <v>1410</v>
      </c>
      <c r="M50" s="23">
        <v>3873</v>
      </c>
      <c r="N50" s="21">
        <v>112</v>
      </c>
      <c r="O50" s="390">
        <v>528</v>
      </c>
      <c r="P50" s="389">
        <f>SUM(C50:O50)</f>
        <v>21918</v>
      </c>
      <c r="Q50" s="50"/>
      <c r="R50" s="2113">
        <v>2920</v>
      </c>
      <c r="S50" s="2114">
        <v>2</v>
      </c>
      <c r="T50" s="240">
        <v>1531</v>
      </c>
      <c r="U50" s="51"/>
      <c r="V50" s="122">
        <v>2855</v>
      </c>
      <c r="W50" s="424">
        <f t="shared" si="11"/>
        <v>7308</v>
      </c>
      <c r="X50" s="58"/>
      <c r="Y50" s="1059">
        <v>18904</v>
      </c>
      <c r="Z50" s="2381"/>
      <c r="AA50" s="2382"/>
      <c r="AB50" s="2382"/>
      <c r="AC50" s="2383"/>
      <c r="AD50" s="2353"/>
      <c r="AE50" s="1033"/>
      <c r="AF50" s="1030">
        <v>14611</v>
      </c>
      <c r="AG50" s="1773">
        <v>16755</v>
      </c>
      <c r="AH50" s="2042">
        <f>W50-V50-SUM(Motpart!Y15:Z15)</f>
        <v>4294</v>
      </c>
    </row>
    <row r="51" spans="1:34" ht="13.5" thickBot="1">
      <c r="A51" s="610" t="s">
        <v>252</v>
      </c>
      <c r="B51" s="926" t="s">
        <v>809</v>
      </c>
      <c r="C51" s="382">
        <f t="shared" ref="C51:M51" si="12">SUM(C46:C50)</f>
        <v>42744</v>
      </c>
      <c r="D51" s="26">
        <f t="shared" si="12"/>
        <v>16619</v>
      </c>
      <c r="E51" s="382">
        <f t="shared" si="12"/>
        <v>2406</v>
      </c>
      <c r="F51" s="382">
        <f t="shared" si="12"/>
        <v>18604</v>
      </c>
      <c r="G51" s="382">
        <f t="shared" si="12"/>
        <v>2556</v>
      </c>
      <c r="H51" s="26">
        <f t="shared" si="12"/>
        <v>9</v>
      </c>
      <c r="I51" s="382">
        <f t="shared" si="12"/>
        <v>2949</v>
      </c>
      <c r="J51" s="113">
        <f t="shared" si="12"/>
        <v>416</v>
      </c>
      <c r="K51" s="155"/>
      <c r="L51" s="391">
        <f>SUM(L46:L50)</f>
        <v>6380</v>
      </c>
      <c r="M51" s="382">
        <f t="shared" si="12"/>
        <v>16452</v>
      </c>
      <c r="N51" s="26">
        <f t="shared" ref="N51:V51" si="13">SUM(N46:N50)</f>
        <v>526</v>
      </c>
      <c r="O51" s="26">
        <f t="shared" si="13"/>
        <v>2541</v>
      </c>
      <c r="P51" s="113">
        <f t="shared" si="13"/>
        <v>112202</v>
      </c>
      <c r="Q51" s="50"/>
      <c r="R51" s="391">
        <f t="shared" si="13"/>
        <v>7719</v>
      </c>
      <c r="S51" s="382">
        <f t="shared" si="13"/>
        <v>31</v>
      </c>
      <c r="T51" s="113">
        <f>SUM(T46:T50)</f>
        <v>7423</v>
      </c>
      <c r="U51" s="50"/>
      <c r="V51" s="125">
        <f t="shared" si="13"/>
        <v>11944</v>
      </c>
      <c r="W51" s="424">
        <f t="shared" si="11"/>
        <v>27117</v>
      </c>
      <c r="X51" s="58"/>
      <c r="Y51" s="1030">
        <v>99715</v>
      </c>
      <c r="Z51" s="1835">
        <f>(P51-W51)*1000000/invanare</f>
        <v>8317.0538949197889</v>
      </c>
      <c r="AA51" s="1836">
        <f>Y51*1000000/invanare</f>
        <v>9747.1355601096166</v>
      </c>
      <c r="AB51" s="1836">
        <v>9417</v>
      </c>
      <c r="AC51" s="1837">
        <f>IF(ISERROR((AA51-AB51)/AB51)," ",((AA51-AB51)/AB51))</f>
        <v>3.5057402581460825E-2</v>
      </c>
      <c r="AD51" s="2368"/>
      <c r="AE51" s="1035">
        <f>IF(ISERROR(F51/(AA51/1000*invanare)),"",(F51/(AA51/100000*invanare)))</f>
        <v>1.865717294288723E-2</v>
      </c>
      <c r="AF51" s="1030">
        <v>85087</v>
      </c>
      <c r="AG51" s="1773">
        <v>81646</v>
      </c>
      <c r="AH51" s="2042">
        <f>W51-V51-SUM(Motpart!Y13:Z16)</f>
        <v>14627</v>
      </c>
    </row>
    <row r="52" spans="1:34" ht="44.25" customHeight="1">
      <c r="A52" s="925"/>
      <c r="B52" s="923" t="s">
        <v>87</v>
      </c>
      <c r="C52" s="496"/>
      <c r="D52" s="495"/>
      <c r="E52" s="493"/>
      <c r="F52" s="493"/>
      <c r="G52" s="493"/>
      <c r="H52" s="495"/>
      <c r="I52" s="493"/>
      <c r="J52" s="494"/>
      <c r="K52" s="31"/>
      <c r="L52" s="492"/>
      <c r="M52" s="493"/>
      <c r="N52" s="495"/>
      <c r="O52" s="511"/>
      <c r="P52" s="494"/>
      <c r="Q52" s="51"/>
      <c r="R52" s="492"/>
      <c r="S52" s="493"/>
      <c r="T52" s="494"/>
      <c r="U52" s="51"/>
      <c r="V52" s="490"/>
      <c r="W52" s="491"/>
      <c r="X52" s="31"/>
      <c r="Y52" s="2388"/>
      <c r="Z52" s="2373"/>
      <c r="AA52" s="2374"/>
      <c r="AB52" s="2374"/>
      <c r="AC52" s="2375"/>
      <c r="AD52" s="2354"/>
      <c r="AE52" s="1033">
        <f>IF(ISERROR(F51/(AA51/1000*invanare)),"",(SUM(Motpart!D13:D16,Motpart!F13:F16)/(AA51/100000*invanare)))</f>
        <v>1.8031389459960887E-2</v>
      </c>
      <c r="AF52" s="1664"/>
      <c r="AG52" s="1777"/>
      <c r="AH52" s="2047"/>
    </row>
    <row r="53" spans="1:34">
      <c r="A53" s="610" t="s">
        <v>407</v>
      </c>
      <c r="B53" s="907" t="s">
        <v>497</v>
      </c>
      <c r="C53" s="20">
        <v>3081</v>
      </c>
      <c r="D53" s="21">
        <v>1194</v>
      </c>
      <c r="E53" s="20">
        <v>189</v>
      </c>
      <c r="F53" s="20">
        <v>922</v>
      </c>
      <c r="G53" s="20">
        <v>329</v>
      </c>
      <c r="H53" s="21">
        <v>1</v>
      </c>
      <c r="I53" s="20">
        <v>288</v>
      </c>
      <c r="J53" s="108">
        <v>41</v>
      </c>
      <c r="K53" s="31"/>
      <c r="L53" s="111">
        <v>684</v>
      </c>
      <c r="M53" s="20">
        <v>1442</v>
      </c>
      <c r="N53" s="21">
        <v>42</v>
      </c>
      <c r="O53" s="390">
        <v>193</v>
      </c>
      <c r="P53" s="389">
        <f>SUM(C53:O53)</f>
        <v>8406</v>
      </c>
      <c r="Q53" s="50"/>
      <c r="R53" s="111">
        <v>1</v>
      </c>
      <c r="S53" s="20">
        <v>1</v>
      </c>
      <c r="T53" s="108">
        <v>428</v>
      </c>
      <c r="U53" s="51"/>
      <c r="V53" s="121">
        <v>1084</v>
      </c>
      <c r="W53" s="424">
        <f>SUM(R53:V53)</f>
        <v>1514</v>
      </c>
      <c r="X53" s="58"/>
      <c r="Y53" s="1030">
        <v>7277</v>
      </c>
      <c r="Z53" s="2376"/>
      <c r="AA53" s="2385"/>
      <c r="AB53" s="2377"/>
      <c r="AC53" s="2378"/>
      <c r="AD53" s="354"/>
      <c r="AE53" s="1033"/>
      <c r="AF53" s="1059">
        <v>6893</v>
      </c>
      <c r="AG53" s="1774">
        <v>6400</v>
      </c>
      <c r="AH53" s="2046">
        <f>W53-V53-SUM(Motpart!Y17:Z17)</f>
        <v>384</v>
      </c>
    </row>
    <row r="54" spans="1:34">
      <c r="A54" s="610" t="s">
        <v>496</v>
      </c>
      <c r="B54" s="905" t="s">
        <v>389</v>
      </c>
      <c r="C54" s="20">
        <v>50708</v>
      </c>
      <c r="D54" s="21">
        <v>19670</v>
      </c>
      <c r="E54" s="23">
        <v>4167</v>
      </c>
      <c r="F54" s="23">
        <v>17719</v>
      </c>
      <c r="G54" s="23">
        <v>8257</v>
      </c>
      <c r="H54" s="24">
        <v>43</v>
      </c>
      <c r="I54" s="23">
        <v>3620</v>
      </c>
      <c r="J54" s="109">
        <v>969</v>
      </c>
      <c r="K54" s="31"/>
      <c r="L54" s="112">
        <v>9106</v>
      </c>
      <c r="M54" s="23">
        <v>20429</v>
      </c>
      <c r="N54" s="21">
        <v>629</v>
      </c>
      <c r="O54" s="390">
        <v>3372</v>
      </c>
      <c r="P54" s="389">
        <f>SUM(C54:O54)</f>
        <v>138689</v>
      </c>
      <c r="Q54" s="50"/>
      <c r="R54" s="112">
        <v>38</v>
      </c>
      <c r="S54" s="23">
        <v>30</v>
      </c>
      <c r="T54" s="109">
        <v>12865</v>
      </c>
      <c r="U54" s="51"/>
      <c r="V54" s="122">
        <v>15355</v>
      </c>
      <c r="W54" s="424">
        <f>SUM(R54:V54)</f>
        <v>28288</v>
      </c>
      <c r="X54" s="58"/>
      <c r="Y54" s="1665">
        <v>121930</v>
      </c>
      <c r="Z54" s="2381"/>
      <c r="AA54" s="2382"/>
      <c r="AB54" s="2382"/>
      <c r="AC54" s="2383"/>
      <c r="AD54" s="325"/>
      <c r="AE54" s="1033"/>
      <c r="AF54" s="1030">
        <v>110401</v>
      </c>
      <c r="AG54" s="1773">
        <v>105572</v>
      </c>
      <c r="AH54" s="2046">
        <f>W54-V54-SUM(Motpart!Y18:Z18)</f>
        <v>11529</v>
      </c>
    </row>
    <row r="55" spans="1:34">
      <c r="A55" s="610" t="s">
        <v>253</v>
      </c>
      <c r="B55" s="926" t="s">
        <v>643</v>
      </c>
      <c r="C55" s="20">
        <v>2609</v>
      </c>
      <c r="D55" s="21">
        <v>1010</v>
      </c>
      <c r="E55" s="23">
        <v>96</v>
      </c>
      <c r="F55" s="23">
        <v>617</v>
      </c>
      <c r="G55" s="23">
        <v>626</v>
      </c>
      <c r="H55" s="24">
        <v>1</v>
      </c>
      <c r="I55" s="23">
        <v>97</v>
      </c>
      <c r="J55" s="109">
        <v>16</v>
      </c>
      <c r="K55" s="31"/>
      <c r="L55" s="112">
        <v>268</v>
      </c>
      <c r="M55" s="23">
        <v>821</v>
      </c>
      <c r="N55" s="21">
        <v>23</v>
      </c>
      <c r="O55" s="390">
        <v>155</v>
      </c>
      <c r="P55" s="389">
        <f>SUM(C55:O55)</f>
        <v>6339</v>
      </c>
      <c r="Q55" s="50"/>
      <c r="R55" s="112">
        <v>4</v>
      </c>
      <c r="S55" s="23">
        <v>0</v>
      </c>
      <c r="T55" s="109">
        <v>475</v>
      </c>
      <c r="U55" s="51"/>
      <c r="V55" s="122">
        <v>634</v>
      </c>
      <c r="W55" s="424">
        <f>SUM(R55:V55)</f>
        <v>1113</v>
      </c>
      <c r="X55" s="58"/>
      <c r="Y55" s="1665">
        <v>5393</v>
      </c>
      <c r="Z55" s="2381"/>
      <c r="AA55" s="2382"/>
      <c r="AB55" s="2382"/>
      <c r="AC55" s="2387"/>
      <c r="AD55" s="325"/>
      <c r="AE55" s="1033"/>
      <c r="AF55" s="1030">
        <v>5227</v>
      </c>
      <c r="AG55" s="1773">
        <v>5089</v>
      </c>
      <c r="AH55" s="2046">
        <f>W55-V55-SUM(Motpart!Y19:Z19)</f>
        <v>165</v>
      </c>
    </row>
    <row r="56" spans="1:34">
      <c r="A56" s="610" t="s">
        <v>254</v>
      </c>
      <c r="B56" s="915" t="s">
        <v>88</v>
      </c>
      <c r="C56" s="20">
        <v>13755</v>
      </c>
      <c r="D56" s="21">
        <v>5340</v>
      </c>
      <c r="E56" s="23">
        <v>1514</v>
      </c>
      <c r="F56" s="23">
        <v>20277</v>
      </c>
      <c r="G56" s="23">
        <v>3449</v>
      </c>
      <c r="H56" s="24">
        <v>273</v>
      </c>
      <c r="I56" s="23">
        <v>1143</v>
      </c>
      <c r="J56" s="109">
        <v>333</v>
      </c>
      <c r="K56" s="31"/>
      <c r="L56" s="112">
        <v>2866</v>
      </c>
      <c r="M56" s="23">
        <v>5169</v>
      </c>
      <c r="N56" s="21">
        <v>210</v>
      </c>
      <c r="O56" s="390">
        <v>893</v>
      </c>
      <c r="P56" s="389">
        <f>SUM(C56:O56)</f>
        <v>55222</v>
      </c>
      <c r="Q56" s="50"/>
      <c r="R56" s="112">
        <v>56</v>
      </c>
      <c r="S56" s="23">
        <v>35</v>
      </c>
      <c r="T56" s="109">
        <v>11702</v>
      </c>
      <c r="U56" s="51"/>
      <c r="V56" s="122">
        <v>3582</v>
      </c>
      <c r="W56" s="424">
        <f>SUM(R56:V56)</f>
        <v>15375</v>
      </c>
      <c r="X56" s="58"/>
      <c r="Y56" s="1665">
        <v>44485</v>
      </c>
      <c r="Z56" s="2381"/>
      <c r="AA56" s="2382"/>
      <c r="AB56" s="2382"/>
      <c r="AC56" s="2387"/>
      <c r="AD56" s="325"/>
      <c r="AE56" s="1033"/>
      <c r="AF56" s="1030">
        <v>39848</v>
      </c>
      <c r="AG56" s="1773">
        <v>31091</v>
      </c>
      <c r="AH56" s="2046">
        <f>W56-V56-SUM(Motpart!Y20:Z20)</f>
        <v>4637</v>
      </c>
    </row>
    <row r="57" spans="1:34">
      <c r="A57" s="610" t="s">
        <v>255</v>
      </c>
      <c r="B57" s="915" t="s">
        <v>89</v>
      </c>
      <c r="C57" s="20">
        <v>1192</v>
      </c>
      <c r="D57" s="21">
        <v>463</v>
      </c>
      <c r="E57" s="23">
        <v>60</v>
      </c>
      <c r="F57" s="23">
        <v>1030</v>
      </c>
      <c r="G57" s="23">
        <v>310</v>
      </c>
      <c r="H57" s="24">
        <v>2</v>
      </c>
      <c r="I57" s="23">
        <v>63</v>
      </c>
      <c r="J57" s="109">
        <v>9</v>
      </c>
      <c r="K57" s="31"/>
      <c r="L57" s="112">
        <v>163</v>
      </c>
      <c r="M57" s="23">
        <v>289</v>
      </c>
      <c r="N57" s="21">
        <v>15</v>
      </c>
      <c r="O57" s="390">
        <v>68</v>
      </c>
      <c r="P57" s="389">
        <f>SUM(C57:O57)</f>
        <v>3664</v>
      </c>
      <c r="Q57" s="50"/>
      <c r="R57" s="112">
        <v>4</v>
      </c>
      <c r="S57" s="23">
        <v>1</v>
      </c>
      <c r="T57" s="109">
        <v>701</v>
      </c>
      <c r="U57" s="51"/>
      <c r="V57" s="122">
        <v>187</v>
      </c>
      <c r="W57" s="424">
        <f>SUM(R57:V57)</f>
        <v>893</v>
      </c>
      <c r="X57" s="58"/>
      <c r="Y57" s="1059">
        <v>2901</v>
      </c>
      <c r="Z57" s="2381"/>
      <c r="AA57" s="2382"/>
      <c r="AB57" s="2382"/>
      <c r="AC57" s="2383"/>
      <c r="AD57" s="325"/>
      <c r="AE57" s="1033"/>
      <c r="AF57" s="1030">
        <v>2772</v>
      </c>
      <c r="AG57" s="1773">
        <v>2446</v>
      </c>
      <c r="AH57" s="2046">
        <f>W57-V57-SUM(Motpart!Y21:Z21)</f>
        <v>129</v>
      </c>
    </row>
    <row r="58" spans="1:34">
      <c r="A58" s="610" t="s">
        <v>256</v>
      </c>
      <c r="B58" s="915" t="s">
        <v>90</v>
      </c>
      <c r="C58" s="382">
        <f t="shared" ref="C58:J58" si="14">SUM(C53:C57)</f>
        <v>71345</v>
      </c>
      <c r="D58" s="26">
        <f t="shared" si="14"/>
        <v>27677</v>
      </c>
      <c r="E58" s="382">
        <f t="shared" si="14"/>
        <v>6026</v>
      </c>
      <c r="F58" s="382">
        <f t="shared" si="14"/>
        <v>40565</v>
      </c>
      <c r="G58" s="382">
        <f t="shared" si="14"/>
        <v>12971</v>
      </c>
      <c r="H58" s="26">
        <f t="shared" si="14"/>
        <v>320</v>
      </c>
      <c r="I58" s="382">
        <f t="shared" si="14"/>
        <v>5211</v>
      </c>
      <c r="J58" s="113">
        <f t="shared" si="14"/>
        <v>1368</v>
      </c>
      <c r="K58" s="155"/>
      <c r="L58" s="391">
        <f>SUM(L53:L57)</f>
        <v>13087</v>
      </c>
      <c r="M58" s="382">
        <f>SUM(M53:M57)</f>
        <v>28150</v>
      </c>
      <c r="N58" s="26">
        <f>SUM(N53:N57)</f>
        <v>919</v>
      </c>
      <c r="O58" s="26">
        <f>SUM(O53:O57)</f>
        <v>4681</v>
      </c>
      <c r="P58" s="113">
        <f>SUM(P53:P57)</f>
        <v>212320</v>
      </c>
      <c r="Q58" s="50"/>
      <c r="R58" s="391">
        <f>SUM(R53:R57)</f>
        <v>103</v>
      </c>
      <c r="S58" s="382">
        <f>SUM(S53:S57)</f>
        <v>67</v>
      </c>
      <c r="T58" s="113">
        <f>SUM(T53:T57)</f>
        <v>26171</v>
      </c>
      <c r="U58" s="50"/>
      <c r="V58" s="125">
        <f>SUM(V53:V57)</f>
        <v>20842</v>
      </c>
      <c r="W58" s="126">
        <f>SUM(W53:W57)</f>
        <v>47183</v>
      </c>
      <c r="X58" s="58"/>
      <c r="Y58" s="1838">
        <v>181985</v>
      </c>
      <c r="Z58" s="2381"/>
      <c r="AA58" s="2382"/>
      <c r="AB58" s="2382"/>
      <c r="AC58" s="2383"/>
      <c r="AD58" s="325"/>
      <c r="AE58" s="1033"/>
      <c r="AF58" s="1030">
        <v>165141</v>
      </c>
      <c r="AG58" s="1773">
        <v>150597</v>
      </c>
      <c r="AH58" s="2042">
        <f>W58-V58-SUM(Motpart!Y17:Z21)</f>
        <v>16844</v>
      </c>
    </row>
    <row r="59" spans="1:34" ht="13.5" customHeight="1">
      <c r="A59" s="927"/>
      <c r="B59" s="928" t="s">
        <v>91</v>
      </c>
      <c r="C59" s="513"/>
      <c r="D59" s="514"/>
      <c r="E59" s="515"/>
      <c r="F59" s="516"/>
      <c r="G59" s="515"/>
      <c r="H59" s="517"/>
      <c r="I59" s="515"/>
      <c r="J59" s="518"/>
      <c r="K59" s="32"/>
      <c r="L59" s="519"/>
      <c r="M59" s="515"/>
      <c r="N59" s="514"/>
      <c r="O59" s="514"/>
      <c r="P59" s="518"/>
      <c r="Q59" s="220"/>
      <c r="R59" s="519"/>
      <c r="S59" s="515"/>
      <c r="T59" s="518"/>
      <c r="U59" s="220"/>
      <c r="V59" s="520"/>
      <c r="W59" s="521"/>
      <c r="X59" s="32"/>
      <c r="Y59" s="1839"/>
      <c r="Z59" s="2381"/>
      <c r="AA59" s="2382"/>
      <c r="AB59" s="2382"/>
      <c r="AC59" s="2387"/>
      <c r="AD59" s="2354"/>
      <c r="AE59" s="1033"/>
      <c r="AF59" s="1030"/>
      <c r="AG59" s="1773"/>
      <c r="AH59" s="2042"/>
    </row>
    <row r="60" spans="1:34">
      <c r="A60" s="619" t="s">
        <v>504</v>
      </c>
      <c r="B60" s="929" t="s">
        <v>390</v>
      </c>
      <c r="C60" s="512">
        <v>519</v>
      </c>
      <c r="D60" s="21">
        <v>199</v>
      </c>
      <c r="E60" s="20">
        <v>28</v>
      </c>
      <c r="F60" s="20">
        <v>447</v>
      </c>
      <c r="G60" s="20">
        <v>52</v>
      </c>
      <c r="H60" s="21">
        <v>2</v>
      </c>
      <c r="I60" s="20">
        <v>40</v>
      </c>
      <c r="J60" s="108">
        <v>7</v>
      </c>
      <c r="K60" s="31"/>
      <c r="L60" s="111">
        <v>63</v>
      </c>
      <c r="M60" s="20">
        <v>103</v>
      </c>
      <c r="N60" s="21">
        <v>8</v>
      </c>
      <c r="O60" s="390">
        <v>27</v>
      </c>
      <c r="P60" s="389">
        <f>SUM(C60:O60)</f>
        <v>1495</v>
      </c>
      <c r="Q60" s="50"/>
      <c r="R60" s="111">
        <v>1</v>
      </c>
      <c r="S60" s="20">
        <v>0</v>
      </c>
      <c r="T60" s="108">
        <v>161</v>
      </c>
      <c r="U60" s="51"/>
      <c r="V60" s="121">
        <v>78</v>
      </c>
      <c r="W60" s="424">
        <f t="shared" ref="W60:W66" si="15">SUM(R60:V60)</f>
        <v>240</v>
      </c>
      <c r="X60" s="58"/>
      <c r="Y60" s="1059">
        <v>1368</v>
      </c>
      <c r="Z60" s="2381"/>
      <c r="AA60" s="2382"/>
      <c r="AB60" s="2382"/>
      <c r="AC60" s="2387"/>
      <c r="AD60" s="325"/>
      <c r="AE60" s="1033"/>
      <c r="AF60" s="1030">
        <v>1257</v>
      </c>
      <c r="AG60" s="1773">
        <v>970</v>
      </c>
      <c r="AH60" s="2042">
        <f>W60-V60-SUM(Motpart!Y22:Z22)</f>
        <v>112</v>
      </c>
    </row>
    <row r="61" spans="1:34">
      <c r="A61" s="612" t="s">
        <v>505</v>
      </c>
      <c r="B61" s="930" t="s">
        <v>391</v>
      </c>
      <c r="C61" s="22">
        <v>1444</v>
      </c>
      <c r="D61" s="21">
        <v>557</v>
      </c>
      <c r="E61" s="20">
        <v>118</v>
      </c>
      <c r="F61" s="20">
        <v>1830</v>
      </c>
      <c r="G61" s="20">
        <v>251</v>
      </c>
      <c r="H61" s="21">
        <v>12</v>
      </c>
      <c r="I61" s="20">
        <v>130</v>
      </c>
      <c r="J61" s="108">
        <v>17</v>
      </c>
      <c r="K61" s="522"/>
      <c r="L61" s="111">
        <v>217</v>
      </c>
      <c r="M61" s="20">
        <v>452</v>
      </c>
      <c r="N61" s="21">
        <v>23</v>
      </c>
      <c r="O61" s="390">
        <v>88</v>
      </c>
      <c r="P61" s="389">
        <f>SUM(C61:O61)</f>
        <v>5139</v>
      </c>
      <c r="Q61" s="50"/>
      <c r="R61" s="112">
        <v>27</v>
      </c>
      <c r="S61" s="23">
        <v>2</v>
      </c>
      <c r="T61" s="109">
        <v>1849</v>
      </c>
      <c r="U61" s="51"/>
      <c r="V61" s="122">
        <v>345</v>
      </c>
      <c r="W61" s="424">
        <f t="shared" si="15"/>
        <v>2223</v>
      </c>
      <c r="X61" s="58"/>
      <c r="Y61" s="1059">
        <v>4528</v>
      </c>
      <c r="Z61" s="2381"/>
      <c r="AA61" s="2382"/>
      <c r="AB61" s="2382"/>
      <c r="AC61" s="2383"/>
      <c r="AD61" s="2367"/>
      <c r="AE61" s="1033"/>
      <c r="AF61" s="1030">
        <v>2915</v>
      </c>
      <c r="AG61" s="1773">
        <v>2951</v>
      </c>
      <c r="AH61" s="2042">
        <f>W61-V61-SUM(Motpart!Y23:Z23)</f>
        <v>1614</v>
      </c>
    </row>
    <row r="62" spans="1:34" ht="13.5" customHeight="1">
      <c r="A62" s="920"/>
      <c r="B62" s="923" t="s">
        <v>21</v>
      </c>
      <c r="C62" s="496"/>
      <c r="D62" s="495"/>
      <c r="E62" s="493"/>
      <c r="F62" s="516"/>
      <c r="G62" s="493"/>
      <c r="H62" s="517"/>
      <c r="I62" s="493"/>
      <c r="J62" s="494"/>
      <c r="K62" s="522"/>
      <c r="L62" s="492"/>
      <c r="M62" s="493"/>
      <c r="N62" s="495"/>
      <c r="O62" s="495"/>
      <c r="P62" s="494"/>
      <c r="Q62" s="51"/>
      <c r="R62" s="492"/>
      <c r="S62" s="493"/>
      <c r="T62" s="494"/>
      <c r="U62" s="51"/>
      <c r="V62" s="490"/>
      <c r="W62" s="491"/>
      <c r="X62" s="31"/>
      <c r="Y62" s="1663"/>
      <c r="Z62" s="2381"/>
      <c r="AA62" s="2382"/>
      <c r="AB62" s="2382"/>
      <c r="AC62" s="2383"/>
      <c r="AD62" s="2367"/>
      <c r="AE62" s="1033"/>
      <c r="AF62" s="1030"/>
      <c r="AG62" s="1773">
        <f t="shared" si="8"/>
        <v>0</v>
      </c>
      <c r="AH62" s="2042"/>
    </row>
    <row r="63" spans="1:34">
      <c r="A63" s="610" t="s">
        <v>257</v>
      </c>
      <c r="B63" s="934" t="s">
        <v>982</v>
      </c>
      <c r="C63" s="20">
        <v>155</v>
      </c>
      <c r="D63" s="21">
        <v>59</v>
      </c>
      <c r="E63" s="20">
        <v>6</v>
      </c>
      <c r="F63" s="20">
        <v>22</v>
      </c>
      <c r="G63" s="20">
        <v>12</v>
      </c>
      <c r="H63" s="21">
        <v>0</v>
      </c>
      <c r="I63" s="20">
        <v>9</v>
      </c>
      <c r="J63" s="108">
        <v>1</v>
      </c>
      <c r="K63" s="31"/>
      <c r="L63" s="111">
        <v>20</v>
      </c>
      <c r="M63" s="20">
        <v>32</v>
      </c>
      <c r="N63" s="21">
        <v>2</v>
      </c>
      <c r="O63" s="390">
        <v>8</v>
      </c>
      <c r="P63" s="389">
        <f>SUM(C63:O63)</f>
        <v>326</v>
      </c>
      <c r="Q63" s="50"/>
      <c r="R63" s="111">
        <v>0</v>
      </c>
      <c r="S63" s="20">
        <v>0</v>
      </c>
      <c r="T63" s="108">
        <v>23</v>
      </c>
      <c r="U63" s="51"/>
      <c r="V63" s="121">
        <v>33</v>
      </c>
      <c r="W63" s="424">
        <f t="shared" si="15"/>
        <v>56</v>
      </c>
      <c r="X63" s="58"/>
      <c r="Y63" s="1030">
        <v>282</v>
      </c>
      <c r="Z63" s="2381"/>
      <c r="AA63" s="2382"/>
      <c r="AB63" s="2382"/>
      <c r="AC63" s="2387"/>
      <c r="AD63" s="2367"/>
      <c r="AE63" s="1033"/>
      <c r="AF63" s="1030">
        <v>270</v>
      </c>
      <c r="AG63" s="1773">
        <v>271</v>
      </c>
      <c r="AH63" s="2042">
        <f>W63-V63-SUM(Motpart!Y24:Z24)</f>
        <v>12</v>
      </c>
    </row>
    <row r="64" spans="1:34">
      <c r="A64" s="610" t="s">
        <v>258</v>
      </c>
      <c r="B64" s="915" t="s">
        <v>92</v>
      </c>
      <c r="C64" s="20">
        <v>270</v>
      </c>
      <c r="D64" s="21">
        <v>104</v>
      </c>
      <c r="E64" s="23">
        <v>36</v>
      </c>
      <c r="F64" s="23">
        <v>90</v>
      </c>
      <c r="G64" s="23">
        <v>130</v>
      </c>
      <c r="H64" s="24">
        <v>57</v>
      </c>
      <c r="I64" s="23">
        <v>64</v>
      </c>
      <c r="J64" s="109">
        <v>12</v>
      </c>
      <c r="K64" s="31"/>
      <c r="L64" s="112">
        <v>88</v>
      </c>
      <c r="M64" s="23">
        <v>49</v>
      </c>
      <c r="N64" s="21">
        <v>4</v>
      </c>
      <c r="O64" s="390">
        <v>22</v>
      </c>
      <c r="P64" s="389">
        <f>SUM(C64:O64)</f>
        <v>926</v>
      </c>
      <c r="Q64" s="50"/>
      <c r="R64" s="112">
        <v>2</v>
      </c>
      <c r="S64" s="23">
        <v>10</v>
      </c>
      <c r="T64" s="109">
        <v>467</v>
      </c>
      <c r="U64" s="51"/>
      <c r="V64" s="122">
        <v>27</v>
      </c>
      <c r="W64" s="424">
        <f t="shared" si="15"/>
        <v>506</v>
      </c>
      <c r="X64" s="58"/>
      <c r="Y64" s="1059">
        <v>881</v>
      </c>
      <c r="Z64" s="2381"/>
      <c r="AA64" s="2382"/>
      <c r="AB64" s="2382"/>
      <c r="AC64" s="2387"/>
      <c r="AD64" s="2367"/>
      <c r="AE64" s="1033"/>
      <c r="AF64" s="1030">
        <v>419</v>
      </c>
      <c r="AG64" s="1773">
        <v>751</v>
      </c>
      <c r="AH64" s="2042">
        <f>W64-V64-(IF(AND(Motpart!$Y$25="",Motpart!$Z$25=""),0,IF(AND(Motpart!$Y$25=0,Motpart!$Z$25=0),0,((T64/($T$64+$T$65+$T$66))*(Motpart!$Y$25+Motpart!$Z$25)))))</f>
        <v>453.32377819548873</v>
      </c>
    </row>
    <row r="65" spans="1:34">
      <c r="A65" s="610" t="s">
        <v>259</v>
      </c>
      <c r="B65" s="915" t="s">
        <v>97</v>
      </c>
      <c r="C65" s="20">
        <v>1524</v>
      </c>
      <c r="D65" s="21">
        <v>583</v>
      </c>
      <c r="E65" s="23">
        <v>84</v>
      </c>
      <c r="F65" s="23">
        <v>1125</v>
      </c>
      <c r="G65" s="23">
        <v>127</v>
      </c>
      <c r="H65" s="24">
        <v>2</v>
      </c>
      <c r="I65" s="23">
        <v>102</v>
      </c>
      <c r="J65" s="109">
        <v>12</v>
      </c>
      <c r="K65" s="31"/>
      <c r="L65" s="112">
        <v>164</v>
      </c>
      <c r="M65" s="23">
        <v>325</v>
      </c>
      <c r="N65" s="21">
        <v>27</v>
      </c>
      <c r="O65" s="390">
        <v>78</v>
      </c>
      <c r="P65" s="389">
        <f>SUM(C65:O65)</f>
        <v>4153</v>
      </c>
      <c r="Q65" s="50"/>
      <c r="R65" s="112">
        <v>3</v>
      </c>
      <c r="S65" s="23">
        <v>1</v>
      </c>
      <c r="T65" s="109">
        <v>1457</v>
      </c>
      <c r="U65" s="51"/>
      <c r="V65" s="122">
        <v>358</v>
      </c>
      <c r="W65" s="424">
        <f t="shared" si="15"/>
        <v>1819</v>
      </c>
      <c r="X65" s="58"/>
      <c r="Y65" s="1059">
        <v>3701</v>
      </c>
      <c r="Z65" s="2381"/>
      <c r="AA65" s="2382"/>
      <c r="AB65" s="2382"/>
      <c r="AC65" s="2383"/>
      <c r="AD65" s="2367"/>
      <c r="AE65" s="1033"/>
      <c r="AF65" s="1030">
        <v>2335</v>
      </c>
      <c r="AG65" s="1773">
        <v>2669</v>
      </c>
      <c r="AH65" s="2042">
        <f>W65-V65-(IF(AND(Motpart!$Y$25="",Motpart!$Z$25=""),0,IF(AND(Motpart!$Y$25=0,Motpart!$Z$25=0),0,((T65/($T$64+$T$65+$T$66))*(Motpart!$Y$25+Motpart!$Z$25)))))</f>
        <v>1380.8923872180451</v>
      </c>
    </row>
    <row r="66" spans="1:34">
      <c r="A66" s="610" t="s">
        <v>260</v>
      </c>
      <c r="B66" s="926" t="s">
        <v>1063</v>
      </c>
      <c r="C66" s="20">
        <v>132</v>
      </c>
      <c r="D66" s="21">
        <v>50</v>
      </c>
      <c r="E66" s="23">
        <v>12</v>
      </c>
      <c r="F66" s="23">
        <v>18</v>
      </c>
      <c r="G66" s="23">
        <v>44</v>
      </c>
      <c r="H66" s="24">
        <v>1</v>
      </c>
      <c r="I66" s="23">
        <v>5</v>
      </c>
      <c r="J66" s="109">
        <v>1</v>
      </c>
      <c r="K66" s="31"/>
      <c r="L66" s="112">
        <v>21</v>
      </c>
      <c r="M66" s="23">
        <v>10</v>
      </c>
      <c r="N66" s="21">
        <v>1</v>
      </c>
      <c r="O66" s="390">
        <v>6</v>
      </c>
      <c r="P66" s="389">
        <f>SUM(C66:O66)</f>
        <v>301</v>
      </c>
      <c r="Q66" s="50"/>
      <c r="R66" s="112">
        <v>3</v>
      </c>
      <c r="S66" s="23">
        <v>1</v>
      </c>
      <c r="T66" s="109">
        <v>204</v>
      </c>
      <c r="U66" s="51"/>
      <c r="V66" s="122">
        <v>34</v>
      </c>
      <c r="W66" s="424">
        <f t="shared" si="15"/>
        <v>242</v>
      </c>
      <c r="X66" s="58"/>
      <c r="Y66" s="1059">
        <v>262</v>
      </c>
      <c r="Z66" s="944" t="s">
        <v>98</v>
      </c>
      <c r="AA66" s="1023"/>
      <c r="AB66" s="1024"/>
      <c r="AC66" s="1025"/>
      <c r="AD66" s="325"/>
      <c r="AE66" s="1033"/>
      <c r="AF66" s="1030">
        <v>58</v>
      </c>
      <c r="AG66" s="1773">
        <v>248</v>
      </c>
      <c r="AH66" s="2042">
        <f>W66-V66-(IF(AND(Motpart!$Y$25="",Motpart!$Z$25=""),0,IF(AND(Motpart!$Y$25=0,Motpart!$Z$25=0),0,((T66/($T$64+$T$65+$T$66))*(Motpart!$Y$25+Motpart!$Z$25)))))</f>
        <v>196.78383458646616</v>
      </c>
    </row>
    <row r="67" spans="1:34">
      <c r="A67" s="610" t="s">
        <v>261</v>
      </c>
      <c r="B67" s="915" t="s">
        <v>22</v>
      </c>
      <c r="C67" s="382">
        <f>SUM(C58,C60:C61,C63:C66)</f>
        <v>75389</v>
      </c>
      <c r="D67" s="26">
        <f t="shared" ref="D67:J67" si="16">SUM(D58,D60:D61,D63:D66)</f>
        <v>29229</v>
      </c>
      <c r="E67" s="552">
        <f t="shared" si="16"/>
        <v>6310</v>
      </c>
      <c r="F67" s="382">
        <f t="shared" si="16"/>
        <v>44097</v>
      </c>
      <c r="G67" s="382">
        <f t="shared" si="16"/>
        <v>13587</v>
      </c>
      <c r="H67" s="382">
        <f t="shared" si="16"/>
        <v>394</v>
      </c>
      <c r="I67" s="382">
        <f t="shared" si="16"/>
        <v>5561</v>
      </c>
      <c r="J67" s="113">
        <f t="shared" si="16"/>
        <v>1418</v>
      </c>
      <c r="K67" s="155"/>
      <c r="L67" s="391">
        <f>SUM(L58,L60:L61,L63:L66)</f>
        <v>13660</v>
      </c>
      <c r="M67" s="382">
        <f>SUM(M58,M60:M61,M63:M66)</f>
        <v>29121</v>
      </c>
      <c r="N67" s="26">
        <f>SUM(N58,N60:N61,N63:N66)</f>
        <v>984</v>
      </c>
      <c r="O67" s="394">
        <f>SUM(O58,O60:O61,O63:O66)</f>
        <v>4910</v>
      </c>
      <c r="P67" s="113">
        <f>SUM(P58,P60:P61,P63:P66)</f>
        <v>224660</v>
      </c>
      <c r="Q67" s="50"/>
      <c r="R67" s="391">
        <f>SUM(R58,R60:R61,R63:R66)</f>
        <v>139</v>
      </c>
      <c r="S67" s="382">
        <f>SUM(S58,S60:S61,S63:S66)</f>
        <v>81</v>
      </c>
      <c r="T67" s="113">
        <f>SUM(T58,T60:T61,T63:T66)</f>
        <v>30332</v>
      </c>
      <c r="U67" s="50"/>
      <c r="V67" s="125">
        <f>SUM(V58,V60:V61,V63:V66)</f>
        <v>21717</v>
      </c>
      <c r="W67" s="126">
        <f>SUM(W58,W60:W61,W63:W66)</f>
        <v>52269</v>
      </c>
      <c r="X67" s="58"/>
      <c r="Y67" s="1030">
        <v>193007</v>
      </c>
      <c r="Z67" s="1036">
        <f>(P67-W67)*1000000/invanare</f>
        <v>16851.21041310592</v>
      </c>
      <c r="AA67" s="1036">
        <f>Y67*1000000/invanare</f>
        <v>18866.423236725437</v>
      </c>
      <c r="AB67" s="1036">
        <v>18121</v>
      </c>
      <c r="AC67" s="1037">
        <f>IF(ISERROR((AA67-AB67)/AB67)," ",((AA67-AB67)/AB67))</f>
        <v>4.1135877530237688E-2</v>
      </c>
      <c r="AD67" s="2368"/>
      <c r="AE67" s="1035">
        <f>IF(ISERROR(F67/(AA67/1000*invanare)),"",(F67/(AA67/100000*invanare)))</f>
        <v>2.284735786784935E-2</v>
      </c>
      <c r="AF67" s="1030">
        <v>172396</v>
      </c>
      <c r="AG67" s="1773">
        <v>158457</v>
      </c>
      <c r="AH67" s="2042">
        <f>W67-V67-SUM(Motpart!Y17:Z25)</f>
        <v>20613</v>
      </c>
    </row>
    <row r="68" spans="1:34" ht="12.75" customHeight="1" thickBot="1">
      <c r="A68" s="614" t="s">
        <v>262</v>
      </c>
      <c r="B68" s="922" t="s">
        <v>99</v>
      </c>
      <c r="C68" s="396">
        <f t="shared" ref="C68:J68" si="17">SUM(C51,C67)</f>
        <v>118133</v>
      </c>
      <c r="D68" s="397">
        <f t="shared" si="17"/>
        <v>45848</v>
      </c>
      <c r="E68" s="396">
        <f t="shared" si="17"/>
        <v>8716</v>
      </c>
      <c r="F68" s="396">
        <f t="shared" si="17"/>
        <v>62701</v>
      </c>
      <c r="G68" s="396">
        <f t="shared" si="17"/>
        <v>16143</v>
      </c>
      <c r="H68" s="397">
        <f t="shared" si="17"/>
        <v>403</v>
      </c>
      <c r="I68" s="396">
        <f t="shared" si="17"/>
        <v>8510</v>
      </c>
      <c r="J68" s="398">
        <f t="shared" si="17"/>
        <v>1834</v>
      </c>
      <c r="K68" s="155"/>
      <c r="L68" s="399">
        <f>SUM(L51,L67)</f>
        <v>20040</v>
      </c>
      <c r="M68" s="396">
        <f>SUM(M51,M67)</f>
        <v>45573</v>
      </c>
      <c r="N68" s="397">
        <f>SUM(N51,N67)</f>
        <v>1510</v>
      </c>
      <c r="O68" s="397">
        <f>SUM(O51,O67)</f>
        <v>7451</v>
      </c>
      <c r="P68" s="398">
        <f>SUM(P51,P67)</f>
        <v>336862</v>
      </c>
      <c r="Q68" s="50"/>
      <c r="R68" s="399">
        <f>SUM(R51,R67)</f>
        <v>7858</v>
      </c>
      <c r="S68" s="396">
        <f>SUM(S51,S67)</f>
        <v>112</v>
      </c>
      <c r="T68" s="398">
        <f>SUM(T51,T67)</f>
        <v>37755</v>
      </c>
      <c r="U68" s="50"/>
      <c r="V68" s="426">
        <f>SUM(V51,V67)</f>
        <v>33661</v>
      </c>
      <c r="W68" s="425">
        <f>SUM(W51,W67)</f>
        <v>79386</v>
      </c>
      <c r="X68" s="58"/>
      <c r="Y68" s="1068">
        <v>292722</v>
      </c>
      <c r="Z68" s="1041"/>
      <c r="AA68" s="1042"/>
      <c r="AB68" s="1043"/>
      <c r="AC68" s="1044"/>
      <c r="AD68" s="2352"/>
      <c r="AE68" s="1779">
        <f>IF(ISERROR(F67/(AA67/1000*invanare)),"",(SUM(Motpart!D17:D25,Motpart!F17:F25)/(AA67/100000*invanare)))</f>
        <v>1.5562647986860578E-2</v>
      </c>
      <c r="AF68" s="1068">
        <v>257483</v>
      </c>
      <c r="AG68" s="1776">
        <v>240103</v>
      </c>
      <c r="AH68" s="2044">
        <f>SUM(AH51,AH58,AH60:AH61,AH63:AH66)</f>
        <v>35240</v>
      </c>
    </row>
    <row r="69" spans="1:34" ht="17.25" customHeight="1">
      <c r="A69" s="920"/>
      <c r="B69" s="923" t="s">
        <v>100</v>
      </c>
      <c r="C69" s="523"/>
      <c r="D69" s="524"/>
      <c r="E69" s="525"/>
      <c r="F69" s="525"/>
      <c r="G69" s="525"/>
      <c r="H69" s="524"/>
      <c r="I69" s="525"/>
      <c r="J69" s="526"/>
      <c r="K69" s="38"/>
      <c r="L69" s="527"/>
      <c r="M69" s="525"/>
      <c r="N69" s="524"/>
      <c r="O69" s="524"/>
      <c r="P69" s="528"/>
      <c r="Q69" s="52"/>
      <c r="R69" s="527"/>
      <c r="S69" s="525"/>
      <c r="T69" s="526"/>
      <c r="U69" s="52"/>
      <c r="V69" s="529"/>
      <c r="W69" s="530"/>
      <c r="X69" s="38"/>
      <c r="Y69" s="1666"/>
      <c r="Z69" s="2391"/>
      <c r="AA69" s="2392"/>
      <c r="AB69" s="2393"/>
      <c r="AC69" s="2394"/>
      <c r="AD69" s="2367"/>
      <c r="AE69" s="1033"/>
      <c r="AF69" s="1783"/>
      <c r="AG69" s="1785"/>
      <c r="AH69" s="2043"/>
    </row>
    <row r="70" spans="1:34">
      <c r="A70" s="610" t="s">
        <v>263</v>
      </c>
      <c r="B70" s="918" t="s">
        <v>101</v>
      </c>
      <c r="C70" s="20">
        <v>73</v>
      </c>
      <c r="D70" s="21">
        <v>29</v>
      </c>
      <c r="E70" s="20">
        <v>5</v>
      </c>
      <c r="F70" s="20">
        <v>50</v>
      </c>
      <c r="G70" s="20">
        <v>40</v>
      </c>
      <c r="H70" s="21">
        <v>0</v>
      </c>
      <c r="I70" s="20">
        <v>2</v>
      </c>
      <c r="J70" s="108">
        <v>0</v>
      </c>
      <c r="K70" s="31"/>
      <c r="L70" s="111">
        <v>8</v>
      </c>
      <c r="M70" s="20">
        <v>114</v>
      </c>
      <c r="N70" s="21">
        <v>0</v>
      </c>
      <c r="O70" s="390">
        <v>5</v>
      </c>
      <c r="P70" s="389">
        <f>SUM(C70:O70)</f>
        <v>326</v>
      </c>
      <c r="Q70" s="50"/>
      <c r="R70" s="111">
        <v>14</v>
      </c>
      <c r="S70" s="20">
        <v>0</v>
      </c>
      <c r="T70" s="108">
        <v>32</v>
      </c>
      <c r="U70" s="51"/>
      <c r="V70" s="121">
        <v>113</v>
      </c>
      <c r="W70" s="424">
        <f>SUM(R70:V70)</f>
        <v>159</v>
      </c>
      <c r="X70" s="58"/>
      <c r="Y70" s="1030">
        <v>206</v>
      </c>
      <c r="Z70" s="2395"/>
      <c r="AA70" s="2382"/>
      <c r="AB70" s="2382"/>
      <c r="AC70" s="2383"/>
      <c r="AD70" s="2367"/>
      <c r="AE70" s="1033"/>
      <c r="AF70" s="1030">
        <v>169</v>
      </c>
      <c r="AG70" s="1773">
        <v>165</v>
      </c>
      <c r="AH70" s="2042">
        <f>W70-V70-(IF(AND(Motpart!$Y$26="",Motpart!$Z$26=""),0,IF(AND(Motpart!$Y$26=0,Motpart!$Z$26=0),0,((T70/($T$70+$T$71))*(Motpart!$Y$26+Motpart!$Z$26)))))</f>
        <v>38.956521739130437</v>
      </c>
    </row>
    <row r="71" spans="1:34" ht="21" customHeight="1" thickBot="1">
      <c r="A71" s="610" t="s">
        <v>264</v>
      </c>
      <c r="B71" s="2108" t="s">
        <v>1223</v>
      </c>
      <c r="C71" s="23">
        <v>639</v>
      </c>
      <c r="D71" s="21">
        <v>253</v>
      </c>
      <c r="E71" s="23">
        <v>337</v>
      </c>
      <c r="F71" s="23">
        <v>248</v>
      </c>
      <c r="G71" s="23">
        <v>217</v>
      </c>
      <c r="H71" s="24">
        <v>1</v>
      </c>
      <c r="I71" s="23">
        <v>8</v>
      </c>
      <c r="J71" s="109">
        <v>23</v>
      </c>
      <c r="K71" s="31"/>
      <c r="L71" s="112">
        <v>94</v>
      </c>
      <c r="M71" s="23">
        <v>152</v>
      </c>
      <c r="N71" s="21">
        <v>0</v>
      </c>
      <c r="O71" s="390">
        <v>45</v>
      </c>
      <c r="P71" s="389">
        <f>SUM(C71:O71)</f>
        <v>2017</v>
      </c>
      <c r="Q71" s="50"/>
      <c r="R71" s="112">
        <v>48</v>
      </c>
      <c r="S71" s="23">
        <v>1</v>
      </c>
      <c r="T71" s="109">
        <v>336</v>
      </c>
      <c r="U71" s="51"/>
      <c r="V71" s="122">
        <v>128</v>
      </c>
      <c r="W71" s="1045">
        <f>SUM(R71:V71)</f>
        <v>513</v>
      </c>
      <c r="X71" s="58"/>
      <c r="Y71" s="1059">
        <v>1816</v>
      </c>
      <c r="Z71" s="2396"/>
      <c r="AA71" s="2397"/>
      <c r="AB71" s="2397"/>
      <c r="AC71" s="2398"/>
      <c r="AD71" s="2367"/>
      <c r="AE71" s="1033"/>
      <c r="AF71" s="1030">
        <v>1504</v>
      </c>
      <c r="AG71" s="1773">
        <v>1640</v>
      </c>
      <c r="AH71" s="2042">
        <f>W71-V71-(IF(AND(Motpart!$Y$26="",Motpart!$Z$26=""),0,IF(AND(Motpart!$Y$26=0,Motpart!$Z$26=0),0,((T71/($T$70+$T$71))*(Motpart!$Y$26+Motpart!$Z$26)))))</f>
        <v>311.04347826086956</v>
      </c>
    </row>
    <row r="72" spans="1:34" ht="36" customHeight="1">
      <c r="A72" s="931"/>
      <c r="B72" s="1834" t="s">
        <v>103</v>
      </c>
      <c r="C72" s="496"/>
      <c r="D72" s="495"/>
      <c r="E72" s="493"/>
      <c r="F72" s="493"/>
      <c r="G72" s="493"/>
      <c r="H72" s="495"/>
      <c r="I72" s="493"/>
      <c r="J72" s="494"/>
      <c r="K72" s="31"/>
      <c r="L72" s="492"/>
      <c r="M72" s="493"/>
      <c r="N72" s="495"/>
      <c r="O72" s="495"/>
      <c r="P72" s="494"/>
      <c r="Q72" s="51"/>
      <c r="R72" s="492"/>
      <c r="S72" s="493"/>
      <c r="T72" s="494"/>
      <c r="U72" s="51"/>
      <c r="V72" s="490"/>
      <c r="W72" s="491"/>
      <c r="X72" s="31"/>
      <c r="Y72" s="2388"/>
      <c r="Z72" s="2399"/>
      <c r="AA72" s="2400"/>
      <c r="AB72" s="2400"/>
      <c r="AC72" s="2401"/>
      <c r="AD72" s="2350"/>
      <c r="AE72" s="1056">
        <f>IF(ISERROR((F73+F74)/((AA73+AA74)/1000*invanare)),"",((F73+F74)/((AA73+AA74)/100000*invanare)))</f>
        <v>1.6918096563278695E-2</v>
      </c>
      <c r="AF72" s="1030"/>
      <c r="AG72" s="1773"/>
      <c r="AH72" s="2042"/>
    </row>
    <row r="73" spans="1:34">
      <c r="A73" s="610" t="s">
        <v>451</v>
      </c>
      <c r="B73" s="926" t="s">
        <v>507</v>
      </c>
      <c r="C73" s="20">
        <v>56291</v>
      </c>
      <c r="D73" s="21">
        <v>21823</v>
      </c>
      <c r="E73" s="20">
        <v>3959</v>
      </c>
      <c r="F73" s="20">
        <v>20347</v>
      </c>
      <c r="G73" s="20">
        <v>4915</v>
      </c>
      <c r="H73" s="21">
        <v>992</v>
      </c>
      <c r="I73" s="20">
        <v>4287</v>
      </c>
      <c r="J73" s="108">
        <v>577</v>
      </c>
      <c r="K73" s="31"/>
      <c r="L73" s="111">
        <v>5601</v>
      </c>
      <c r="M73" s="20">
        <v>17916</v>
      </c>
      <c r="N73" s="21">
        <v>639</v>
      </c>
      <c r="O73" s="390">
        <v>3246</v>
      </c>
      <c r="P73" s="389">
        <f>SUM(C73:O73)</f>
        <v>140593</v>
      </c>
      <c r="Q73" s="50"/>
      <c r="R73" s="2115">
        <v>5049</v>
      </c>
      <c r="S73" s="20">
        <v>4311</v>
      </c>
      <c r="T73" s="108">
        <v>7865</v>
      </c>
      <c r="U73" s="51"/>
      <c r="V73" s="121">
        <v>14035</v>
      </c>
      <c r="W73" s="424">
        <f>SUM(R73:V73)</f>
        <v>31260</v>
      </c>
      <c r="X73" s="58"/>
      <c r="Y73" s="1030">
        <v>126308</v>
      </c>
      <c r="Z73" s="1038">
        <f>(P73-W73)*1000000/invanare</f>
        <v>10687.29451129183</v>
      </c>
      <c r="AA73" s="1039">
        <f>Y73*1000000/invanare</f>
        <v>12346.59979267237</v>
      </c>
      <c r="AB73" s="1057">
        <v>12024.811264394666</v>
      </c>
      <c r="AC73" s="1040">
        <f>IF(ISERROR((AA73-AB73)/AB73)," ",((AA73-AB73)/AB73))</f>
        <v>2.6760380782899815E-2</v>
      </c>
      <c r="AD73" s="2355"/>
      <c r="AE73" s="1035"/>
      <c r="AF73" s="1030">
        <v>109334</v>
      </c>
      <c r="AG73" s="1773">
        <v>105220</v>
      </c>
      <c r="AH73" s="2042">
        <f>W73-V73-SUM(Motpart!Y27:Z27)</f>
        <v>16974</v>
      </c>
    </row>
    <row r="74" spans="1:34" ht="18.75">
      <c r="A74" s="610" t="s">
        <v>450</v>
      </c>
      <c r="B74" s="932" t="s">
        <v>385</v>
      </c>
      <c r="C74" s="20">
        <v>5670</v>
      </c>
      <c r="D74" s="21">
        <v>2193</v>
      </c>
      <c r="E74" s="20">
        <v>299</v>
      </c>
      <c r="F74" s="20">
        <v>3484</v>
      </c>
      <c r="G74" s="20">
        <v>654</v>
      </c>
      <c r="H74" s="21">
        <v>451</v>
      </c>
      <c r="I74" s="20">
        <v>411</v>
      </c>
      <c r="J74" s="108">
        <v>32</v>
      </c>
      <c r="K74" s="31"/>
      <c r="L74" s="111">
        <v>403</v>
      </c>
      <c r="M74" s="20">
        <v>1593</v>
      </c>
      <c r="N74" s="21">
        <v>74</v>
      </c>
      <c r="O74" s="390">
        <v>318</v>
      </c>
      <c r="P74" s="389">
        <f>SUM(C74:O74)</f>
        <v>15582</v>
      </c>
      <c r="Q74" s="50"/>
      <c r="R74" s="2115">
        <v>286</v>
      </c>
      <c r="S74" s="20">
        <v>323</v>
      </c>
      <c r="T74" s="108">
        <v>797</v>
      </c>
      <c r="U74" s="51"/>
      <c r="V74" s="121">
        <v>991</v>
      </c>
      <c r="W74" s="424">
        <f>SUM(R74:V74)</f>
        <v>2397</v>
      </c>
      <c r="X74" s="58"/>
      <c r="Y74" s="1030">
        <v>14553</v>
      </c>
      <c r="Z74" s="1038">
        <f>(P74-W74)*1000000/invanare</f>
        <v>1288.8329976437376</v>
      </c>
      <c r="AA74" s="1039">
        <f>Y74*1000000/invanare</f>
        <v>1422.5549195835656</v>
      </c>
      <c r="AB74" s="1057">
        <v>1379.7100899365846</v>
      </c>
      <c r="AC74" s="1040">
        <f>IF(ISERROR((AA74-AB74)/AB74)," ",((AA74-AB74)/AB74))</f>
        <v>3.1053501717125419E-2</v>
      </c>
      <c r="AD74" s="2355"/>
      <c r="AE74" s="1054">
        <f>(Y77-Y76)*1000/invanare</f>
        <v>19.78478395063237</v>
      </c>
      <c r="AF74" s="1030">
        <v>13186</v>
      </c>
      <c r="AG74" s="1773">
        <v>10658</v>
      </c>
      <c r="AH74" s="2042">
        <f>W74-V74-SUM(Motpart!Y28:Z28)</f>
        <v>1366</v>
      </c>
    </row>
    <row r="75" spans="1:34">
      <c r="A75" s="610" t="s">
        <v>265</v>
      </c>
      <c r="B75" s="926" t="s">
        <v>386</v>
      </c>
      <c r="C75" s="2114">
        <v>25654</v>
      </c>
      <c r="D75" s="21">
        <v>9901</v>
      </c>
      <c r="E75" s="23">
        <v>887</v>
      </c>
      <c r="F75" s="2114">
        <v>12637</v>
      </c>
      <c r="G75" s="23">
        <v>1720</v>
      </c>
      <c r="H75" s="24">
        <v>4779</v>
      </c>
      <c r="I75" s="23">
        <v>1548</v>
      </c>
      <c r="J75" s="109">
        <v>115</v>
      </c>
      <c r="K75" s="31"/>
      <c r="L75" s="112">
        <v>1942</v>
      </c>
      <c r="M75" s="20">
        <v>4735</v>
      </c>
      <c r="N75" s="21">
        <v>274</v>
      </c>
      <c r="O75" s="390">
        <v>1303</v>
      </c>
      <c r="P75" s="389">
        <f>SUM(C75:O75)</f>
        <v>65495</v>
      </c>
      <c r="Q75" s="50"/>
      <c r="R75" s="2113">
        <v>118</v>
      </c>
      <c r="S75" s="23">
        <v>1256</v>
      </c>
      <c r="T75" s="109">
        <v>8140</v>
      </c>
      <c r="U75" s="51"/>
      <c r="V75" s="121">
        <v>3703</v>
      </c>
      <c r="W75" s="424">
        <f>SUM(R75:V75)</f>
        <v>13217</v>
      </c>
      <c r="X75" s="58"/>
      <c r="Y75" s="1030">
        <v>61541</v>
      </c>
      <c r="Z75" s="1038">
        <f>(P75-W75)*1000000/invanare</f>
        <v>5110.1715169373774</v>
      </c>
      <c r="AA75" s="1039">
        <f>Y75*1000000/invanare</f>
        <v>6015.6292383764321</v>
      </c>
      <c r="AB75" s="1057">
        <v>5853.2197154969217</v>
      </c>
      <c r="AC75" s="1040">
        <f>IF(ISERROR((AA75-AB75)/AB75)," ",((AA75-AB75)/AB75))</f>
        <v>2.7747040222924946E-2</v>
      </c>
      <c r="AD75" s="2356"/>
      <c r="AE75" s="1033"/>
      <c r="AF75" s="1030">
        <v>52279</v>
      </c>
      <c r="AG75" s="1773">
        <v>44377</v>
      </c>
      <c r="AH75" s="2042">
        <f>W75-V75-SUM(Motpart!Y29:Z29)</f>
        <v>9262</v>
      </c>
    </row>
    <row r="76" spans="1:34">
      <c r="A76" s="610" t="s">
        <v>266</v>
      </c>
      <c r="B76" s="915" t="s">
        <v>104</v>
      </c>
      <c r="C76" s="23">
        <v>109</v>
      </c>
      <c r="D76" s="21">
        <v>42</v>
      </c>
      <c r="E76" s="23">
        <v>2</v>
      </c>
      <c r="F76" s="23">
        <v>1720</v>
      </c>
      <c r="G76" s="23">
        <v>301</v>
      </c>
      <c r="H76" s="24">
        <v>39</v>
      </c>
      <c r="I76" s="23">
        <v>4</v>
      </c>
      <c r="J76" s="109">
        <v>1</v>
      </c>
      <c r="K76" s="31"/>
      <c r="L76" s="112">
        <v>3</v>
      </c>
      <c r="M76" s="23">
        <v>78</v>
      </c>
      <c r="N76" s="21">
        <v>9</v>
      </c>
      <c r="O76" s="390">
        <v>14</v>
      </c>
      <c r="P76" s="389">
        <f>SUM(C76:O76)</f>
        <v>2322</v>
      </c>
      <c r="Q76" s="50"/>
      <c r="R76" s="2113">
        <v>125</v>
      </c>
      <c r="S76" s="23">
        <v>0</v>
      </c>
      <c r="T76" s="109">
        <v>107</v>
      </c>
      <c r="U76" s="51"/>
      <c r="V76" s="122">
        <v>117</v>
      </c>
      <c r="W76" s="424">
        <f>SUM(R76:V76)</f>
        <v>349</v>
      </c>
      <c r="X76" s="58"/>
      <c r="Y76" s="1030">
        <v>2167</v>
      </c>
      <c r="Z76" s="1038">
        <f>(P76-W76)*1000000/invanare</f>
        <v>192.8606374176029</v>
      </c>
      <c r="AA76" s="1039">
        <f>Y76*1000000/invanare</f>
        <v>211.82412634766624</v>
      </c>
      <c r="AB76" s="1060">
        <v>202.7619497636519</v>
      </c>
      <c r="AC76" s="1040">
        <f>IF(ISERROR((AA76-AB76)/AB76)," ",((AA76-AB76)/AB76))</f>
        <v>4.4693674501441731E-2</v>
      </c>
      <c r="AD76" s="2357"/>
      <c r="AE76" s="1054"/>
      <c r="AF76" s="1030">
        <v>1971</v>
      </c>
      <c r="AG76" s="1773">
        <v>445</v>
      </c>
      <c r="AH76" s="2042">
        <f>W76-V76-SUM(Motpart!Y30:Z30)</f>
        <v>195</v>
      </c>
    </row>
    <row r="77" spans="1:34">
      <c r="A77" s="610" t="s">
        <v>519</v>
      </c>
      <c r="B77" s="915" t="s">
        <v>106</v>
      </c>
      <c r="C77" s="382">
        <f t="shared" ref="C77:J77" si="18">SUM(C73:C76)</f>
        <v>87724</v>
      </c>
      <c r="D77" s="26">
        <f t="shared" si="18"/>
        <v>33959</v>
      </c>
      <c r="E77" s="382">
        <f t="shared" si="18"/>
        <v>5147</v>
      </c>
      <c r="F77" s="382">
        <f t="shared" si="18"/>
        <v>38188</v>
      </c>
      <c r="G77" s="382">
        <f t="shared" si="18"/>
        <v>7590</v>
      </c>
      <c r="H77" s="26">
        <f t="shared" si="18"/>
        <v>6261</v>
      </c>
      <c r="I77" s="382">
        <f t="shared" si="18"/>
        <v>6250</v>
      </c>
      <c r="J77" s="113">
        <f t="shared" si="18"/>
        <v>725</v>
      </c>
      <c r="K77" s="155"/>
      <c r="L77" s="391">
        <f>SUM(L73:L76)</f>
        <v>7949</v>
      </c>
      <c r="M77" s="382">
        <f>SUM(M73:M76)</f>
        <v>24322</v>
      </c>
      <c r="N77" s="26">
        <f>SUM(N73:N76)</f>
        <v>996</v>
      </c>
      <c r="O77" s="26">
        <f>SUM(O73:O76)</f>
        <v>4881</v>
      </c>
      <c r="P77" s="113">
        <f>SUM(P73:P76)</f>
        <v>223992</v>
      </c>
      <c r="Q77" s="50"/>
      <c r="R77" s="391">
        <f>SUM(R73:R76)</f>
        <v>5578</v>
      </c>
      <c r="S77" s="382">
        <f>SUM(S73:S76)</f>
        <v>5890</v>
      </c>
      <c r="T77" s="113">
        <f>SUM(T73:T76)</f>
        <v>16909</v>
      </c>
      <c r="U77" s="50"/>
      <c r="V77" s="125">
        <f>SUM(V73:V76)</f>
        <v>18846</v>
      </c>
      <c r="W77" s="126">
        <f>SUM(W73:W76)</f>
        <v>47223</v>
      </c>
      <c r="X77" s="58"/>
      <c r="Y77" s="1030">
        <v>204569</v>
      </c>
      <c r="Z77" s="1840">
        <f>(P77-W77)*1000000/invanare</f>
        <v>17279.159663290546</v>
      </c>
      <c r="AA77" s="1060">
        <f>Y77*1000000/invanare</f>
        <v>19996.608076980036</v>
      </c>
      <c r="AB77" s="1841">
        <v>19460.503019591823</v>
      </c>
      <c r="AC77" s="1837">
        <f t="shared" ref="AC77:AC84" si="19">IF(ISERROR((AA77-AB77)/AB77)," ",((AA77-AB77)/AB77))</f>
        <v>2.7548365879776607E-2</v>
      </c>
      <c r="AD77" s="2351"/>
      <c r="AE77" s="1035">
        <f>IF(ISERROR(F77/(AA77/1000*invanare)),"",(F77/(AA77/100000*invanare)))</f>
        <v>1.8667540047612296E-2</v>
      </c>
      <c r="AF77" s="1030">
        <v>176770</v>
      </c>
      <c r="AG77" s="1773">
        <v>160699</v>
      </c>
      <c r="AH77" s="2042">
        <f>W77-V77-SUM(Motpart!Y27:Z30)</f>
        <v>27797</v>
      </c>
    </row>
    <row r="78" spans="1:34" ht="13.5" customHeight="1">
      <c r="A78" s="931"/>
      <c r="B78" s="933" t="s">
        <v>107</v>
      </c>
      <c r="C78" s="496"/>
      <c r="D78" s="495"/>
      <c r="E78" s="493"/>
      <c r="F78" s="493"/>
      <c r="G78" s="493"/>
      <c r="H78" s="495"/>
      <c r="I78" s="493"/>
      <c r="J78" s="494"/>
      <c r="K78" s="31"/>
      <c r="L78" s="492"/>
      <c r="M78" s="493"/>
      <c r="N78" s="495"/>
      <c r="O78" s="495"/>
      <c r="P78" s="494"/>
      <c r="Q78" s="51"/>
      <c r="R78" s="492"/>
      <c r="S78" s="493"/>
      <c r="T78" s="494"/>
      <c r="U78" s="51"/>
      <c r="V78" s="490"/>
      <c r="W78" s="491"/>
      <c r="X78" s="31"/>
      <c r="Y78" s="1831"/>
      <c r="Z78" s="1842"/>
      <c r="AA78" s="1861"/>
      <c r="AB78" s="1861"/>
      <c r="AC78" s="2402" t="str">
        <f t="shared" si="19"/>
        <v xml:space="preserve"> </v>
      </c>
      <c r="AD78" s="2403"/>
      <c r="AE78" s="1033">
        <f>IF(ISERROR(F77/(AA77/1000*invanare)),"",(SUM(Motpart!D27:D30,Motpart!F27:F30)/(AA77/100000*invanare)))</f>
        <v>1.7002576147901197E-2</v>
      </c>
      <c r="AF78" s="1030"/>
      <c r="AG78" s="1773"/>
      <c r="AH78" s="2042"/>
    </row>
    <row r="79" spans="1:34">
      <c r="A79" s="610" t="s">
        <v>456</v>
      </c>
      <c r="B79" s="934" t="s">
        <v>208</v>
      </c>
      <c r="C79" s="20">
        <v>2329</v>
      </c>
      <c r="D79" s="21">
        <v>901</v>
      </c>
      <c r="E79" s="20">
        <v>129</v>
      </c>
      <c r="F79" s="20">
        <v>3170</v>
      </c>
      <c r="G79" s="20">
        <v>484</v>
      </c>
      <c r="H79" s="21">
        <v>180</v>
      </c>
      <c r="I79" s="20">
        <v>461</v>
      </c>
      <c r="J79" s="108">
        <v>13</v>
      </c>
      <c r="K79" s="31"/>
      <c r="L79" s="111">
        <v>327</v>
      </c>
      <c r="M79" s="20">
        <v>520</v>
      </c>
      <c r="N79" s="21">
        <v>29</v>
      </c>
      <c r="O79" s="390">
        <v>153</v>
      </c>
      <c r="P79" s="389">
        <f>SUM(C79:O79)</f>
        <v>8696</v>
      </c>
      <c r="Q79" s="50"/>
      <c r="R79" s="111">
        <v>44</v>
      </c>
      <c r="S79" s="20">
        <v>333</v>
      </c>
      <c r="T79" s="108">
        <v>456</v>
      </c>
      <c r="U79" s="51"/>
      <c r="V79" s="121">
        <v>412</v>
      </c>
      <c r="W79" s="424">
        <f>SUM(R79:V79)</f>
        <v>1245</v>
      </c>
      <c r="X79" s="58"/>
      <c r="Y79" s="1030">
        <v>8210</v>
      </c>
      <c r="Z79" s="1038">
        <f>(P79-W79)*1000000/invanare</f>
        <v>728.334824834546</v>
      </c>
      <c r="AA79" s="1039">
        <f>Y79*1000000/invanare</f>
        <v>802.52703152484537</v>
      </c>
      <c r="AB79" s="1039">
        <v>770.83136944748946</v>
      </c>
      <c r="AC79" s="1040">
        <f t="shared" si="19"/>
        <v>4.1118801509173762E-2</v>
      </c>
      <c r="AD79" s="2355"/>
      <c r="AE79" s="1054">
        <f>F85-F76-F71-F70</f>
        <v>48421</v>
      </c>
      <c r="AF79" s="1030">
        <v>7450</v>
      </c>
      <c r="AG79" s="1773">
        <v>4934</v>
      </c>
      <c r="AH79" s="2042">
        <f>W79-V79-SUM(Motpart!Y31:Z31)</f>
        <v>759</v>
      </c>
    </row>
    <row r="80" spans="1:34">
      <c r="A80" s="610" t="s">
        <v>455</v>
      </c>
      <c r="B80" s="934" t="s">
        <v>108</v>
      </c>
      <c r="C80" s="20">
        <v>7986</v>
      </c>
      <c r="D80" s="21">
        <v>2959</v>
      </c>
      <c r="E80" s="20">
        <v>149</v>
      </c>
      <c r="F80" s="20">
        <v>7532</v>
      </c>
      <c r="G80" s="20">
        <v>2082</v>
      </c>
      <c r="H80" s="21">
        <v>172</v>
      </c>
      <c r="I80" s="20">
        <v>292</v>
      </c>
      <c r="J80" s="108">
        <v>34</v>
      </c>
      <c r="K80" s="31"/>
      <c r="L80" s="111">
        <v>370</v>
      </c>
      <c r="M80" s="20">
        <v>900</v>
      </c>
      <c r="N80" s="21">
        <v>110</v>
      </c>
      <c r="O80" s="390">
        <v>453</v>
      </c>
      <c r="P80" s="389">
        <f>SUM(C80:O80)</f>
        <v>23039</v>
      </c>
      <c r="Q80" s="50"/>
      <c r="R80" s="111">
        <v>49</v>
      </c>
      <c r="S80" s="20">
        <v>39</v>
      </c>
      <c r="T80" s="108">
        <v>1928</v>
      </c>
      <c r="U80" s="51"/>
      <c r="V80" s="121">
        <v>760</v>
      </c>
      <c r="W80" s="424">
        <f>SUM(R80:V80)</f>
        <v>2776</v>
      </c>
      <c r="X80" s="58"/>
      <c r="Y80" s="1059">
        <v>22075</v>
      </c>
      <c r="Z80" s="1038">
        <f>(P80-W80)*1000000/invanare</f>
        <v>1980.7070937622341</v>
      </c>
      <c r="AA80" s="1039">
        <f>Y80*1000000/invanare</f>
        <v>2157.829990366743</v>
      </c>
      <c r="AB80" s="1057">
        <v>2031.7695960234944</v>
      </c>
      <c r="AC80" s="1037">
        <f t="shared" si="19"/>
        <v>6.2044630744533945E-2</v>
      </c>
      <c r="AD80" s="2355"/>
      <c r="AE80" s="1054">
        <f>H85-H76-H71-H70</f>
        <v>17078</v>
      </c>
      <c r="AF80" s="1030">
        <v>20263</v>
      </c>
      <c r="AG80" s="1773">
        <v>14576</v>
      </c>
      <c r="AH80" s="2042">
        <f>W80-V80-SUM(Motpart!Y33:Z33)</f>
        <v>1811</v>
      </c>
    </row>
    <row r="81" spans="1:34">
      <c r="A81" s="610" t="s">
        <v>458</v>
      </c>
      <c r="B81" s="934" t="s">
        <v>173</v>
      </c>
      <c r="C81" s="20">
        <v>782</v>
      </c>
      <c r="D81" s="21">
        <v>302</v>
      </c>
      <c r="E81" s="20">
        <v>43</v>
      </c>
      <c r="F81" s="20">
        <v>1061</v>
      </c>
      <c r="G81" s="20">
        <v>180</v>
      </c>
      <c r="H81" s="21">
        <v>259</v>
      </c>
      <c r="I81" s="20">
        <v>285</v>
      </c>
      <c r="J81" s="108">
        <v>5</v>
      </c>
      <c r="K81" s="31"/>
      <c r="L81" s="111">
        <v>143</v>
      </c>
      <c r="M81" s="20">
        <v>253</v>
      </c>
      <c r="N81" s="21">
        <v>16</v>
      </c>
      <c r="O81" s="390">
        <v>55</v>
      </c>
      <c r="P81" s="389">
        <f>SUM(C81:O81)</f>
        <v>3384</v>
      </c>
      <c r="Q81" s="50"/>
      <c r="R81" s="111">
        <v>10</v>
      </c>
      <c r="S81" s="20">
        <v>279</v>
      </c>
      <c r="T81" s="108">
        <v>316</v>
      </c>
      <c r="U81" s="51"/>
      <c r="V81" s="121">
        <v>197</v>
      </c>
      <c r="W81" s="424">
        <f>SUM(R81:V81)</f>
        <v>802</v>
      </c>
      <c r="X81" s="58"/>
      <c r="Y81" s="1059">
        <v>3146</v>
      </c>
      <c r="Z81" s="1038">
        <f>(P81-W81)*1000000/invanare</f>
        <v>252.39035266713162</v>
      </c>
      <c r="AA81" s="1039">
        <f>Y81*1000000/invanare</f>
        <v>307.52132048442917</v>
      </c>
      <c r="AB81" s="1057">
        <v>271.13976128238829</v>
      </c>
      <c r="AC81" s="1037">
        <f t="shared" si="19"/>
        <v>0.13418009601384132</v>
      </c>
      <c r="AD81" s="2355"/>
      <c r="AE81" s="1033"/>
      <c r="AF81" s="1030">
        <v>2583</v>
      </c>
      <c r="AG81" s="1773">
        <v>1867</v>
      </c>
      <c r="AH81" s="2042">
        <f>W81-V81-IFO!G29</f>
        <v>564</v>
      </c>
    </row>
    <row r="82" spans="1:34">
      <c r="A82" s="610" t="s">
        <v>457</v>
      </c>
      <c r="B82" s="934" t="s">
        <v>109</v>
      </c>
      <c r="C82" s="20">
        <v>2071</v>
      </c>
      <c r="D82" s="21">
        <v>805</v>
      </c>
      <c r="E82" s="20">
        <v>46</v>
      </c>
      <c r="F82" s="20">
        <v>59</v>
      </c>
      <c r="G82" s="20">
        <v>422</v>
      </c>
      <c r="H82" s="21">
        <v>10241</v>
      </c>
      <c r="I82" s="20">
        <v>125</v>
      </c>
      <c r="J82" s="108">
        <v>12</v>
      </c>
      <c r="K82" s="31"/>
      <c r="L82" s="111">
        <v>114</v>
      </c>
      <c r="M82" s="20">
        <v>330</v>
      </c>
      <c r="N82" s="21">
        <v>34</v>
      </c>
      <c r="O82" s="390">
        <v>123</v>
      </c>
      <c r="P82" s="389">
        <f>SUM(C82:O82)</f>
        <v>14382</v>
      </c>
      <c r="Q82" s="50"/>
      <c r="R82" s="111">
        <v>27</v>
      </c>
      <c r="S82" s="20">
        <v>33</v>
      </c>
      <c r="T82" s="108">
        <v>729</v>
      </c>
      <c r="U82" s="51"/>
      <c r="V82" s="121">
        <v>181</v>
      </c>
      <c r="W82" s="424">
        <f>SUM(R82:V82)</f>
        <v>970</v>
      </c>
      <c r="X82" s="58"/>
      <c r="Y82" s="1059">
        <v>14197</v>
      </c>
      <c r="Z82" s="1038">
        <f>(P82-W82)*1000000/invanare</f>
        <v>1311.0222346907706</v>
      </c>
      <c r="AA82" s="1039">
        <f>Y82*1000000/invanare</f>
        <v>1387.7559398974702</v>
      </c>
      <c r="AB82" s="1057">
        <v>1351.15346055954</v>
      </c>
      <c r="AC82" s="1037">
        <f t="shared" si="19"/>
        <v>2.7089801718579276E-2</v>
      </c>
      <c r="AD82" s="2355"/>
      <c r="AE82" s="1033"/>
      <c r="AF82" s="1030">
        <v>13413</v>
      </c>
      <c r="AG82" s="1773">
        <v>3903</v>
      </c>
      <c r="AH82" s="2042">
        <f>W82-V82-IFO!G30</f>
        <v>784</v>
      </c>
    </row>
    <row r="83" spans="1:34">
      <c r="A83" s="610" t="s">
        <v>362</v>
      </c>
      <c r="B83" s="915" t="s">
        <v>110</v>
      </c>
      <c r="C83" s="382">
        <f>SUM(C79:C82)</f>
        <v>13168</v>
      </c>
      <c r="D83" s="26">
        <f t="shared" ref="D83:J83" si="20">SUM(D79:D82)</f>
        <v>4967</v>
      </c>
      <c r="E83" s="392">
        <f t="shared" si="20"/>
        <v>367</v>
      </c>
      <c r="F83" s="382">
        <f t="shared" si="20"/>
        <v>11822</v>
      </c>
      <c r="G83" s="382">
        <f t="shared" si="20"/>
        <v>3168</v>
      </c>
      <c r="H83" s="26">
        <f t="shared" si="20"/>
        <v>10852</v>
      </c>
      <c r="I83" s="552">
        <f t="shared" si="20"/>
        <v>1163</v>
      </c>
      <c r="J83" s="113">
        <f t="shared" si="20"/>
        <v>64</v>
      </c>
      <c r="K83" s="155"/>
      <c r="L83" s="391">
        <f>SUM(L79:L82)</f>
        <v>954</v>
      </c>
      <c r="M83" s="382">
        <f>SUM(M79:M82)</f>
        <v>2003</v>
      </c>
      <c r="N83" s="26">
        <f>SUM(N79:N82)</f>
        <v>189</v>
      </c>
      <c r="O83" s="400">
        <f t="shared" ref="O83" si="21">IF(I$120=0,0,(SUM(C83:E83,G83,I83:M83)-V83)/(SUM(C$110:E$110,G$110,I$110:M$110)-V$110)*I$120)</f>
        <v>779.00385178545912</v>
      </c>
      <c r="P83" s="389">
        <f>SUM(P79:P82)</f>
        <v>49501</v>
      </c>
      <c r="Q83" s="50"/>
      <c r="R83" s="391">
        <f>SUM(R79:R82)</f>
        <v>130</v>
      </c>
      <c r="S83" s="382">
        <f>SUM(S79:S82)</f>
        <v>684</v>
      </c>
      <c r="T83" s="113">
        <f>SUM(T79:T82)</f>
        <v>3429</v>
      </c>
      <c r="U83" s="50"/>
      <c r="V83" s="125">
        <f>SUM(V79:V82)</f>
        <v>1550</v>
      </c>
      <c r="W83" s="424">
        <f>SUM(W79:W82)</f>
        <v>5793</v>
      </c>
      <c r="X83" s="58"/>
      <c r="Y83" s="1061">
        <v>47628</v>
      </c>
      <c r="Z83" s="1038">
        <f>(P83+P84-W83-W84)*1000000/invanare</f>
        <v>4360.5272045422444</v>
      </c>
      <c r="AA83" s="1039">
        <f>SUM(Y83:Y84)*1000000/invanare</f>
        <v>4749.4742274944201</v>
      </c>
      <c r="AB83" s="1039">
        <v>4513.4296195683855</v>
      </c>
      <c r="AC83" s="1037">
        <f t="shared" si="19"/>
        <v>5.2298280425741361E-2</v>
      </c>
      <c r="AD83" s="2355"/>
      <c r="AE83" s="1035">
        <f>IF(ISERROR((F83+F84)/((F83+F84)/1000*invanare)),"",((F83+F84)/(AA83/100000*invanare)))</f>
        <v>2.4600724458714085E-2</v>
      </c>
      <c r="AF83" s="1030">
        <v>43709</v>
      </c>
      <c r="AG83" s="1773">
        <v>25279</v>
      </c>
      <c r="AH83" s="2042">
        <f>W83-V83-IFO!G31</f>
        <v>3918</v>
      </c>
    </row>
    <row r="84" spans="1:34">
      <c r="A84" s="610" t="s">
        <v>464</v>
      </c>
      <c r="B84" s="915" t="s">
        <v>111</v>
      </c>
      <c r="C84" s="23">
        <v>491</v>
      </c>
      <c r="D84" s="21">
        <v>189</v>
      </c>
      <c r="E84" s="23">
        <v>8</v>
      </c>
      <c r="F84" s="23">
        <v>131</v>
      </c>
      <c r="G84" s="23">
        <v>92</v>
      </c>
      <c r="H84" s="24">
        <v>4</v>
      </c>
      <c r="I84" s="23">
        <v>15</v>
      </c>
      <c r="J84" s="109">
        <v>2</v>
      </c>
      <c r="K84" s="30"/>
      <c r="L84" s="112">
        <v>27</v>
      </c>
      <c r="M84" s="23">
        <v>61</v>
      </c>
      <c r="N84" s="24">
        <v>7</v>
      </c>
      <c r="O84" s="390">
        <v>27</v>
      </c>
      <c r="P84" s="389">
        <f>SUM(C84:O84)</f>
        <v>1054</v>
      </c>
      <c r="Q84" s="50"/>
      <c r="R84" s="112">
        <v>12</v>
      </c>
      <c r="S84" s="23">
        <v>1</v>
      </c>
      <c r="T84" s="109">
        <v>105</v>
      </c>
      <c r="U84" s="221"/>
      <c r="V84" s="122">
        <v>35</v>
      </c>
      <c r="W84" s="424">
        <f>SUM(R84:V84)</f>
        <v>153</v>
      </c>
      <c r="X84" s="58"/>
      <c r="Y84" s="1059">
        <v>960</v>
      </c>
      <c r="Z84" s="1038">
        <f>(P84-W84)*1000000/invanare</f>
        <v>88.072698587562201</v>
      </c>
      <c r="AA84" s="1039">
        <f>Y84*1000000/invanare</f>
        <v>93.83994522093198</v>
      </c>
      <c r="AB84" s="1057">
        <v>88.535432255473737</v>
      </c>
      <c r="AC84" s="1037">
        <f t="shared" si="19"/>
        <v>5.9914012168052533E-2</v>
      </c>
      <c r="AD84" s="2355"/>
      <c r="AE84" s="1033">
        <f>IF(ISERROR(F83+F84/(F83+F84/1000*invanare)),"",(SUM(Motpart!D31,Motpart!D33,Motpart!D35,Motpart!F31,Motpart!F33,Motpart!F35)/(AA83/100000*invanare)))</f>
        <v>2.0264262780933563E-2</v>
      </c>
      <c r="AF84" s="1030">
        <v>899</v>
      </c>
      <c r="AG84" s="1773">
        <v>883</v>
      </c>
      <c r="AH84" s="2042">
        <f>W84-V84-SUM(IFO!G33:G34)</f>
        <v>60</v>
      </c>
    </row>
    <row r="85" spans="1:34" ht="13.5" thickBot="1">
      <c r="A85" s="614" t="s">
        <v>363</v>
      </c>
      <c r="B85" s="922" t="s">
        <v>112</v>
      </c>
      <c r="C85" s="396">
        <f t="shared" ref="C85:J85" si="22">SUM(C70:C71,C77,C83,C84)</f>
        <v>102095</v>
      </c>
      <c r="D85" s="397">
        <f t="shared" si="22"/>
        <v>39397</v>
      </c>
      <c r="E85" s="393">
        <f t="shared" si="22"/>
        <v>5864</v>
      </c>
      <c r="F85" s="396">
        <f t="shared" si="22"/>
        <v>50439</v>
      </c>
      <c r="G85" s="396">
        <f t="shared" si="22"/>
        <v>11107</v>
      </c>
      <c r="H85" s="397">
        <f t="shared" si="22"/>
        <v>17118</v>
      </c>
      <c r="I85" s="396">
        <f t="shared" si="22"/>
        <v>7438</v>
      </c>
      <c r="J85" s="398">
        <f t="shared" si="22"/>
        <v>814</v>
      </c>
      <c r="K85" s="155"/>
      <c r="L85" s="399">
        <f>SUM(L70:L71,L77,L83,L84)</f>
        <v>9032</v>
      </c>
      <c r="M85" s="396">
        <f>SUM(M70:M71,M77,M83,M84)</f>
        <v>26652</v>
      </c>
      <c r="N85" s="397">
        <f>SUM(N70:N71,N77,N83,N84)</f>
        <v>1192</v>
      </c>
      <c r="O85" s="397">
        <f>SUM(O70:O71,O77,O83,O84)</f>
        <v>5737.0038517854591</v>
      </c>
      <c r="P85" s="398">
        <f>SUM(P70:P71,P77,P83,P84)</f>
        <v>276890</v>
      </c>
      <c r="Q85" s="50"/>
      <c r="R85" s="399">
        <f>SUM(R70:R71,R77,R83,R84)</f>
        <v>5782</v>
      </c>
      <c r="S85" s="396">
        <f>SUM(S70:S71,S77,S83,S84)</f>
        <v>6576</v>
      </c>
      <c r="T85" s="398">
        <f>SUM(T70:T71,T77,T83,T84)</f>
        <v>20811</v>
      </c>
      <c r="U85" s="50"/>
      <c r="V85" s="426">
        <f>SUM(V70:V71,V77,V83,V84)</f>
        <v>20672</v>
      </c>
      <c r="W85" s="425">
        <f>SUM(W70:W71,W77,W83,W84)</f>
        <v>53841</v>
      </c>
      <c r="X85" s="58"/>
      <c r="Y85" s="1667">
        <v>255179</v>
      </c>
      <c r="Z85" s="1041"/>
      <c r="AA85" s="1042"/>
      <c r="AB85" s="1043"/>
      <c r="AC85" s="1044"/>
      <c r="AD85" s="2352"/>
      <c r="AE85" s="1780">
        <f>IF(ISERROR((F83)/((F83)/1000*invanare)),"",SUM(AA77,AA83)*100/AA90)</f>
        <v>38.480316528522373</v>
      </c>
      <c r="AF85" s="1068">
        <v>223052</v>
      </c>
      <c r="AG85" s="1776">
        <v>188666</v>
      </c>
      <c r="AH85" s="2044">
        <f>SUM(AH70,AH71,AH77,AH83,AH84)</f>
        <v>32125</v>
      </c>
    </row>
    <row r="86" spans="1:34" ht="40.5" customHeight="1">
      <c r="A86" s="931"/>
      <c r="B86" s="928" t="s">
        <v>113</v>
      </c>
      <c r="C86" s="472"/>
      <c r="D86" s="471"/>
      <c r="E86" s="469"/>
      <c r="F86" s="469"/>
      <c r="G86" s="469"/>
      <c r="H86" s="471"/>
      <c r="I86" s="469"/>
      <c r="J86" s="470"/>
      <c r="K86" s="31"/>
      <c r="L86" s="468"/>
      <c r="M86" s="469"/>
      <c r="N86" s="471"/>
      <c r="O86" s="471"/>
      <c r="P86" s="470"/>
      <c r="Q86" s="51"/>
      <c r="R86" s="468"/>
      <c r="S86" s="469"/>
      <c r="T86" s="470"/>
      <c r="U86" s="51"/>
      <c r="V86" s="466"/>
      <c r="W86" s="467"/>
      <c r="X86" s="31"/>
      <c r="Y86" s="2388"/>
      <c r="Z86" s="2399"/>
      <c r="AA86" s="2400"/>
      <c r="AB86" s="2400"/>
      <c r="AC86" s="2401"/>
      <c r="AD86" s="325"/>
      <c r="AE86" s="1062">
        <f>IF(ISERROR((F83)/((F83)/1000*invanare)),"",(F83/((AA83-AA84)/100000*invanare)))</f>
        <v>2.4821533551692278E-2</v>
      </c>
      <c r="AF86" s="1783"/>
      <c r="AG86" s="1785"/>
      <c r="AH86" s="2043"/>
    </row>
    <row r="87" spans="1:34">
      <c r="A87" s="610" t="s">
        <v>267</v>
      </c>
      <c r="B87" s="918" t="s">
        <v>116</v>
      </c>
      <c r="C87" s="20">
        <v>4149</v>
      </c>
      <c r="D87" s="21">
        <v>1550</v>
      </c>
      <c r="E87" s="20">
        <v>204</v>
      </c>
      <c r="F87" s="20">
        <v>3757</v>
      </c>
      <c r="G87" s="20">
        <v>869</v>
      </c>
      <c r="H87" s="21">
        <v>1343</v>
      </c>
      <c r="I87" s="20">
        <v>910</v>
      </c>
      <c r="J87" s="108">
        <v>27</v>
      </c>
      <c r="K87" s="31"/>
      <c r="L87" s="111">
        <v>775</v>
      </c>
      <c r="M87" s="20">
        <v>1221</v>
      </c>
      <c r="N87" s="21">
        <v>61</v>
      </c>
      <c r="O87" s="390">
        <v>304</v>
      </c>
      <c r="P87" s="389">
        <f>SUM(C87:O87)</f>
        <v>15170</v>
      </c>
      <c r="Q87" s="50"/>
      <c r="R87" s="111">
        <v>17</v>
      </c>
      <c r="S87" s="20">
        <v>442</v>
      </c>
      <c r="T87" s="108">
        <v>13504</v>
      </c>
      <c r="U87" s="51"/>
      <c r="V87" s="121">
        <v>625</v>
      </c>
      <c r="W87" s="424">
        <f>SUM(R87:V87)</f>
        <v>14588</v>
      </c>
      <c r="X87" s="58"/>
      <c r="Y87" s="1030">
        <v>14479</v>
      </c>
      <c r="Z87" s="1038">
        <f>(P87-W87)*1000000/invanare</f>
        <v>56.890466790190011</v>
      </c>
      <c r="AA87" s="1039">
        <f>Y87*1000000/invanare</f>
        <v>1415.3214238061189</v>
      </c>
      <c r="AB87" s="1067">
        <v>2293.0281706702272</v>
      </c>
      <c r="AC87" s="1040">
        <f>IF(ISERROR((AA87-AB87)/AB87)," ",((AA87-AB87)/AB87))</f>
        <v>-0.38277189878899925</v>
      </c>
      <c r="AD87" s="2349"/>
      <c r="AE87" s="1033"/>
      <c r="AF87" s="1030">
        <v>580</v>
      </c>
      <c r="AG87" s="1773">
        <v>9443</v>
      </c>
      <c r="AH87" s="2042">
        <f>W87-V87-SUM(Motpart!Y36:Z36)</f>
        <v>13899</v>
      </c>
    </row>
    <row r="88" spans="1:34">
      <c r="A88" s="610" t="s">
        <v>268</v>
      </c>
      <c r="B88" s="915" t="s">
        <v>117</v>
      </c>
      <c r="C88" s="23">
        <v>6633</v>
      </c>
      <c r="D88" s="21">
        <v>2568</v>
      </c>
      <c r="E88" s="23">
        <v>308</v>
      </c>
      <c r="F88" s="23">
        <v>176</v>
      </c>
      <c r="G88" s="23">
        <v>479</v>
      </c>
      <c r="H88" s="24">
        <v>161</v>
      </c>
      <c r="I88" s="23">
        <v>221</v>
      </c>
      <c r="J88" s="109">
        <v>21</v>
      </c>
      <c r="K88" s="31"/>
      <c r="L88" s="112">
        <v>213</v>
      </c>
      <c r="M88" s="23">
        <v>710</v>
      </c>
      <c r="N88" s="24">
        <v>67</v>
      </c>
      <c r="O88" s="390">
        <v>322</v>
      </c>
      <c r="P88" s="389">
        <f>SUM(C88:O88)</f>
        <v>11879</v>
      </c>
      <c r="Q88" s="50"/>
      <c r="R88" s="112">
        <v>22</v>
      </c>
      <c r="S88" s="23">
        <v>7</v>
      </c>
      <c r="T88" s="109">
        <v>5903</v>
      </c>
      <c r="U88" s="51"/>
      <c r="V88" s="122">
        <v>866</v>
      </c>
      <c r="W88" s="424">
        <f>SUM(R88:V88)</f>
        <v>6798</v>
      </c>
      <c r="X88" s="58"/>
      <c r="Y88" s="1030">
        <v>10993</v>
      </c>
      <c r="Z88" s="1038">
        <f>(P88-W88)*1000000/invanare</f>
        <v>496.66746007037017</v>
      </c>
      <c r="AA88" s="1039">
        <f>Y88*1000000/invanare</f>
        <v>1074.5651227226097</v>
      </c>
      <c r="AB88" s="1067">
        <v>891.97471760062649</v>
      </c>
      <c r="AC88" s="1040">
        <f>IF(ISERROR((AA88-AB88)/AB88)," ",((AA88-AB88)/AB88))</f>
        <v>0.2047035656045762</v>
      </c>
      <c r="AD88" s="2351"/>
      <c r="AE88" s="1033"/>
      <c r="AF88" s="1030">
        <v>5081</v>
      </c>
      <c r="AG88" s="1773">
        <v>10677</v>
      </c>
      <c r="AH88" s="2042">
        <f>W88-V88-SUM(Motpart!Y37:Z37)</f>
        <v>5912</v>
      </c>
    </row>
    <row r="89" spans="1:34" ht="12.75" customHeight="1" thickBot="1">
      <c r="A89" s="614" t="s">
        <v>269</v>
      </c>
      <c r="B89" s="922" t="s">
        <v>118</v>
      </c>
      <c r="C89" s="402">
        <f>SUM(C87:C88)</f>
        <v>10782</v>
      </c>
      <c r="D89" s="403">
        <f t="shared" ref="D89:P89" si="23">SUM(D87:D88)</f>
        <v>4118</v>
      </c>
      <c r="E89" s="402">
        <f t="shared" si="23"/>
        <v>512</v>
      </c>
      <c r="F89" s="402">
        <f t="shared" si="23"/>
        <v>3933</v>
      </c>
      <c r="G89" s="402">
        <f t="shared" si="23"/>
        <v>1348</v>
      </c>
      <c r="H89" s="403">
        <f t="shared" si="23"/>
        <v>1504</v>
      </c>
      <c r="I89" s="402">
        <f t="shared" si="23"/>
        <v>1131</v>
      </c>
      <c r="J89" s="404">
        <f t="shared" si="23"/>
        <v>48</v>
      </c>
      <c r="K89" s="156"/>
      <c r="L89" s="401">
        <f>SUM(L87:L88)</f>
        <v>988</v>
      </c>
      <c r="M89" s="402">
        <f t="shared" si="23"/>
        <v>1931</v>
      </c>
      <c r="N89" s="403">
        <f t="shared" si="23"/>
        <v>128</v>
      </c>
      <c r="O89" s="403">
        <f t="shared" si="23"/>
        <v>626</v>
      </c>
      <c r="P89" s="404">
        <f t="shared" si="23"/>
        <v>27049</v>
      </c>
      <c r="Q89" s="53"/>
      <c r="R89" s="401">
        <f>SUM(R87:R88)</f>
        <v>39</v>
      </c>
      <c r="S89" s="402">
        <f>SUM(S87:S88)</f>
        <v>449</v>
      </c>
      <c r="T89" s="404">
        <f>SUM(T87:T88)</f>
        <v>19407</v>
      </c>
      <c r="U89" s="53"/>
      <c r="V89" s="428">
        <f>SUM(V87:V88)</f>
        <v>1491</v>
      </c>
      <c r="W89" s="427">
        <f>SUM(W87:W88)</f>
        <v>21386</v>
      </c>
      <c r="X89" s="59"/>
      <c r="Y89" s="1832">
        <v>25472</v>
      </c>
      <c r="Z89" s="1835">
        <f>(P89-W89)*1000000/invanare</f>
        <v>553.5579268605602</v>
      </c>
      <c r="AA89" s="1836">
        <f>Y89*1000000/invanare</f>
        <v>2489.8865465287286</v>
      </c>
      <c r="AB89" s="1841">
        <v>3185.0028882708534</v>
      </c>
      <c r="AC89" s="1837">
        <f>IF(ISERROR((AA89-AB89)/AB89)," ",((AA89-AB89)/AB89))</f>
        <v>-0.21824669117317674</v>
      </c>
      <c r="AD89" s="2351"/>
      <c r="AE89" s="1033"/>
      <c r="AF89" s="1664">
        <v>5661</v>
      </c>
      <c r="AG89" s="1777">
        <v>20120</v>
      </c>
      <c r="AH89" s="2047">
        <f>W89-V89-SUM(Motpart!Y36:Z37)</f>
        <v>19811</v>
      </c>
    </row>
    <row r="90" spans="1:34" ht="12.75" customHeight="1" thickBot="1">
      <c r="A90" s="614" t="s">
        <v>270</v>
      </c>
      <c r="B90" s="922" t="s">
        <v>23</v>
      </c>
      <c r="C90" s="396">
        <f t="shared" ref="C90:J90" si="24">SUM(C17,C30,C43,C68,C85,C89)</f>
        <v>253746</v>
      </c>
      <c r="D90" s="397">
        <f t="shared" si="24"/>
        <v>98017</v>
      </c>
      <c r="E90" s="396">
        <f t="shared" si="24"/>
        <v>23751</v>
      </c>
      <c r="F90" s="396">
        <f t="shared" si="24"/>
        <v>126586</v>
      </c>
      <c r="G90" s="396">
        <f t="shared" si="24"/>
        <v>38915</v>
      </c>
      <c r="H90" s="397">
        <f t="shared" si="24"/>
        <v>26208</v>
      </c>
      <c r="I90" s="396">
        <f t="shared" si="24"/>
        <v>20561</v>
      </c>
      <c r="J90" s="398">
        <f t="shared" si="24"/>
        <v>10624</v>
      </c>
      <c r="K90" s="155"/>
      <c r="L90" s="399">
        <f>SUM(L17,L30,L43,L68,L85,L89)</f>
        <v>37293</v>
      </c>
      <c r="M90" s="396">
        <f>SUM(M17,M30,M43,M68,M85,M89)</f>
        <v>82965</v>
      </c>
      <c r="N90" s="397">
        <f>SUM(N17,N30,N43,N68,N85,N89)</f>
        <v>3360</v>
      </c>
      <c r="O90" s="397">
        <f>SUM(O17,O30,O43,O68,O85,O89)</f>
        <v>15984.003851785459</v>
      </c>
      <c r="P90" s="398">
        <f>SUM(P17,P30,P43,P68,P85,P89)</f>
        <v>738015</v>
      </c>
      <c r="Q90" s="50"/>
      <c r="R90" s="399">
        <f>SUM(R17,R30,R43,R68,R85,R89)</f>
        <v>22451</v>
      </c>
      <c r="S90" s="396">
        <f>SUM(S17,S30,S43,S68,S85,S89)</f>
        <v>8064</v>
      </c>
      <c r="T90" s="398">
        <f>SUM(T17,T30,T43,T68,T85,T89)</f>
        <v>87807</v>
      </c>
      <c r="U90" s="50"/>
      <c r="V90" s="426">
        <f>SUM(V17,V30,V43,V68,V85,V89)</f>
        <v>65956</v>
      </c>
      <c r="W90" s="425">
        <f>SUM(W17,W30,W43,W68,W85,W89)</f>
        <v>184278</v>
      </c>
      <c r="X90" s="58"/>
      <c r="Y90" s="1786">
        <v>659910</v>
      </c>
      <c r="Z90" s="2413">
        <f>(P90-W90)*1000000/invanare</f>
        <v>54127.760152920011</v>
      </c>
      <c r="AA90" s="2414">
        <f>SUM(AA17,AA30,AA37,AA42,AA51,AA67,AA77,AA83,AA89)</f>
        <v>64308.416709961748</v>
      </c>
      <c r="AB90" s="2414">
        <v>62790.198100005902</v>
      </c>
      <c r="AC90" s="2415">
        <f>IF(ISERROR((AA90-AB90)/AB90)," ",((AA90-AB90)/AB90))</f>
        <v>2.4179229495944258E-2</v>
      </c>
      <c r="AD90" s="2358"/>
      <c r="AE90" s="1781">
        <f>IF(ISERROR(F90/(AA90/1000*invanare)),"",(F90/(AA90/100000*invanare)))</f>
        <v>1.9241298277667747E-2</v>
      </c>
      <c r="AF90" s="1786">
        <v>553740</v>
      </c>
      <c r="AG90" s="1787">
        <v>519273</v>
      </c>
      <c r="AH90" s="2048">
        <f>SUM(AH17,AH30,AH43,AH51,AH67,AH85,AH89)</f>
        <v>106167</v>
      </c>
    </row>
    <row r="91" spans="1:34" ht="38.25" customHeight="1">
      <c r="A91" s="920"/>
      <c r="B91" s="923" t="s">
        <v>119</v>
      </c>
      <c r="C91" s="476"/>
      <c r="D91" s="477"/>
      <c r="E91" s="478"/>
      <c r="F91" s="478"/>
      <c r="G91" s="478"/>
      <c r="H91" s="477"/>
      <c r="I91" s="478"/>
      <c r="J91" s="479"/>
      <c r="K91" s="31"/>
      <c r="L91" s="484"/>
      <c r="M91" s="478"/>
      <c r="N91" s="477"/>
      <c r="O91" s="477"/>
      <c r="P91" s="479"/>
      <c r="Q91" s="51"/>
      <c r="R91" s="484"/>
      <c r="S91" s="478"/>
      <c r="T91" s="479"/>
      <c r="U91" s="51"/>
      <c r="V91" s="486"/>
      <c r="W91" s="487"/>
      <c r="X91" s="31"/>
      <c r="Y91" s="2416"/>
      <c r="Z91" s="2373"/>
      <c r="AA91" s="2374"/>
      <c r="AB91" s="2374"/>
      <c r="AC91" s="2375"/>
      <c r="AD91" s="325"/>
      <c r="AE91" s="1033">
        <f>IF(ISERROR(F90/(AA90/1000*invanare)),"",((SUM(Motpart!D40,Motpart!F40)-SUM(Motpart!D38,Motpart!D39,Motpart!F38,Motpart!F39))/(AA90/100000*invanare)))</f>
        <v>1.5236963186687075E-2</v>
      </c>
      <c r="AF91" s="1662"/>
      <c r="AG91" s="1775"/>
      <c r="AH91" s="2045"/>
    </row>
    <row r="92" spans="1:34">
      <c r="A92" s="920"/>
      <c r="B92" s="923" t="s">
        <v>120</v>
      </c>
      <c r="C92" s="480"/>
      <c r="D92" s="481"/>
      <c r="E92" s="482"/>
      <c r="F92" s="482"/>
      <c r="G92" s="482"/>
      <c r="H92" s="481"/>
      <c r="I92" s="482"/>
      <c r="J92" s="483"/>
      <c r="K92" s="31"/>
      <c r="L92" s="485"/>
      <c r="M92" s="482"/>
      <c r="N92" s="481"/>
      <c r="O92" s="481"/>
      <c r="P92" s="483"/>
      <c r="Q92" s="51"/>
      <c r="R92" s="485"/>
      <c r="S92" s="482"/>
      <c r="T92" s="483"/>
      <c r="U92" s="51"/>
      <c r="V92" s="488"/>
      <c r="W92" s="489"/>
      <c r="X92" s="31"/>
      <c r="Y92" s="1059"/>
      <c r="Z92" s="1023"/>
      <c r="AA92" s="2379"/>
      <c r="AB92" s="2380"/>
      <c r="AC92" s="2418"/>
      <c r="AD92" s="325"/>
      <c r="AE92" s="1054">
        <f>(C113-C109+D113-D109)*1000/invanare</f>
        <v>37.20685403049896</v>
      </c>
      <c r="AF92" s="1059"/>
      <c r="AG92" s="1774"/>
      <c r="AH92" s="2046"/>
    </row>
    <row r="93" spans="1:34" s="557" customFormat="1">
      <c r="A93" s="935" t="s">
        <v>271</v>
      </c>
      <c r="B93" s="936" t="s">
        <v>121</v>
      </c>
      <c r="C93" s="68">
        <v>164</v>
      </c>
      <c r="D93" s="1524">
        <v>66</v>
      </c>
      <c r="E93" s="68">
        <v>495</v>
      </c>
      <c r="F93" s="68">
        <v>26</v>
      </c>
      <c r="G93" s="68">
        <v>506</v>
      </c>
      <c r="H93" s="1524">
        <v>13</v>
      </c>
      <c r="I93" s="68">
        <v>212</v>
      </c>
      <c r="J93" s="107">
        <v>549</v>
      </c>
      <c r="K93" s="553"/>
      <c r="L93" s="461">
        <v>90</v>
      </c>
      <c r="M93" s="68">
        <v>157</v>
      </c>
      <c r="N93" s="1524">
        <v>3</v>
      </c>
      <c r="O93" s="1525">
        <v>77</v>
      </c>
      <c r="P93" s="458">
        <f>SUM(C93:O93)</f>
        <v>2358</v>
      </c>
      <c r="Q93" s="554"/>
      <c r="R93" s="461">
        <v>62</v>
      </c>
      <c r="S93" s="68">
        <v>1224</v>
      </c>
      <c r="T93" s="107">
        <v>1702</v>
      </c>
      <c r="U93" s="555"/>
      <c r="V93" s="1526">
        <v>496</v>
      </c>
      <c r="W93" s="1527">
        <f>SUM(R93:V93)</f>
        <v>3484</v>
      </c>
      <c r="X93" s="556"/>
      <c r="Y93" s="1030">
        <v>1861</v>
      </c>
      <c r="Z93" s="2407"/>
      <c r="AA93" s="2412"/>
      <c r="AB93" s="2412"/>
      <c r="AC93" s="2419"/>
      <c r="AD93" s="2359"/>
      <c r="AE93" s="1070">
        <f>IF(ISERROR(F90/(AA90/1000*invanare)),"",AE92*invanare/10/(P125-P109+J109))</f>
        <v>56.494610026552834</v>
      </c>
      <c r="AF93" s="1030">
        <v>-1125</v>
      </c>
      <c r="AG93" s="1773">
        <v>1824</v>
      </c>
      <c r="AH93" s="2042">
        <f>W93-V93-(IF(AND(Motpart!$Y$38="",Motpart!$Z$38=""),0,IF(AND(Motpart!$Y$38=0,Motpart!$Z$38=0),0,((T93/$T$109)*(Motpart!$Y$38+Motpart!$Z$38)))))</f>
        <v>2936.4242424242425</v>
      </c>
    </row>
    <row r="94" spans="1:34">
      <c r="A94" s="610" t="s">
        <v>272</v>
      </c>
      <c r="B94" s="915" t="s">
        <v>24</v>
      </c>
      <c r="C94" s="23">
        <v>33</v>
      </c>
      <c r="D94" s="21">
        <v>13</v>
      </c>
      <c r="E94" s="23">
        <v>62</v>
      </c>
      <c r="F94" s="23">
        <v>35</v>
      </c>
      <c r="G94" s="23">
        <v>33</v>
      </c>
      <c r="H94" s="24">
        <v>2</v>
      </c>
      <c r="I94" s="23">
        <v>3</v>
      </c>
      <c r="J94" s="109">
        <v>273</v>
      </c>
      <c r="K94" s="31"/>
      <c r="L94" s="112">
        <v>7</v>
      </c>
      <c r="M94" s="23">
        <v>51</v>
      </c>
      <c r="N94" s="24">
        <v>1</v>
      </c>
      <c r="O94" s="390">
        <v>13</v>
      </c>
      <c r="P94" s="389">
        <f>SUM(C94:O94)</f>
        <v>526</v>
      </c>
      <c r="Q94" s="50"/>
      <c r="R94" s="112">
        <v>133</v>
      </c>
      <c r="S94" s="23">
        <v>35</v>
      </c>
      <c r="T94" s="109">
        <v>353</v>
      </c>
      <c r="U94" s="51"/>
      <c r="V94" s="122">
        <v>29</v>
      </c>
      <c r="W94" s="424">
        <f>SUM(R94:V94)</f>
        <v>550</v>
      </c>
      <c r="X94" s="58"/>
      <c r="Y94" s="1030">
        <v>481</v>
      </c>
      <c r="Z94" s="1023"/>
      <c r="AA94" s="2379"/>
      <c r="AB94" s="2380"/>
      <c r="AC94" s="2418"/>
      <c r="AD94" s="325"/>
      <c r="AE94" s="1033"/>
      <c r="AF94" s="1030">
        <v>-23</v>
      </c>
      <c r="AG94" s="1773">
        <v>460</v>
      </c>
      <c r="AH94" s="2042">
        <f>W94-V94-(IF(AND(Motpart!$Y$38="",Motpart!$Z$38=""),0,IF(AND(Motpart!$Y$38=0,Motpart!$Z$38=0),0,((T94/$T$109)*(Motpart!$Y$38+Motpart!$Z$38)))))</f>
        <v>510.30303030303031</v>
      </c>
    </row>
    <row r="95" spans="1:34">
      <c r="A95" s="610" t="s">
        <v>273</v>
      </c>
      <c r="B95" s="915" t="s">
        <v>25</v>
      </c>
      <c r="C95" s="23">
        <v>204</v>
      </c>
      <c r="D95" s="21">
        <v>78</v>
      </c>
      <c r="E95" s="23">
        <v>222</v>
      </c>
      <c r="F95" s="23">
        <v>75</v>
      </c>
      <c r="G95" s="23">
        <v>281</v>
      </c>
      <c r="H95" s="24">
        <v>16</v>
      </c>
      <c r="I95" s="23">
        <v>43</v>
      </c>
      <c r="J95" s="109">
        <v>206</v>
      </c>
      <c r="K95" s="31"/>
      <c r="L95" s="112">
        <v>27</v>
      </c>
      <c r="M95" s="23">
        <v>182</v>
      </c>
      <c r="N95" s="24">
        <v>2</v>
      </c>
      <c r="O95" s="390">
        <v>29</v>
      </c>
      <c r="P95" s="389">
        <f>SUM(C95:O95)</f>
        <v>1365</v>
      </c>
      <c r="Q95" s="50"/>
      <c r="R95" s="112">
        <v>167</v>
      </c>
      <c r="S95" s="23">
        <v>130</v>
      </c>
      <c r="T95" s="109">
        <v>1148</v>
      </c>
      <c r="U95" s="51"/>
      <c r="V95" s="122">
        <v>369</v>
      </c>
      <c r="W95" s="424">
        <f>SUM(R95:V95)</f>
        <v>1814</v>
      </c>
      <c r="X95" s="58"/>
      <c r="Y95" s="1030">
        <v>948</v>
      </c>
      <c r="Z95" s="1023"/>
      <c r="AA95" s="2379"/>
      <c r="AB95" s="2380"/>
      <c r="AC95" s="2418"/>
      <c r="AD95" s="325"/>
      <c r="AE95" s="1033"/>
      <c r="AF95" s="1030">
        <v>-448</v>
      </c>
      <c r="AG95" s="1773">
        <v>904</v>
      </c>
      <c r="AH95" s="2042">
        <f>W95-V95-(IF(AND(Motpart!$Y$38="",Motpart!$Z$38=""),0,IF(AND(Motpart!$Y$38=0,Motpart!$Z$38=0),0,((T95/$T$109)*(Motpart!$Y$38+Motpart!$Z$38)))))</f>
        <v>1410.2121212121212</v>
      </c>
    </row>
    <row r="96" spans="1:34">
      <c r="A96" s="610" t="s">
        <v>274</v>
      </c>
      <c r="B96" s="915" t="s">
        <v>26</v>
      </c>
      <c r="C96" s="23">
        <v>184</v>
      </c>
      <c r="D96" s="21">
        <v>72</v>
      </c>
      <c r="E96" s="23">
        <v>192</v>
      </c>
      <c r="F96" s="23">
        <v>9</v>
      </c>
      <c r="G96" s="23">
        <v>244</v>
      </c>
      <c r="H96" s="24">
        <v>14</v>
      </c>
      <c r="I96" s="23">
        <v>636</v>
      </c>
      <c r="J96" s="109">
        <v>1441</v>
      </c>
      <c r="K96" s="31"/>
      <c r="L96" s="112">
        <v>129</v>
      </c>
      <c r="M96" s="23">
        <v>176</v>
      </c>
      <c r="N96" s="24">
        <v>-2</v>
      </c>
      <c r="O96" s="390">
        <v>130</v>
      </c>
      <c r="P96" s="389">
        <f>SUM(C96:O96)</f>
        <v>3225</v>
      </c>
      <c r="Q96" s="50"/>
      <c r="R96" s="112">
        <v>11</v>
      </c>
      <c r="S96" s="23">
        <v>773</v>
      </c>
      <c r="T96" s="109">
        <v>2014</v>
      </c>
      <c r="U96" s="51"/>
      <c r="V96" s="122">
        <v>374</v>
      </c>
      <c r="W96" s="424">
        <f>SUM(R96:V96)</f>
        <v>3172</v>
      </c>
      <c r="X96" s="58"/>
      <c r="Y96" s="1030">
        <v>2825</v>
      </c>
      <c r="Z96" s="1023"/>
      <c r="AA96" s="2379"/>
      <c r="AB96" s="2380"/>
      <c r="AC96" s="2418"/>
      <c r="AD96" s="325"/>
      <c r="AE96" s="1033"/>
      <c r="AF96" s="1030">
        <v>54</v>
      </c>
      <c r="AG96" s="1773">
        <v>2828</v>
      </c>
      <c r="AH96" s="2042">
        <f>W96-V96-(IF(AND(Motpart!$Y$38="",Motpart!$Z$38=""),0,IF(AND(Motpart!$Y$38=0,Motpart!$Z$38=0),0,((T96/$T$109)*(Motpart!$Y$38+Motpart!$Z$38)))))</f>
        <v>2736.969696969697</v>
      </c>
    </row>
    <row r="97" spans="1:34">
      <c r="A97" s="610" t="s">
        <v>275</v>
      </c>
      <c r="B97" s="915" t="s">
        <v>27</v>
      </c>
      <c r="C97" s="382">
        <f>SUM(C93:C96)</f>
        <v>585</v>
      </c>
      <c r="D97" s="26">
        <f t="shared" ref="D97:P97" si="25">SUM(D93:D96)</f>
        <v>229</v>
      </c>
      <c r="E97" s="382">
        <f t="shared" si="25"/>
        <v>971</v>
      </c>
      <c r="F97" s="382">
        <f t="shared" si="25"/>
        <v>145</v>
      </c>
      <c r="G97" s="382">
        <f t="shared" si="25"/>
        <v>1064</v>
      </c>
      <c r="H97" s="26">
        <f t="shared" si="25"/>
        <v>45</v>
      </c>
      <c r="I97" s="382">
        <f t="shared" si="25"/>
        <v>894</v>
      </c>
      <c r="J97" s="113">
        <f t="shared" si="25"/>
        <v>2469</v>
      </c>
      <c r="K97" s="155"/>
      <c r="L97" s="391">
        <f>SUM(L93:L96)</f>
        <v>253</v>
      </c>
      <c r="M97" s="382">
        <f t="shared" si="25"/>
        <v>566</v>
      </c>
      <c r="N97" s="26">
        <f t="shared" si="25"/>
        <v>4</v>
      </c>
      <c r="O97" s="26">
        <f t="shared" si="25"/>
        <v>249</v>
      </c>
      <c r="P97" s="113">
        <f t="shared" si="25"/>
        <v>7474</v>
      </c>
      <c r="Q97" s="50"/>
      <c r="R97" s="391">
        <f>SUM(R93:R96)</f>
        <v>373</v>
      </c>
      <c r="S97" s="382">
        <f>SUM(S93:S96)</f>
        <v>2162</v>
      </c>
      <c r="T97" s="113">
        <f>SUM(T93:T96)</f>
        <v>5217</v>
      </c>
      <c r="U97" s="51"/>
      <c r="V97" s="125">
        <f>SUM(V93:V96)</f>
        <v>1268</v>
      </c>
      <c r="W97" s="126">
        <f>SUM(W93:W96)</f>
        <v>9020</v>
      </c>
      <c r="X97" s="58"/>
      <c r="Y97" s="1030">
        <v>6114</v>
      </c>
      <c r="Z97" s="1023"/>
      <c r="AA97" s="2379"/>
      <c r="AB97" s="2380"/>
      <c r="AC97" s="2418"/>
      <c r="AD97" s="325"/>
      <c r="AE97" s="1033"/>
      <c r="AF97" s="1030">
        <v>-1542</v>
      </c>
      <c r="AG97" s="1773">
        <v>6017</v>
      </c>
      <c r="AH97" s="2042">
        <f>SUM(AH93:AH96)</f>
        <v>7593.909090909091</v>
      </c>
    </row>
    <row r="98" spans="1:34">
      <c r="A98" s="931"/>
      <c r="B98" s="928" t="s">
        <v>122</v>
      </c>
      <c r="C98" s="496"/>
      <c r="D98" s="495"/>
      <c r="E98" s="493"/>
      <c r="F98" s="493"/>
      <c r="G98" s="493"/>
      <c r="H98" s="495"/>
      <c r="I98" s="493"/>
      <c r="J98" s="494"/>
      <c r="K98" s="31"/>
      <c r="L98" s="492"/>
      <c r="M98" s="493"/>
      <c r="N98" s="495"/>
      <c r="O98" s="495"/>
      <c r="P98" s="494"/>
      <c r="Q98" s="51"/>
      <c r="R98" s="492"/>
      <c r="S98" s="493"/>
      <c r="T98" s="494"/>
      <c r="U98" s="51"/>
      <c r="V98" s="490"/>
      <c r="W98" s="491"/>
      <c r="X98" s="31"/>
      <c r="Y98" s="1030"/>
      <c r="Z98" s="1023"/>
      <c r="AA98" s="2379"/>
      <c r="AB98" s="2380"/>
      <c r="AC98" s="2418"/>
      <c r="AD98" s="325"/>
      <c r="AE98" s="1033"/>
      <c r="AF98" s="1030"/>
      <c r="AG98" s="1773"/>
      <c r="AH98" s="2042"/>
    </row>
    <row r="99" spans="1:34">
      <c r="A99" s="610" t="s">
        <v>276</v>
      </c>
      <c r="B99" s="918" t="s">
        <v>123</v>
      </c>
      <c r="C99" s="20">
        <v>25</v>
      </c>
      <c r="D99" s="21">
        <v>10</v>
      </c>
      <c r="E99" s="20">
        <v>13</v>
      </c>
      <c r="F99" s="20">
        <v>9</v>
      </c>
      <c r="G99" s="20">
        <v>280</v>
      </c>
      <c r="H99" s="21">
        <v>96</v>
      </c>
      <c r="I99" s="20">
        <v>0</v>
      </c>
      <c r="J99" s="108">
        <v>30</v>
      </c>
      <c r="K99" s="31"/>
      <c r="L99" s="111">
        <v>3</v>
      </c>
      <c r="M99" s="20">
        <v>5</v>
      </c>
      <c r="N99" s="21">
        <v>0</v>
      </c>
      <c r="O99" s="390">
        <v>11</v>
      </c>
      <c r="P99" s="389">
        <f>SUM(C99:O99)</f>
        <v>482</v>
      </c>
      <c r="Q99" s="50"/>
      <c r="R99" s="111">
        <v>17</v>
      </c>
      <c r="S99" s="20">
        <v>4</v>
      </c>
      <c r="T99" s="108">
        <v>109</v>
      </c>
      <c r="U99" s="51"/>
      <c r="V99" s="121">
        <v>3</v>
      </c>
      <c r="W99" s="424">
        <f>SUM(R99:V99)</f>
        <v>133</v>
      </c>
      <c r="X99" s="58"/>
      <c r="Y99" s="1030">
        <v>478</v>
      </c>
      <c r="Z99" s="1023"/>
      <c r="AA99" s="2379"/>
      <c r="AB99" s="2380"/>
      <c r="AC99" s="2363"/>
      <c r="AD99" s="2421"/>
      <c r="AE99" s="1033"/>
      <c r="AF99" s="1030">
        <v>348</v>
      </c>
      <c r="AG99" s="1773">
        <v>374</v>
      </c>
      <c r="AH99" s="2042">
        <f>W99-V99-(IF(AND(Motpart!$Y$38="",Motpart!$Z$38=""),0,IF(AND(Motpart!$Y$38=0,Motpart!$Z$38=0),0,((T99/$T$109)*(Motpart!$Y$38+Motpart!$Z$38)))))</f>
        <v>126.6969696969697</v>
      </c>
    </row>
    <row r="100" spans="1:34">
      <c r="A100" s="610" t="s">
        <v>277</v>
      </c>
      <c r="B100" s="926" t="s">
        <v>931</v>
      </c>
      <c r="C100" s="23">
        <v>128</v>
      </c>
      <c r="D100" s="21">
        <v>50</v>
      </c>
      <c r="E100" s="23">
        <v>44</v>
      </c>
      <c r="F100" s="23">
        <v>1957</v>
      </c>
      <c r="G100" s="23">
        <v>401</v>
      </c>
      <c r="H100" s="24">
        <v>1292</v>
      </c>
      <c r="I100" s="23">
        <v>29</v>
      </c>
      <c r="J100" s="109">
        <v>75</v>
      </c>
      <c r="K100" s="31"/>
      <c r="L100" s="112">
        <v>19</v>
      </c>
      <c r="M100" s="23">
        <v>55</v>
      </c>
      <c r="N100" s="24">
        <v>4</v>
      </c>
      <c r="O100" s="390">
        <v>18</v>
      </c>
      <c r="P100" s="389">
        <f>SUM(C100:O100)</f>
        <v>4072</v>
      </c>
      <c r="Q100" s="50"/>
      <c r="R100" s="2113">
        <v>126</v>
      </c>
      <c r="S100" s="23">
        <v>15</v>
      </c>
      <c r="T100" s="109">
        <v>1034</v>
      </c>
      <c r="U100" s="51"/>
      <c r="V100" s="122">
        <v>84</v>
      </c>
      <c r="W100" s="424">
        <f>SUM(R100:V100)</f>
        <v>1259</v>
      </c>
      <c r="X100" s="58"/>
      <c r="Y100" s="1030">
        <v>3986</v>
      </c>
      <c r="Z100" s="2408"/>
      <c r="AA100" s="2379"/>
      <c r="AB100" s="2380"/>
      <c r="AC100" s="2363"/>
      <c r="AD100" s="2422"/>
      <c r="AE100" s="1054"/>
      <c r="AF100" s="1030">
        <v>2812</v>
      </c>
      <c r="AG100" s="1773">
        <v>738</v>
      </c>
      <c r="AH100" s="2042">
        <f>W100-V100-(IF(AND(Motpart!$Y$38="",Motpart!$Z$38=""),0,IF(AND(Motpart!$Y$38=0,Motpart!$Z$38=0),0,((T100/$T$109)*(Motpart!$Y$38+Motpart!$Z$38)))))</f>
        <v>1143.6666666666667</v>
      </c>
    </row>
    <row r="101" spans="1:34">
      <c r="A101" s="610" t="s">
        <v>278</v>
      </c>
      <c r="B101" s="915" t="s">
        <v>28</v>
      </c>
      <c r="C101" s="23">
        <v>15</v>
      </c>
      <c r="D101" s="21">
        <v>5</v>
      </c>
      <c r="E101" s="23">
        <v>6</v>
      </c>
      <c r="F101" s="23">
        <v>82</v>
      </c>
      <c r="G101" s="23">
        <v>8</v>
      </c>
      <c r="H101" s="24">
        <v>3</v>
      </c>
      <c r="I101" s="23">
        <v>0</v>
      </c>
      <c r="J101" s="109">
        <v>5</v>
      </c>
      <c r="K101" s="31"/>
      <c r="L101" s="112">
        <v>0</v>
      </c>
      <c r="M101" s="23">
        <v>3</v>
      </c>
      <c r="N101" s="24">
        <v>0</v>
      </c>
      <c r="O101" s="390">
        <v>2</v>
      </c>
      <c r="P101" s="389">
        <f>SUM(C101:O101)</f>
        <v>129</v>
      </c>
      <c r="Q101" s="50"/>
      <c r="R101" s="112">
        <v>28</v>
      </c>
      <c r="S101" s="23">
        <v>0</v>
      </c>
      <c r="T101" s="109">
        <v>82</v>
      </c>
      <c r="U101" s="51"/>
      <c r="V101" s="122">
        <v>2</v>
      </c>
      <c r="W101" s="424">
        <f>SUM(R101:V101)</f>
        <v>112</v>
      </c>
      <c r="X101" s="58"/>
      <c r="Y101" s="1030">
        <v>126</v>
      </c>
      <c r="Z101" s="1023"/>
      <c r="AA101" s="2379"/>
      <c r="AB101" s="2380"/>
      <c r="AC101" s="2363"/>
      <c r="AD101" s="2350"/>
      <c r="AE101" s="1033"/>
      <c r="AF101" s="1030">
        <v>16</v>
      </c>
      <c r="AG101" s="1773">
        <v>42</v>
      </c>
      <c r="AH101" s="2042">
        <f>W101-V101-(IF(AND(Motpart!$Y$38="",Motpart!$Z$38=""),0,IF(AND(Motpart!$Y$38=0,Motpart!$Z$38=0),0,((T101/$T$109)*(Motpart!$Y$38+Motpart!$Z$38)))))</f>
        <v>107.51515151515152</v>
      </c>
    </row>
    <row r="102" spans="1:34">
      <c r="A102" s="610" t="s">
        <v>279</v>
      </c>
      <c r="B102" s="915" t="s">
        <v>29</v>
      </c>
      <c r="C102" s="382">
        <f>SUM(C99:C101)</f>
        <v>168</v>
      </c>
      <c r="D102" s="26">
        <f t="shared" ref="D102:P102" si="26">SUM(D99:D101)</f>
        <v>65</v>
      </c>
      <c r="E102" s="382">
        <f t="shared" si="26"/>
        <v>63</v>
      </c>
      <c r="F102" s="382">
        <f t="shared" si="26"/>
        <v>2048</v>
      </c>
      <c r="G102" s="382">
        <f t="shared" si="26"/>
        <v>689</v>
      </c>
      <c r="H102" s="26">
        <f t="shared" si="26"/>
        <v>1391</v>
      </c>
      <c r="I102" s="382">
        <f t="shared" si="26"/>
        <v>29</v>
      </c>
      <c r="J102" s="113">
        <f t="shared" si="26"/>
        <v>110</v>
      </c>
      <c r="K102" s="155"/>
      <c r="L102" s="391">
        <f>SUM(L99:L101)</f>
        <v>22</v>
      </c>
      <c r="M102" s="382">
        <f t="shared" si="26"/>
        <v>63</v>
      </c>
      <c r="N102" s="26">
        <f t="shared" si="26"/>
        <v>4</v>
      </c>
      <c r="O102" s="26">
        <f t="shared" si="26"/>
        <v>31</v>
      </c>
      <c r="P102" s="113">
        <f t="shared" si="26"/>
        <v>4683</v>
      </c>
      <c r="Q102" s="50"/>
      <c r="R102" s="391">
        <f>SUM(R99:R101)</f>
        <v>171</v>
      </c>
      <c r="S102" s="382">
        <f>SUM(S99:S101)</f>
        <v>19</v>
      </c>
      <c r="T102" s="113">
        <f>SUM(T99:T101)</f>
        <v>1225</v>
      </c>
      <c r="U102" s="50"/>
      <c r="V102" s="125">
        <f>SUM(V99:V101)</f>
        <v>89</v>
      </c>
      <c r="W102" s="126">
        <f>SUM(W99:W101)</f>
        <v>1504</v>
      </c>
      <c r="X102" s="58"/>
      <c r="Y102" s="1030">
        <v>4590</v>
      </c>
      <c r="Z102" s="1023"/>
      <c r="AA102" s="2379"/>
      <c r="AB102" s="2380"/>
      <c r="AC102" s="2363"/>
      <c r="AD102" s="2350"/>
      <c r="AE102" s="1033"/>
      <c r="AF102" s="1030">
        <v>3176</v>
      </c>
      <c r="AG102" s="1773">
        <v>1154</v>
      </c>
      <c r="AH102" s="2042">
        <f>SUM(AH99:AH101)</f>
        <v>1377.878787878788</v>
      </c>
    </row>
    <row r="103" spans="1:34">
      <c r="A103" s="931"/>
      <c r="B103" s="928" t="s">
        <v>124</v>
      </c>
      <c r="C103" s="496"/>
      <c r="D103" s="495"/>
      <c r="E103" s="493"/>
      <c r="F103" s="493"/>
      <c r="G103" s="493"/>
      <c r="H103" s="495"/>
      <c r="I103" s="493"/>
      <c r="J103" s="494"/>
      <c r="K103" s="31"/>
      <c r="L103" s="492"/>
      <c r="M103" s="493"/>
      <c r="N103" s="495"/>
      <c r="O103" s="495"/>
      <c r="P103" s="494"/>
      <c r="Q103" s="51"/>
      <c r="R103" s="492"/>
      <c r="S103" s="493"/>
      <c r="T103" s="494"/>
      <c r="U103" s="51"/>
      <c r="V103" s="490"/>
      <c r="W103" s="491"/>
      <c r="X103" s="31"/>
      <c r="Y103" s="1030"/>
      <c r="Z103" s="1022"/>
      <c r="AA103" s="2385"/>
      <c r="AB103" s="2377"/>
      <c r="AC103" s="2372"/>
      <c r="AD103" s="2350"/>
      <c r="AE103" s="1033"/>
      <c r="AF103" s="1030"/>
      <c r="AG103" s="1773"/>
      <c r="AH103" s="2042"/>
    </row>
    <row r="104" spans="1:34">
      <c r="A104" s="610" t="s">
        <v>280</v>
      </c>
      <c r="B104" s="918" t="s">
        <v>125</v>
      </c>
      <c r="C104" s="20">
        <v>29</v>
      </c>
      <c r="D104" s="21">
        <v>11</v>
      </c>
      <c r="E104" s="20">
        <v>240</v>
      </c>
      <c r="F104" s="20">
        <v>13</v>
      </c>
      <c r="G104" s="20">
        <v>150</v>
      </c>
      <c r="H104" s="21">
        <v>0</v>
      </c>
      <c r="I104" s="20">
        <v>1</v>
      </c>
      <c r="J104" s="108">
        <v>125</v>
      </c>
      <c r="K104" s="31"/>
      <c r="L104" s="111">
        <v>1</v>
      </c>
      <c r="M104" s="20">
        <v>43</v>
      </c>
      <c r="N104" s="21">
        <v>0</v>
      </c>
      <c r="O104" s="390">
        <v>12</v>
      </c>
      <c r="P104" s="389">
        <f>SUM(C104:O104)</f>
        <v>625</v>
      </c>
      <c r="Q104" s="50"/>
      <c r="R104" s="2115">
        <v>215</v>
      </c>
      <c r="S104" s="20">
        <v>0</v>
      </c>
      <c r="T104" s="108">
        <v>558</v>
      </c>
      <c r="U104" s="51"/>
      <c r="V104" s="121">
        <v>87</v>
      </c>
      <c r="W104" s="424">
        <f>SUM(R104:V104)</f>
        <v>860</v>
      </c>
      <c r="X104" s="58"/>
      <c r="Y104" s="1030">
        <v>539</v>
      </c>
      <c r="Z104" s="2409"/>
      <c r="AA104" s="2382"/>
      <c r="AB104" s="2382"/>
      <c r="AC104" s="2364"/>
      <c r="AD104" s="2350"/>
      <c r="AE104" s="1033"/>
      <c r="AF104" s="1030">
        <v>-234</v>
      </c>
      <c r="AG104" s="1773">
        <v>525</v>
      </c>
      <c r="AH104" s="2042">
        <f>W104-V104-(IF(AND(Motpart!$Y$38="",Motpart!$Z$38=""),0,IF(AND(Motpart!$Y$38=0,Motpart!$Z$38=0),0,((T104/$T$109)*(Motpart!$Y$38+Motpart!$Z$38)))))</f>
        <v>756.09090909090912</v>
      </c>
    </row>
    <row r="105" spans="1:34">
      <c r="A105" s="610" t="s">
        <v>281</v>
      </c>
      <c r="B105" s="915" t="s">
        <v>30</v>
      </c>
      <c r="C105" s="23">
        <v>11</v>
      </c>
      <c r="D105" s="21">
        <v>4</v>
      </c>
      <c r="E105" s="23">
        <v>97</v>
      </c>
      <c r="F105" s="23">
        <v>5</v>
      </c>
      <c r="G105" s="23">
        <v>16</v>
      </c>
      <c r="H105" s="24">
        <v>3</v>
      </c>
      <c r="I105" s="23">
        <v>0</v>
      </c>
      <c r="J105" s="109">
        <v>35</v>
      </c>
      <c r="K105" s="31"/>
      <c r="L105" s="112">
        <v>1</v>
      </c>
      <c r="M105" s="23">
        <v>22</v>
      </c>
      <c r="N105" s="24">
        <v>0</v>
      </c>
      <c r="O105" s="390">
        <v>6</v>
      </c>
      <c r="P105" s="389">
        <f>SUM(C105:O105)</f>
        <v>200</v>
      </c>
      <c r="Q105" s="50"/>
      <c r="R105" s="2113">
        <v>137</v>
      </c>
      <c r="S105" s="23">
        <v>0</v>
      </c>
      <c r="T105" s="109">
        <v>18</v>
      </c>
      <c r="U105" s="51"/>
      <c r="V105" s="122">
        <v>50</v>
      </c>
      <c r="W105" s="424">
        <f>SUM(R105:V105)</f>
        <v>205</v>
      </c>
      <c r="X105" s="58"/>
      <c r="Y105" s="1030">
        <v>151</v>
      </c>
      <c r="Z105" s="2410"/>
      <c r="AA105" s="2382"/>
      <c r="AB105" s="2382"/>
      <c r="AC105" s="2364"/>
      <c r="AD105" s="2350"/>
      <c r="AE105" s="1033"/>
      <c r="AF105" s="1030">
        <v>-4</v>
      </c>
      <c r="AG105" s="1773">
        <v>144</v>
      </c>
      <c r="AH105" s="2042">
        <f>W105-V105-(IF(AND(Motpart!$Y$38="",Motpart!$Z$38=""),0,IF(AND(Motpart!$Y$38=0,Motpart!$Z$38=0),0,((T105/$T$109)*(Motpart!$Y$38+Motpart!$Z$38)))))</f>
        <v>154.45454545454547</v>
      </c>
    </row>
    <row r="106" spans="1:34">
      <c r="A106" s="610" t="s">
        <v>282</v>
      </c>
      <c r="B106" s="915" t="s">
        <v>31</v>
      </c>
      <c r="C106" s="23">
        <v>1501</v>
      </c>
      <c r="D106" s="21">
        <v>566</v>
      </c>
      <c r="E106" s="23">
        <v>2429</v>
      </c>
      <c r="F106" s="23">
        <v>1445</v>
      </c>
      <c r="G106" s="23">
        <v>1232</v>
      </c>
      <c r="H106" s="24">
        <v>5</v>
      </c>
      <c r="I106" s="23">
        <v>27</v>
      </c>
      <c r="J106" s="109">
        <v>2231</v>
      </c>
      <c r="K106" s="31"/>
      <c r="L106" s="112">
        <v>64</v>
      </c>
      <c r="M106" s="23">
        <v>1346</v>
      </c>
      <c r="N106" s="24">
        <v>27</v>
      </c>
      <c r="O106" s="390">
        <v>246</v>
      </c>
      <c r="P106" s="389">
        <f>SUM(C106:O106)</f>
        <v>11119</v>
      </c>
      <c r="Q106" s="50"/>
      <c r="R106" s="2113">
        <v>9283</v>
      </c>
      <c r="S106" s="23">
        <v>10</v>
      </c>
      <c r="T106" s="109">
        <v>553</v>
      </c>
      <c r="U106" s="51"/>
      <c r="V106" s="122">
        <v>1218</v>
      </c>
      <c r="W106" s="424">
        <f>SUM(R106:V106)</f>
        <v>11064</v>
      </c>
      <c r="X106" s="58"/>
      <c r="Y106" s="1030">
        <v>9768</v>
      </c>
      <c r="Z106" s="2410"/>
      <c r="AA106" s="2382"/>
      <c r="AB106" s="2382"/>
      <c r="AC106" s="2364"/>
      <c r="AD106" s="2350"/>
      <c r="AE106" s="1033"/>
      <c r="AF106" s="1030">
        <v>57</v>
      </c>
      <c r="AG106" s="1773">
        <v>8453</v>
      </c>
      <c r="AH106" s="2042">
        <f>W106-V106-(IF(AND(Motpart!$Y$38="",Motpart!$Z$38=""),0,IF(AND(Motpart!$Y$38=0,Motpart!$Z$38=0),0,((T106/$T$109)*(Motpart!$Y$38+Motpart!$Z$38)))))</f>
        <v>9829.242424242424</v>
      </c>
    </row>
    <row r="107" spans="1:34">
      <c r="A107" s="610" t="s">
        <v>283</v>
      </c>
      <c r="B107" s="915" t="s">
        <v>32</v>
      </c>
      <c r="C107" s="23">
        <v>510</v>
      </c>
      <c r="D107" s="21">
        <v>198</v>
      </c>
      <c r="E107" s="23">
        <v>304</v>
      </c>
      <c r="F107" s="23">
        <v>1932</v>
      </c>
      <c r="G107" s="23">
        <v>670</v>
      </c>
      <c r="H107" s="24">
        <v>2</v>
      </c>
      <c r="I107" s="23">
        <v>11</v>
      </c>
      <c r="J107" s="109">
        <v>213</v>
      </c>
      <c r="K107" s="31"/>
      <c r="L107" s="112">
        <v>35</v>
      </c>
      <c r="M107" s="23">
        <v>500</v>
      </c>
      <c r="N107" s="24">
        <v>7</v>
      </c>
      <c r="O107" s="390">
        <v>59</v>
      </c>
      <c r="P107" s="389">
        <f>SUM(C107:O107)</f>
        <v>4441</v>
      </c>
      <c r="Q107" s="50"/>
      <c r="R107" s="2113">
        <v>3623</v>
      </c>
      <c r="S107" s="23">
        <v>5</v>
      </c>
      <c r="T107" s="109">
        <v>316</v>
      </c>
      <c r="U107" s="51"/>
      <c r="V107" s="122">
        <v>385</v>
      </c>
      <c r="W107" s="424">
        <f>SUM(R107:V107)</f>
        <v>4329</v>
      </c>
      <c r="X107" s="58"/>
      <c r="Y107" s="1030">
        <v>4048</v>
      </c>
      <c r="Z107" s="2410"/>
      <c r="AA107" s="2382"/>
      <c r="AB107" s="2382"/>
      <c r="AC107" s="2364"/>
      <c r="AD107" s="2350"/>
      <c r="AE107" s="1033"/>
      <c r="AF107" s="1030">
        <v>112</v>
      </c>
      <c r="AG107" s="1773">
        <v>2122</v>
      </c>
      <c r="AH107" s="2042">
        <f>W107-V107-(IF(AND(Motpart!$Y$38="",Motpart!$Z$38=""),0,IF(AND(Motpart!$Y$38=0,Motpart!$Z$38=0),0,((T107/$T$109)*(Motpart!$Y$38+Motpart!$Z$38)))))</f>
        <v>3934.4242424242425</v>
      </c>
    </row>
    <row r="108" spans="1:34" ht="12.75" customHeight="1">
      <c r="A108" s="610" t="s">
        <v>284</v>
      </c>
      <c r="B108" s="915" t="s">
        <v>126</v>
      </c>
      <c r="C108" s="382">
        <f>SUM(C104:C107)</f>
        <v>2051</v>
      </c>
      <c r="D108" s="26">
        <f t="shared" ref="D108:P108" si="27">SUM(D104:D107)</f>
        <v>779</v>
      </c>
      <c r="E108" s="382">
        <f t="shared" si="27"/>
        <v>3070</v>
      </c>
      <c r="F108" s="382">
        <f t="shared" si="27"/>
        <v>3395</v>
      </c>
      <c r="G108" s="382">
        <f t="shared" si="27"/>
        <v>2068</v>
      </c>
      <c r="H108" s="26">
        <f t="shared" si="27"/>
        <v>10</v>
      </c>
      <c r="I108" s="382">
        <f t="shared" si="27"/>
        <v>39</v>
      </c>
      <c r="J108" s="113">
        <f t="shared" si="27"/>
        <v>2604</v>
      </c>
      <c r="K108" s="155"/>
      <c r="L108" s="391">
        <f>SUM(L104:L107)</f>
        <v>101</v>
      </c>
      <c r="M108" s="382">
        <f t="shared" si="27"/>
        <v>1911</v>
      </c>
      <c r="N108" s="26">
        <f t="shared" si="27"/>
        <v>34</v>
      </c>
      <c r="O108" s="26">
        <f t="shared" si="27"/>
        <v>323</v>
      </c>
      <c r="P108" s="113">
        <f t="shared" si="27"/>
        <v>16385</v>
      </c>
      <c r="Q108" s="50"/>
      <c r="R108" s="391">
        <f>SUM(R104:R107)</f>
        <v>13258</v>
      </c>
      <c r="S108" s="382">
        <f>SUM(S104:S107)</f>
        <v>15</v>
      </c>
      <c r="T108" s="113">
        <f>SUM(T104:T107)</f>
        <v>1445</v>
      </c>
      <c r="U108" s="50"/>
      <c r="V108" s="125">
        <f>SUM(V104:V107)</f>
        <v>1740</v>
      </c>
      <c r="W108" s="126">
        <f>SUM(W104:W107)</f>
        <v>16458</v>
      </c>
      <c r="X108" s="58"/>
      <c r="Y108" s="1030">
        <v>14506</v>
      </c>
      <c r="Z108" s="2411"/>
      <c r="AA108" s="2405"/>
      <c r="AB108" s="2362"/>
      <c r="AC108" s="2405"/>
      <c r="AD108" s="2350"/>
      <c r="AE108" s="1033"/>
      <c r="AF108" s="1030">
        <v>-68</v>
      </c>
      <c r="AG108" s="1773">
        <v>11244</v>
      </c>
      <c r="AH108" s="2042">
        <f>SUM(AH104:AH107)</f>
        <v>14674.21212121212</v>
      </c>
    </row>
    <row r="109" spans="1:34" ht="12.75" customHeight="1">
      <c r="A109" s="610" t="s">
        <v>285</v>
      </c>
      <c r="B109" s="915" t="s">
        <v>33</v>
      </c>
      <c r="C109" s="382">
        <f>SUM(C97,C102,C108)</f>
        <v>2804</v>
      </c>
      <c r="D109" s="26">
        <f t="shared" ref="D109:P109" si="28">SUM(D97,D102,D108)</f>
        <v>1073</v>
      </c>
      <c r="E109" s="382">
        <f t="shared" si="28"/>
        <v>4104</v>
      </c>
      <c r="F109" s="382">
        <f t="shared" si="28"/>
        <v>5588</v>
      </c>
      <c r="G109" s="382">
        <f t="shared" si="28"/>
        <v>3821</v>
      </c>
      <c r="H109" s="26">
        <f t="shared" si="28"/>
        <v>1446</v>
      </c>
      <c r="I109" s="382">
        <f t="shared" si="28"/>
        <v>962</v>
      </c>
      <c r="J109" s="113">
        <f t="shared" si="28"/>
        <v>5183</v>
      </c>
      <c r="K109" s="155"/>
      <c r="L109" s="391">
        <f>SUM(L97,L102,L108)</f>
        <v>376</v>
      </c>
      <c r="M109" s="382">
        <f t="shared" si="28"/>
        <v>2540</v>
      </c>
      <c r="N109" s="26">
        <f t="shared" si="28"/>
        <v>42</v>
      </c>
      <c r="O109" s="26">
        <f t="shared" si="28"/>
        <v>603</v>
      </c>
      <c r="P109" s="113">
        <f t="shared" si="28"/>
        <v>28542</v>
      </c>
      <c r="Q109" s="50"/>
      <c r="R109" s="391">
        <f>SUM(R97,R102,R108)</f>
        <v>13802</v>
      </c>
      <c r="S109" s="382">
        <f>SUM(S97,S102,S108)</f>
        <v>2196</v>
      </c>
      <c r="T109" s="113">
        <f>SUM(T97,T102,T108)</f>
        <v>7887</v>
      </c>
      <c r="U109" s="50"/>
      <c r="V109" s="125">
        <f>SUM(V97,V102,V108)</f>
        <v>3097</v>
      </c>
      <c r="W109" s="126">
        <f>SUM(W97,W102,W108)</f>
        <v>26982</v>
      </c>
      <c r="X109" s="58"/>
      <c r="Y109" s="1030">
        <v>25210</v>
      </c>
      <c r="Z109" s="2404">
        <f>(P109-W109)*1000000/invanare</f>
        <v>152.48991098401447</v>
      </c>
      <c r="AA109" s="1036">
        <f>Y109*1000000/invanare</f>
        <v>2464.276061478849</v>
      </c>
      <c r="AB109" s="1036">
        <v>2426</v>
      </c>
      <c r="AC109" s="2406">
        <f>IF(ISERROR((AA109-AB109)/AB109)," ",((AA109-AB109)/AB109))</f>
        <v>1.5777436718404363E-2</v>
      </c>
      <c r="AD109" s="2351"/>
      <c r="AE109" s="1035">
        <f>IF(ISERROR(F109/(AA109/1000*invanare)),"",(F109/(AA109/100000*invanare)))</f>
        <v>2.2165807219357399E-2</v>
      </c>
      <c r="AF109" s="1030">
        <v>1566</v>
      </c>
      <c r="AG109" s="1773">
        <v>18415</v>
      </c>
      <c r="AH109" s="2042">
        <f>W109-V109-SUM(Motpart!Y38:Z38)</f>
        <v>23646</v>
      </c>
    </row>
    <row r="110" spans="1:34" ht="12.75" customHeight="1" thickBot="1">
      <c r="A110" s="614" t="s">
        <v>286</v>
      </c>
      <c r="B110" s="915" t="s">
        <v>127</v>
      </c>
      <c r="C110" s="382">
        <f>SUM(C90,C109)</f>
        <v>256550</v>
      </c>
      <c r="D110" s="405">
        <f t="shared" ref="D110:P110" si="29">SUM(D90,D109)</f>
        <v>99090</v>
      </c>
      <c r="E110" s="382">
        <f t="shared" si="29"/>
        <v>27855</v>
      </c>
      <c r="F110" s="382">
        <f t="shared" si="29"/>
        <v>132174</v>
      </c>
      <c r="G110" s="382">
        <f t="shared" si="29"/>
        <v>42736</v>
      </c>
      <c r="H110" s="26">
        <f t="shared" si="29"/>
        <v>27654</v>
      </c>
      <c r="I110" s="382">
        <f t="shared" si="29"/>
        <v>21523</v>
      </c>
      <c r="J110" s="113">
        <f t="shared" si="29"/>
        <v>15807</v>
      </c>
      <c r="K110" s="155"/>
      <c r="L110" s="391">
        <f>SUM(L90,L109)</f>
        <v>37669</v>
      </c>
      <c r="M110" s="382">
        <f t="shared" si="29"/>
        <v>85505</v>
      </c>
      <c r="N110" s="397">
        <f t="shared" si="29"/>
        <v>3402</v>
      </c>
      <c r="O110" s="397">
        <f t="shared" si="29"/>
        <v>16587.003851785459</v>
      </c>
      <c r="P110" s="113">
        <f t="shared" si="29"/>
        <v>766557</v>
      </c>
      <c r="Q110" s="50"/>
      <c r="R110" s="391">
        <f>SUM(R90,R109)</f>
        <v>36253</v>
      </c>
      <c r="S110" s="382">
        <f>SUM(S90,S109)</f>
        <v>10260</v>
      </c>
      <c r="T110" s="113">
        <f>SUM(T90,T109)</f>
        <v>95694</v>
      </c>
      <c r="U110" s="50"/>
      <c r="V110" s="125">
        <f>SUM(V90,V109)</f>
        <v>69053</v>
      </c>
      <c r="W110" s="126">
        <f>SUM(W90,W109)</f>
        <v>211260</v>
      </c>
      <c r="X110" s="58"/>
      <c r="Y110" s="2417">
        <v>685119</v>
      </c>
      <c r="Z110" s="1069">
        <f>Z90+Z109</f>
        <v>54280.250063904023</v>
      </c>
      <c r="AA110" s="2424">
        <f>AA90+AA109</f>
        <v>66772.69277144059</v>
      </c>
      <c r="AB110" s="2424">
        <f>AB90+AB109</f>
        <v>65216.198100005902</v>
      </c>
      <c r="AC110" s="1860"/>
      <c r="AD110" s="2423"/>
      <c r="AE110" s="1779">
        <f>IF(ISERROR(F109/(AA109/1000*invanare)),"",SUM(Motpart!D38,Motpart!F38)/(AA109/100000*invanare))</f>
        <v>1.1253470844902816E-2</v>
      </c>
      <c r="AF110" s="1858">
        <v>555306</v>
      </c>
      <c r="AG110" s="1859">
        <v>537688</v>
      </c>
      <c r="AH110" s="2049">
        <f>AH90+AH109</f>
        <v>129813</v>
      </c>
    </row>
    <row r="111" spans="1:34">
      <c r="A111" s="610" t="s">
        <v>287</v>
      </c>
      <c r="B111" s="937" t="s">
        <v>34</v>
      </c>
      <c r="C111" s="28">
        <v>2817</v>
      </c>
      <c r="D111" s="29">
        <v>1101</v>
      </c>
      <c r="E111" s="28">
        <v>7034</v>
      </c>
      <c r="F111" s="28">
        <v>455</v>
      </c>
      <c r="G111" s="28">
        <v>4665</v>
      </c>
      <c r="H111" s="29">
        <v>7</v>
      </c>
      <c r="I111" s="28">
        <v>11392</v>
      </c>
      <c r="J111" s="110">
        <v>12079</v>
      </c>
      <c r="K111" s="31"/>
      <c r="L111" s="114">
        <v>533</v>
      </c>
      <c r="M111" s="28">
        <v>3701</v>
      </c>
      <c r="N111" s="406"/>
      <c r="O111" s="407"/>
      <c r="P111" s="124">
        <f>SUM(C111:O111)</f>
        <v>43784</v>
      </c>
      <c r="Q111" s="50"/>
      <c r="R111" s="114">
        <v>106</v>
      </c>
      <c r="S111" s="28">
        <v>3730</v>
      </c>
      <c r="T111" s="110">
        <v>1074</v>
      </c>
      <c r="U111" s="51"/>
      <c r="V111" s="123">
        <v>38976</v>
      </c>
      <c r="W111" s="124">
        <f>SUM(R111:V111)</f>
        <v>43886</v>
      </c>
      <c r="X111" s="58"/>
      <c r="Y111" s="2370"/>
      <c r="Z111" s="1063"/>
      <c r="AA111" s="1064"/>
      <c r="AB111" s="1065"/>
      <c r="AC111" s="1066"/>
      <c r="AD111" s="2420"/>
      <c r="AE111" s="776"/>
      <c r="AF111" s="1768"/>
      <c r="AG111" s="1769"/>
      <c r="AH111" s="2040"/>
    </row>
    <row r="112" spans="1:34" ht="13.5" thickBot="1">
      <c r="A112" s="612" t="s">
        <v>288</v>
      </c>
      <c r="B112" s="915" t="s">
        <v>35</v>
      </c>
      <c r="C112" s="23">
        <v>17998</v>
      </c>
      <c r="D112" s="21">
        <v>6954</v>
      </c>
      <c r="E112" s="23">
        <v>5136</v>
      </c>
      <c r="F112" s="23">
        <v>451</v>
      </c>
      <c r="G112" s="23">
        <v>11755</v>
      </c>
      <c r="H112" s="24">
        <v>421</v>
      </c>
      <c r="I112" s="23">
        <v>812</v>
      </c>
      <c r="J112" s="109">
        <v>2209</v>
      </c>
      <c r="K112" s="31"/>
      <c r="L112" s="112">
        <v>1552</v>
      </c>
      <c r="M112" s="23">
        <v>7806</v>
      </c>
      <c r="N112" s="408"/>
      <c r="O112" s="409"/>
      <c r="P112" s="410">
        <f>SUM(C112:O112)</f>
        <v>55094</v>
      </c>
      <c r="Q112" s="50"/>
      <c r="R112" s="115">
        <v>550</v>
      </c>
      <c r="S112" s="116">
        <v>179</v>
      </c>
      <c r="T112" s="117">
        <v>4920</v>
      </c>
      <c r="U112" s="51"/>
      <c r="V112" s="2117">
        <f>SUM(I118:I120)</f>
        <v>49445</v>
      </c>
      <c r="W112" s="126">
        <f>SUM(R112:V112)</f>
        <v>55094</v>
      </c>
      <c r="X112" s="58"/>
      <c r="Y112" s="2371"/>
      <c r="Z112" s="1072"/>
      <c r="AA112" s="1042"/>
      <c r="AB112" s="1043"/>
      <c r="AC112" s="1044"/>
      <c r="AD112" s="2366"/>
      <c r="AE112" s="776"/>
      <c r="AF112" s="1768"/>
      <c r="AG112" s="1769"/>
      <c r="AH112" s="2040"/>
    </row>
    <row r="113" spans="1:34" ht="12.75" customHeight="1" thickBot="1">
      <c r="A113" s="708" t="s">
        <v>289</v>
      </c>
      <c r="B113" s="938" t="s">
        <v>36</v>
      </c>
      <c r="C113" s="414">
        <f>SUM(C110:C112)</f>
        <v>277365</v>
      </c>
      <c r="D113" s="413">
        <f t="shared" ref="D113:W113" si="30">SUM(D110:D112)</f>
        <v>107145</v>
      </c>
      <c r="E113" s="412">
        <f t="shared" si="30"/>
        <v>40025</v>
      </c>
      <c r="F113" s="412">
        <f t="shared" si="30"/>
        <v>133080</v>
      </c>
      <c r="G113" s="412">
        <f t="shared" si="30"/>
        <v>59156</v>
      </c>
      <c r="H113" s="413">
        <f t="shared" si="30"/>
        <v>28082</v>
      </c>
      <c r="I113" s="415">
        <f t="shared" si="30"/>
        <v>33727</v>
      </c>
      <c r="J113" s="416">
        <f t="shared" si="30"/>
        <v>30095</v>
      </c>
      <c r="K113" s="155"/>
      <c r="L113" s="411">
        <f>SUM(L110:L112)</f>
        <v>39754</v>
      </c>
      <c r="M113" s="412">
        <f t="shared" si="30"/>
        <v>97012</v>
      </c>
      <c r="N113" s="413">
        <f t="shared" si="30"/>
        <v>3402</v>
      </c>
      <c r="O113" s="413">
        <f>SUM(O110:O112)</f>
        <v>16587.003851785459</v>
      </c>
      <c r="P113" s="1843">
        <f t="shared" si="30"/>
        <v>865435</v>
      </c>
      <c r="Q113" s="50"/>
      <c r="R113" s="414">
        <f t="shared" si="30"/>
        <v>36909</v>
      </c>
      <c r="S113" s="412">
        <f t="shared" si="30"/>
        <v>14169</v>
      </c>
      <c r="T113" s="413">
        <f t="shared" si="30"/>
        <v>101688</v>
      </c>
      <c r="U113" s="120"/>
      <c r="V113" s="429">
        <f t="shared" si="30"/>
        <v>157474</v>
      </c>
      <c r="W113" s="1844">
        <f t="shared" si="30"/>
        <v>310240</v>
      </c>
      <c r="X113" s="58"/>
      <c r="Y113" s="1073"/>
      <c r="Z113" s="1074"/>
      <c r="AA113" s="1075"/>
      <c r="AB113" s="1076"/>
      <c r="AC113" s="1071"/>
      <c r="AD113" s="2360"/>
      <c r="AE113" s="1077"/>
      <c r="AF113" s="1788"/>
      <c r="AG113" s="1771"/>
      <c r="AH113" s="2050"/>
    </row>
    <row r="114" spans="1:34">
      <c r="A114" s="1351"/>
      <c r="B114" s="1352"/>
      <c r="C114" s="1353"/>
      <c r="D114" s="1856" t="str">
        <f>IF(AND(P119&gt;0,SUM(P118+P119-'Verks int o kostn'!D48)&lt;D113),"Kontrollera vad som ingår i PO! OBS! Pensionsutbetalningar ska inte ingå i kol D","")</f>
        <v/>
      </c>
      <c r="E114" s="14"/>
      <c r="F114" s="223"/>
      <c r="G114" s="30"/>
      <c r="H114" s="42"/>
      <c r="I114" s="2587" t="s">
        <v>565</v>
      </c>
      <c r="J114" s="2588"/>
      <c r="K114" s="2588"/>
      <c r="L114" s="2589"/>
      <c r="M114" s="417">
        <f>I118</f>
        <v>29450</v>
      </c>
      <c r="N114" s="188" t="str">
        <f>IF(M114&gt;M113,"Beloppet på rad 924 borde inte vara större än beloppet i kol.M rad 950",IF(M114=0,"Kontrollera rad 924",""))</f>
        <v/>
      </c>
      <c r="O114" s="32"/>
      <c r="P114" s="2234" t="str">
        <f>IF(COUNTIF(P10:P112,"&lt;0")&gt;0, "Det finns minst en verksamhet med negativ bruttokostnad. Stämmer det verkligen och vad är i så fall förklaringen?","")</f>
        <v/>
      </c>
      <c r="Q114" s="220"/>
      <c r="R114" s="32"/>
      <c r="S114" s="32"/>
      <c r="T114" s="32"/>
      <c r="U114" s="220"/>
      <c r="V114" s="32"/>
      <c r="W114" s="32"/>
      <c r="X114" s="32"/>
      <c r="Y114" s="32"/>
      <c r="Z114" s="57"/>
      <c r="AA114" s="57"/>
      <c r="AB114" s="57"/>
      <c r="AC114" s="57"/>
      <c r="AD114" s="4"/>
      <c r="AE114" s="432"/>
      <c r="AF114" s="179"/>
    </row>
    <row r="115" spans="1:34" ht="13.5" thickBot="1">
      <c r="A115" s="11"/>
      <c r="B115" s="41"/>
      <c r="C115" s="2593" t="s">
        <v>1304</v>
      </c>
      <c r="D115" s="2594"/>
      <c r="E115" s="180"/>
      <c r="F115" s="180"/>
      <c r="G115" s="180"/>
      <c r="H115" s="32"/>
      <c r="I115" s="32"/>
      <c r="J115" s="34"/>
      <c r="K115" s="34"/>
      <c r="L115" s="225"/>
      <c r="M115" s="226"/>
      <c r="N115" s="226"/>
      <c r="O115" s="226"/>
      <c r="P115" s="54"/>
      <c r="Q115" s="1714"/>
      <c r="R115" s="1715"/>
      <c r="S115" s="224"/>
      <c r="T115" s="32"/>
      <c r="U115" s="220"/>
      <c r="V115" s="32"/>
      <c r="W115" s="40"/>
      <c r="X115" s="1714"/>
      <c r="Y115" s="1715"/>
      <c r="Z115" s="194"/>
      <c r="AA115" s="194"/>
      <c r="AB115" s="5"/>
      <c r="AC115" s="12"/>
      <c r="AD115" s="1855" t="str">
        <f>IF(H112&gt;(0.05*P112),"Vad avser bidrag kol. H på rad 920?","")</f>
        <v/>
      </c>
      <c r="AE115" s="432"/>
      <c r="AF115" s="179"/>
    </row>
    <row r="116" spans="1:34" ht="16.5" thickBot="1">
      <c r="A116" s="227"/>
      <c r="B116" s="180"/>
      <c r="C116" s="2594"/>
      <c r="D116" s="2594"/>
      <c r="E116" s="36" t="s">
        <v>150</v>
      </c>
      <c r="F116" s="35"/>
      <c r="G116" s="32"/>
      <c r="H116" s="30"/>
      <c r="I116" s="30"/>
      <c r="J116" s="194"/>
      <c r="K116" s="194"/>
      <c r="L116" s="1078">
        <v>960</v>
      </c>
      <c r="M116" s="1091" t="s">
        <v>215</v>
      </c>
      <c r="N116" s="1092"/>
      <c r="O116" s="1092"/>
      <c r="P116" s="418">
        <f>-SUM(D113,J113)</f>
        <v>-137240</v>
      </c>
      <c r="Q116" s="1529"/>
      <c r="R116" s="1530"/>
      <c r="S116" s="1078">
        <v>970</v>
      </c>
      <c r="T116" s="1079" t="s">
        <v>151</v>
      </c>
      <c r="U116" s="1080"/>
      <c r="V116" s="1081"/>
      <c r="W116" s="418">
        <f>-V113</f>
        <v>-157474</v>
      </c>
      <c r="X116" s="1765" t="str">
        <f>IF(AND(P117=0,W116=0),"",IF(OR(P117=0,W116=0),"Interna intäkter och kostnader borde stämma överens! Varför finns differensen?",IF(AND(ABS((P117-W116)/W116)&gt;5%,ABS(P117-W116)&gt;10000),"Interna intäkter och kostnader borde stämma överens! Varför finns differensen?","")))</f>
        <v/>
      </c>
      <c r="Y116" s="1473"/>
      <c r="AA116" s="1354"/>
      <c r="AB116" s="1354"/>
      <c r="AC116" s="1354"/>
      <c r="AD116" s="188"/>
      <c r="AE116" s="432"/>
      <c r="AF116" s="179"/>
    </row>
    <row r="117" spans="1:34" ht="16.5" customHeight="1">
      <c r="A117" s="2512"/>
      <c r="B117" s="2512"/>
      <c r="C117" s="2594"/>
      <c r="D117" s="2594"/>
      <c r="E117" s="1078">
        <v>922</v>
      </c>
      <c r="F117" s="1092" t="s">
        <v>128</v>
      </c>
      <c r="G117" s="1092"/>
      <c r="H117" s="1092"/>
      <c r="I117" s="420">
        <f>P112-SUM(R112:T112)</f>
        <v>49445</v>
      </c>
      <c r="J117" s="303"/>
      <c r="K117" s="194"/>
      <c r="L117" s="1083">
        <v>965</v>
      </c>
      <c r="M117" s="1093" t="s">
        <v>216</v>
      </c>
      <c r="N117" s="1094"/>
      <c r="O117" s="1095"/>
      <c r="P117" s="419">
        <f>-SUM(L113:O113)</f>
        <v>-156755.00385178547</v>
      </c>
      <c r="S117" s="1083">
        <v>982</v>
      </c>
      <c r="T117" s="2609" t="s">
        <v>560</v>
      </c>
      <c r="U117" s="2610"/>
      <c r="V117" s="2611"/>
      <c r="W117" s="231">
        <v>8476</v>
      </c>
      <c r="Y117" s="1354"/>
      <c r="Z117" s="1354"/>
      <c r="AA117" s="1354"/>
      <c r="AB117" s="1354"/>
      <c r="AC117" s="1354"/>
      <c r="AD117" s="180"/>
      <c r="AE117" s="432"/>
      <c r="AF117" s="179"/>
    </row>
    <row r="118" spans="1:34" ht="19.5" customHeight="1">
      <c r="A118" s="2512"/>
      <c r="B118" s="2512"/>
      <c r="C118" s="2594"/>
      <c r="D118" s="2594"/>
      <c r="E118" s="1083">
        <v>924</v>
      </c>
      <c r="F118" s="2590" t="s">
        <v>1289</v>
      </c>
      <c r="G118" s="2591"/>
      <c r="H118" s="2592"/>
      <c r="I118" s="127">
        <v>29450</v>
      </c>
      <c r="J118" s="1656" t="str">
        <f>IF(I118&lt;SUM(L110+M110-V110-V111),"kontrollera rad 924","")</f>
        <v/>
      </c>
      <c r="K118" s="194"/>
      <c r="L118" s="1083">
        <v>975</v>
      </c>
      <c r="M118" s="2606" t="s">
        <v>217</v>
      </c>
      <c r="N118" s="2607"/>
      <c r="O118" s="2608"/>
      <c r="P118" s="231">
        <v>117543</v>
      </c>
      <c r="S118" s="1083">
        <v>985</v>
      </c>
      <c r="T118" s="1480" t="s">
        <v>1065</v>
      </c>
      <c r="U118" s="1481"/>
      <c r="V118" s="1482"/>
      <c r="W118" s="231">
        <v>2746</v>
      </c>
      <c r="X118" s="1716"/>
      <c r="Y118" s="1716"/>
      <c r="Z118" s="1354"/>
      <c r="AB118" s="1354"/>
      <c r="AC118" s="1354"/>
      <c r="AD118" s="180"/>
      <c r="AE118" s="432"/>
      <c r="AF118" s="179"/>
    </row>
    <row r="119" spans="1:34" ht="19.5" customHeight="1">
      <c r="A119" s="2512"/>
      <c r="B119" s="2512"/>
      <c r="C119" s="2594"/>
      <c r="D119" s="2594"/>
      <c r="E119" s="1083">
        <v>926</v>
      </c>
      <c r="F119" s="1097" t="s">
        <v>938</v>
      </c>
      <c r="G119" s="1098"/>
      <c r="H119" s="1098"/>
      <c r="I119" s="421">
        <f>N113</f>
        <v>3402</v>
      </c>
      <c r="J119" s="303"/>
      <c r="K119" s="194"/>
      <c r="L119" s="1083">
        <v>980</v>
      </c>
      <c r="M119" s="2603" t="s">
        <v>218</v>
      </c>
      <c r="N119" s="2604"/>
      <c r="O119" s="2605"/>
      <c r="P119" s="231">
        <v>3730</v>
      </c>
      <c r="S119" s="1083">
        <v>989</v>
      </c>
      <c r="T119" s="1480" t="s">
        <v>220</v>
      </c>
      <c r="U119" s="1481"/>
      <c r="V119" s="1482"/>
      <c r="W119" s="2249">
        <v>764</v>
      </c>
      <c r="X119" s="188"/>
      <c r="Y119" s="208"/>
      <c r="Z119" s="208"/>
      <c r="AA119" s="1355"/>
      <c r="AB119" s="1355"/>
      <c r="AC119" s="1355"/>
      <c r="AD119" s="1355"/>
      <c r="AE119" s="1355"/>
      <c r="AF119" s="179"/>
    </row>
    <row r="120" spans="1:34" ht="13.5" customHeight="1" thickBot="1">
      <c r="A120" s="2512"/>
      <c r="B120" s="2512"/>
      <c r="C120" s="2594"/>
      <c r="D120" s="2594"/>
      <c r="E120" s="1087">
        <v>928</v>
      </c>
      <c r="F120" s="1528" t="s">
        <v>939</v>
      </c>
      <c r="G120" s="1099"/>
      <c r="H120" s="1100"/>
      <c r="I120" s="422">
        <f>I117-I118-I119</f>
        <v>16593</v>
      </c>
      <c r="J120" s="303"/>
      <c r="K120" s="194"/>
      <c r="L120" s="1083">
        <v>982</v>
      </c>
      <c r="M120" s="1480" t="s">
        <v>1222</v>
      </c>
      <c r="N120" s="1481"/>
      <c r="O120" s="1482"/>
      <c r="P120" s="231">
        <v>631</v>
      </c>
      <c r="S120" s="1083"/>
      <c r="T120" s="1685"/>
      <c r="U120" s="1645"/>
      <c r="V120" s="1646"/>
      <c r="W120" s="2191"/>
      <c r="X120" s="1365"/>
      <c r="Y120" s="1647"/>
      <c r="Z120" s="208"/>
      <c r="AA120" s="1355"/>
      <c r="AB120" s="1355"/>
      <c r="AC120" s="1355"/>
      <c r="AD120" s="1355"/>
      <c r="AE120" s="1355"/>
      <c r="AF120" s="179"/>
    </row>
    <row r="121" spans="1:34" ht="13.5" customHeight="1">
      <c r="A121" s="208"/>
      <c r="B121" s="208"/>
      <c r="C121" s="2260"/>
      <c r="D121" s="2260"/>
      <c r="E121" s="194"/>
      <c r="F121" s="2569" t="e">
        <f>IF(SUM(I119+I120-I122)/I122&gt;0.1,"Beloppen som fördelas till verksamheterna via Kommunnyckel (rad 926) och/eller SCB-nyckel (rad 928) ökade betydligt mot det som fördelades förra året ("&amp;""&amp;(I122)&amp;" tkr). Kontrollera och rätta till eller förklara orsaken till ökningen.","")</f>
        <v>#DIV/0!</v>
      </c>
      <c r="G121" s="2570"/>
      <c r="H121" s="2570"/>
      <c r="I121" s="2261"/>
      <c r="J121" s="194"/>
      <c r="K121" s="194"/>
      <c r="L121" s="1083">
        <v>985</v>
      </c>
      <c r="M121" s="1584" t="s">
        <v>923</v>
      </c>
      <c r="N121" s="1584"/>
      <c r="O121" s="1585"/>
      <c r="P121" s="184">
        <v>469</v>
      </c>
      <c r="Q121" s="2595"/>
      <c r="R121" s="2596"/>
      <c r="S121" s="1082">
        <v>887</v>
      </c>
      <c r="T121" s="1084" t="s">
        <v>466</v>
      </c>
      <c r="U121" s="1085"/>
      <c r="V121" s="1086"/>
      <c r="W121" s="423">
        <f>SUM(W113,W116:W119)</f>
        <v>164752</v>
      </c>
      <c r="X121" s="1531"/>
      <c r="Y121" s="208"/>
      <c r="Z121" s="208"/>
      <c r="AA121" s="1355"/>
      <c r="AB121" s="1355"/>
      <c r="AC121" s="1355"/>
      <c r="AD121" s="1355"/>
      <c r="AE121" s="1355"/>
      <c r="AF121" s="179"/>
    </row>
    <row r="122" spans="1:34" ht="12.75" customHeight="1" thickBot="1">
      <c r="A122" s="208"/>
      <c r="B122" s="208"/>
      <c r="C122" s="2260"/>
      <c r="D122" s="2260"/>
      <c r="E122" s="194"/>
      <c r="F122" s="2571"/>
      <c r="G122" s="2571"/>
      <c r="H122" s="2571"/>
      <c r="I122" s="2274"/>
      <c r="J122" s="2262"/>
      <c r="K122" s="194"/>
      <c r="L122" s="1083">
        <v>988</v>
      </c>
      <c r="M122" s="1845" t="s">
        <v>1108</v>
      </c>
      <c r="N122" s="1849"/>
      <c r="O122" s="1585"/>
      <c r="P122" s="184">
        <v>2127</v>
      </c>
      <c r="Q122" s="188"/>
      <c r="R122" s="228"/>
      <c r="S122" s="1087">
        <v>990</v>
      </c>
      <c r="T122" s="1088" t="s">
        <v>96</v>
      </c>
      <c r="U122" s="1089"/>
      <c r="V122" s="1090"/>
      <c r="W122" s="128">
        <f>RR!C7</f>
        <v>164752</v>
      </c>
      <c r="X122" s="1531"/>
      <c r="Y122" s="208"/>
      <c r="Z122" s="194"/>
      <c r="AA122" s="194"/>
      <c r="AB122" s="5"/>
      <c r="AC122" s="5"/>
      <c r="AD122" s="4"/>
      <c r="AE122" s="432"/>
      <c r="AF122" s="179"/>
    </row>
    <row r="123" spans="1:34">
      <c r="A123" s="208"/>
      <c r="B123" s="208"/>
      <c r="C123" s="208"/>
      <c r="D123" s="194"/>
      <c r="E123" s="228"/>
      <c r="F123" s="2571"/>
      <c r="G123" s="2571"/>
      <c r="H123" s="2571"/>
      <c r="I123" s="2263"/>
      <c r="J123" s="2262"/>
      <c r="K123" s="194"/>
      <c r="L123" s="1083">
        <v>989</v>
      </c>
      <c r="M123" s="1096" t="s">
        <v>219</v>
      </c>
      <c r="N123" s="1850"/>
      <c r="O123" s="1482"/>
      <c r="P123" s="2249">
        <v>1170</v>
      </c>
      <c r="Q123" s="188"/>
      <c r="R123" s="208"/>
      <c r="S123" s="229"/>
      <c r="T123" s="229"/>
      <c r="U123" s="229"/>
      <c r="V123" s="229"/>
      <c r="W123" s="248" t="str">
        <f>IF(ABS(W121-W122)&lt;50,"",IF(OR(W122=0,W121=0),"",IF((SUM(W121)/(W122))&lt;&gt;1,(ROUND(W121-W122,0))&amp;" tkr differens mellan verks.intäkter i RR och summan av verks.intäkter här - måste rättas!","")))</f>
        <v/>
      </c>
      <c r="X123" s="208"/>
      <c r="Y123" s="208"/>
      <c r="Z123" s="194"/>
      <c r="AA123" s="194"/>
      <c r="AB123" s="5"/>
      <c r="AC123" s="5"/>
      <c r="AD123" s="4"/>
      <c r="AE123" s="432"/>
      <c r="AF123" s="179"/>
    </row>
    <row r="124" spans="1:34">
      <c r="A124" s="322"/>
      <c r="B124" s="208"/>
      <c r="C124" s="208"/>
      <c r="D124" s="194"/>
      <c r="E124" s="194"/>
      <c r="F124" s="2571"/>
      <c r="G124" s="2571"/>
      <c r="H124" s="2571"/>
      <c r="I124" s="2263"/>
      <c r="J124" s="2262"/>
      <c r="K124" s="208"/>
      <c r="L124" s="1082">
        <v>886</v>
      </c>
      <c r="M124" s="1084" t="s">
        <v>466</v>
      </c>
      <c r="N124" s="1085"/>
      <c r="O124" s="1086"/>
      <c r="P124" s="423">
        <f>SUM(P110:P112,P116:P123)</f>
        <v>697109.99614821456</v>
      </c>
      <c r="Q124" s="1531"/>
      <c r="R124" s="208"/>
      <c r="S124" s="229"/>
      <c r="T124" s="229"/>
      <c r="U124" s="229"/>
      <c r="V124" s="229"/>
      <c r="W124" s="229"/>
      <c r="X124" s="208"/>
      <c r="Y124" s="208"/>
      <c r="Z124" s="194"/>
      <c r="AA124" s="194"/>
      <c r="AB124" s="5"/>
      <c r="AC124" s="5"/>
      <c r="AD124" s="4"/>
      <c r="AE124" s="432"/>
      <c r="AF124" s="179"/>
    </row>
    <row r="125" spans="1:34" ht="22.5" customHeight="1" thickBot="1">
      <c r="A125" s="322"/>
      <c r="B125" s="208"/>
      <c r="C125" s="208"/>
      <c r="D125" s="194"/>
      <c r="E125" s="194"/>
      <c r="F125" s="2571"/>
      <c r="G125" s="2571"/>
      <c r="H125" s="2571"/>
      <c r="I125" s="2263"/>
      <c r="J125" s="2262"/>
      <c r="K125" s="208"/>
      <c r="L125" s="1087">
        <v>990</v>
      </c>
      <c r="M125" s="1088" t="s">
        <v>93</v>
      </c>
      <c r="N125" s="1089"/>
      <c r="O125" s="1090"/>
      <c r="P125" s="2190">
        <f>RR!C8</f>
        <v>697110</v>
      </c>
      <c r="Q125" s="208"/>
      <c r="R125" s="208"/>
      <c r="S125" s="229"/>
      <c r="T125" s="229"/>
      <c r="U125" s="229"/>
      <c r="V125" s="229"/>
      <c r="W125" s="229"/>
      <c r="X125" s="208"/>
      <c r="Y125" s="208"/>
      <c r="Z125" s="194"/>
      <c r="AA125" s="194"/>
      <c r="AB125" s="5"/>
      <c r="AC125" s="5"/>
      <c r="AD125" s="4"/>
      <c r="AE125" s="432"/>
      <c r="AF125" s="179"/>
    </row>
    <row r="126" spans="1:34" ht="31.5" customHeight="1">
      <c r="A126" s="229"/>
      <c r="B126" s="229"/>
      <c r="C126" s="229"/>
      <c r="D126" s="228"/>
      <c r="E126" s="228"/>
      <c r="F126" s="2264"/>
      <c r="G126" s="2264"/>
      <c r="H126" s="2264"/>
      <c r="I126" s="2263"/>
      <c r="J126" s="228"/>
      <c r="K126" s="208"/>
      <c r="L126" s="1846"/>
      <c r="M126" s="1847"/>
      <c r="N126" s="1848"/>
      <c r="O126" s="1848"/>
      <c r="P126" s="1873" t="str">
        <f>IF(ABS(P124-P125)&lt;50,"",IF(OR(P125=0,P124=0),"",IF((SUM(P124)/(P125))&lt;&gt;1.1,(ROUND(P124-P125,0))&amp;" tkr differens mellan verks.kostn i RR och summan av verks.kostnader här - måste rättas!","")))</f>
        <v/>
      </c>
      <c r="Q126" s="194"/>
      <c r="R126" s="228"/>
      <c r="S126" s="229"/>
      <c r="T126" s="229"/>
      <c r="U126" s="208"/>
      <c r="V126" s="229"/>
      <c r="W126" s="229"/>
      <c r="X126" s="208"/>
      <c r="Y126" s="229"/>
      <c r="Z126" s="228"/>
      <c r="AA126" s="228"/>
      <c r="AB126" s="1"/>
      <c r="AC126" s="1"/>
      <c r="AD126" s="179"/>
      <c r="AE126" s="433"/>
      <c r="AF126" s="179"/>
    </row>
    <row r="127" spans="1:34" hidden="1">
      <c r="L127" s="228"/>
      <c r="M127" s="228"/>
      <c r="N127" s="228"/>
      <c r="O127" s="228"/>
      <c r="P127" s="248"/>
    </row>
    <row r="128" spans="1:34"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spans="16:16" hidden="1"/>
    <row r="290" spans="16:16" hidden="1"/>
    <row r="291" spans="16:16" hidden="1"/>
    <row r="292" spans="16:16" hidden="1"/>
    <row r="293" spans="16:16" hidden="1"/>
    <row r="294" spans="16:16" hidden="1"/>
    <row r="295" spans="16:16" hidden="1"/>
    <row r="296" spans="16:16" hidden="1"/>
    <row r="297" spans="16:16" hidden="1"/>
    <row r="298" spans="16:16" hidden="1"/>
    <row r="299" spans="16:16" hidden="1"/>
    <row r="300" spans="16:16" hidden="1"/>
    <row r="301" spans="16:16" hidden="1"/>
    <row r="302" spans="16:16" hidden="1"/>
    <row r="303" spans="16:16" hidden="1">
      <c r="P303" s="230" t="str">
        <f>IF(P124&lt;&gt;P125,"Differens mot vht kostnader i RR, måste rättas!","")</f>
        <v>Differens mot vht kostnader i RR, måste rättas!</v>
      </c>
    </row>
    <row r="304" spans="16:16" hidden="1"/>
  </sheetData>
  <sheetProtection password="CBFD" sheet="1" objects="1" scenarios="1"/>
  <customSheetViews>
    <customSheetView guid="{27C9E95B-0E2B-454F-B637-1CECC9579A10}" showGridLines="0" hiddenRows="1" hiddenColumns="1" showRuler="0">
      <pane xSplit="2" ySplit="10" topLeftCell="E111" activePane="bottomRight" state="frozen"/>
      <selection pane="bottomRight" activeCell="P125" sqref="P125"/>
      <rowBreaks count="1" manualBreakCount="1">
        <brk id="43" max="16383" man="1"/>
      </rowBreaks>
      <pageMargins left="0.70866141732283472" right="0.70866141732283472" top="0.74803149606299213" bottom="0" header="0.31496062992125984" footer="0.31496062992125984"/>
      <pageSetup paperSize="9" scale="75" orientation="landscape" r:id="rId1"/>
      <headerFooter alignWithMargins="0">
        <oddHeader>&amp;L&amp;8Statistiska Centralbyrån
Offentlig ekonomi&amp;R&amp;P</oddHeader>
      </headerFooter>
    </customSheetView>
    <customSheetView guid="{99FBDEB7-DD08-4F57-81F4-3C180403E153}" showPageBreaks="1" showGridLines="0" hiddenRows="1" hiddenColumns="1">
      <pane xSplit="2" ySplit="12" topLeftCell="H13" activePane="bottomRight" state="frozen"/>
      <selection pane="bottomRight" activeCell="AD14" sqref="AD14"/>
      <rowBreaks count="1" manualBreakCount="1">
        <brk id="43" max="16383" man="1"/>
      </rowBreaks>
      <pageMargins left="0.70866141732283472" right="0.70866141732283472" top="0.74803149606299213" bottom="0" header="0.31496062992125984" footer="0.31496062992125984"/>
      <pageSetup paperSize="9" scale="75" orientation="landscape" r:id="rId2"/>
      <headerFooter>
        <oddHeader>&amp;L&amp;8Statistiska Centralbyrån
Offentlig ekonomi&amp;R&amp;P</oddHeader>
      </headerFooter>
    </customSheetView>
    <customSheetView guid="{97D6DB71-3F4C-4C5F-8C5B-51E3EBF78932}" showPageBreaks="1" showGridLines="0" hiddenRows="1" hiddenColumns="1">
      <pane xSplit="2" ySplit="12" topLeftCell="H13" activePane="bottomRight" state="frozen"/>
      <selection pane="bottomRight" activeCell="S6" sqref="S6"/>
      <rowBreaks count="1" manualBreakCount="1">
        <brk id="43" max="16383" man="1"/>
      </rowBreaks>
      <pageMargins left="0.70866141732283472" right="0.70866141732283472" top="0.74803149606299213" bottom="0" header="0.31496062992125984" footer="0.31496062992125984"/>
      <pageSetup paperSize="9" scale="75" orientation="landscape" r:id="rId3"/>
      <headerFooter>
        <oddHeader>&amp;L&amp;8Statistiska Centralbyrån
Offentlig ekonomi&amp;R&amp;P</oddHeader>
      </headerFooter>
    </customSheetView>
  </customSheetViews>
  <mergeCells count="20">
    <mergeCell ref="Q121:R121"/>
    <mergeCell ref="R4:T4"/>
    <mergeCell ref="Z4:AB4"/>
    <mergeCell ref="M119:O119"/>
    <mergeCell ref="M118:O118"/>
    <mergeCell ref="T117:V117"/>
    <mergeCell ref="Y5:Y6"/>
    <mergeCell ref="N5:O5"/>
    <mergeCell ref="AH5:AH6"/>
    <mergeCell ref="AG5:AG6"/>
    <mergeCell ref="AF5:AF6"/>
    <mergeCell ref="A117:B120"/>
    <mergeCell ref="I114:L114"/>
    <mergeCell ref="F118:H118"/>
    <mergeCell ref="C115:D120"/>
    <mergeCell ref="F121:H125"/>
    <mergeCell ref="C4:D4"/>
    <mergeCell ref="E4:H4"/>
    <mergeCell ref="L4:O4"/>
    <mergeCell ref="I4:J4"/>
  </mergeCells>
  <phoneticPr fontId="92" type="noConversion"/>
  <conditionalFormatting sqref="D13:D16 D19:D29 D33:D36 D39:D41 D46:D50 D53:D57 D60:D61 D63:D65 D70:D71 D73:D76 D79:D82 D111:D112 D87:D88 D93:D96 D99:D101 D104:D107 D84">
    <cfRule type="expression" dxfId="92" priority="40" stopIfTrue="1">
      <formula>C13&lt;50</formula>
    </cfRule>
    <cfRule type="expression" dxfId="91" priority="41" stopIfTrue="1">
      <formula>(D13/C13)&gt;0.45</formula>
    </cfRule>
    <cfRule type="expression" dxfId="90" priority="42" stopIfTrue="1">
      <formula>(D13/C13)&lt;0.25</formula>
    </cfRule>
  </conditionalFormatting>
  <conditionalFormatting sqref="T51">
    <cfRule type="expression" dxfId="89" priority="48" stopIfTrue="1">
      <formula>T51-SUM(AB53:AB55)&lt;0</formula>
    </cfRule>
  </conditionalFormatting>
  <conditionalFormatting sqref="P117">
    <cfRule type="expression" dxfId="88" priority="49" stopIfTrue="1">
      <formula>ABS(P117-W116)&lt;10000</formula>
    </cfRule>
    <cfRule type="expression" dxfId="87" priority="50" stopIfTrue="1">
      <formula>ABS((P117-W116)/W116)&gt;0.05</formula>
    </cfRule>
  </conditionalFormatting>
  <conditionalFormatting sqref="W116">
    <cfRule type="expression" dxfId="86" priority="51" stopIfTrue="1">
      <formula>ABS(P117-W116)&lt;10000</formula>
    </cfRule>
    <cfRule type="expression" dxfId="85" priority="52" stopIfTrue="1">
      <formula>ABS((P117-W116)/W116)&gt;0.05</formula>
    </cfRule>
  </conditionalFormatting>
  <conditionalFormatting sqref="P111">
    <cfRule type="expression" dxfId="84" priority="53" stopIfTrue="1">
      <formula>ABS(P111-W111)&lt;10000</formula>
    </cfRule>
    <cfRule type="expression" dxfId="83" priority="54" stopIfTrue="1">
      <formula>ABS((P111-W111)/W111)&gt;0.05</formula>
    </cfRule>
  </conditionalFormatting>
  <conditionalFormatting sqref="W111">
    <cfRule type="expression" dxfId="82" priority="75" stopIfTrue="1">
      <formula>ABS(P111-W111)&lt;10000</formula>
    </cfRule>
    <cfRule type="expression" dxfId="81" priority="76" stopIfTrue="1">
      <formula>ABS((P111-W111)/W111)&gt;0.05</formula>
    </cfRule>
  </conditionalFormatting>
  <conditionalFormatting sqref="P13:P14 P23:P24">
    <cfRule type="expression" dxfId="80" priority="58" stopIfTrue="1">
      <formula>$P$124&lt;100000</formula>
    </cfRule>
    <cfRule type="cellIs" dxfId="79" priority="59" stopIfTrue="1" operator="lessThan">
      <formula>1</formula>
    </cfRule>
  </conditionalFormatting>
  <conditionalFormatting sqref="P120:P122 C13:W113">
    <cfRule type="cellIs" dxfId="78" priority="33" stopIfTrue="1" operator="lessThan">
      <formula>-500</formula>
    </cfRule>
  </conditionalFormatting>
  <conditionalFormatting sqref="P118 W117:W118 I118">
    <cfRule type="cellIs" dxfId="77" priority="32" stopIfTrue="1" operator="lessThan">
      <formula>-500</formula>
    </cfRule>
  </conditionalFormatting>
  <conditionalFormatting sqref="H47">
    <cfRule type="cellIs" dxfId="76" priority="24" stopIfTrue="1" operator="greaterThan">
      <formula>$F$47</formula>
    </cfRule>
  </conditionalFormatting>
  <conditionalFormatting sqref="H50">
    <cfRule type="cellIs" dxfId="75" priority="22" stopIfTrue="1" operator="greaterThan">
      <formula>$F$50</formula>
    </cfRule>
  </conditionalFormatting>
  <conditionalFormatting sqref="R53">
    <cfRule type="cellIs" dxfId="74" priority="21" stopIfTrue="1" operator="greaterThan">
      <formula>100</formula>
    </cfRule>
  </conditionalFormatting>
  <conditionalFormatting sqref="R100">
    <cfRule type="expression" dxfId="73" priority="17" stopIfTrue="1">
      <formula>AND(C100&gt;5000,R100&lt;50)</formula>
    </cfRule>
  </conditionalFormatting>
  <conditionalFormatting sqref="R104">
    <cfRule type="expression" dxfId="72" priority="16" stopIfTrue="1">
      <formula>AND(C104&gt;5000,R104&lt;50)</formula>
    </cfRule>
  </conditionalFormatting>
  <conditionalFormatting sqref="R105">
    <cfRule type="expression" dxfId="71" priority="15" stopIfTrue="1">
      <formula>AND(C105&gt;5000,R105&lt;50)</formula>
    </cfRule>
  </conditionalFormatting>
  <conditionalFormatting sqref="R106">
    <cfRule type="expression" dxfId="70" priority="14" stopIfTrue="1">
      <formula>AND(C106&gt;5000,R106&lt;50)</formula>
    </cfRule>
  </conditionalFormatting>
  <conditionalFormatting sqref="R107">
    <cfRule type="expression" dxfId="69" priority="13" stopIfTrue="1">
      <formula>AND(C107&gt;5000,R107&lt;50)</formula>
    </cfRule>
  </conditionalFormatting>
  <conditionalFormatting sqref="R76">
    <cfRule type="expression" dxfId="68" priority="12" stopIfTrue="1">
      <formula>AND(C76&gt;5000,R76&lt;50)</formula>
    </cfRule>
  </conditionalFormatting>
  <conditionalFormatting sqref="R74">
    <cfRule type="expression" dxfId="67" priority="11" stopIfTrue="1">
      <formula>AND(C74&gt;5000,R74&lt;50)</formula>
    </cfRule>
  </conditionalFormatting>
  <conditionalFormatting sqref="R73">
    <cfRule type="expression" dxfId="66" priority="10" stopIfTrue="1">
      <formula>AND(C73&gt;5000,R73&lt;50)</formula>
    </cfRule>
  </conditionalFormatting>
  <conditionalFormatting sqref="R48">
    <cfRule type="expression" dxfId="65" priority="9" stopIfTrue="1">
      <formula>AND(C48&gt;5000,R48&lt;50)</formula>
    </cfRule>
  </conditionalFormatting>
  <conditionalFormatting sqref="C115:D120">
    <cfRule type="expression" dxfId="64" priority="6">
      <formula>(D112/C112)&gt;0.45</formula>
    </cfRule>
    <cfRule type="expression" dxfId="63" priority="7">
      <formula>(D112/C112)&lt;36%</formula>
    </cfRule>
  </conditionalFormatting>
  <conditionalFormatting sqref="J122:J125">
    <cfRule type="expression" dxfId="62" priority="1">
      <formula>(L119+L120-M120)/M120&gt;0.1</formula>
    </cfRule>
  </conditionalFormatting>
  <conditionalFormatting sqref="F121">
    <cfRule type="expression" dxfId="61" priority="116">
      <formula>(I119+I120-I122)/I122&gt;0.1</formula>
    </cfRule>
  </conditionalFormatting>
  <dataValidations count="1">
    <dataValidation type="decimal" operator="lessThan" allowBlank="1" showInputMessage="1" showErrorMessage="1" error="Beloppet ska vara i 1000 tal kr" sqref="V111 R111:U112 R93:V96 C93:N96 R99:V101 R84:V84 G114 R104:V107 C99:N101 C104:N107 C87:N88 C84:N84 I118 C79:N82 R79:V82 C111:O112 C63:N66 C70:N71 C73:N76 R73:V76 R70:V71 R63:V66 C13:N16 C19:N29 C33:N36 C39:N41 C46:N50 C53:N57 R53:V57 R46:V50 R39:V41 R33:V36 R19:V29 R13:V16 R60:V61 C60:N61 R87:V88 W117:W120 P118:P123">
      <formula1>99999999</formula1>
    </dataValidation>
  </dataValidations>
  <pageMargins left="0.43307086614173229" right="0.70866141732283472" top="0.43307086614173229" bottom="0" header="7.874015748031496E-2" footer="3.937007874015748E-2"/>
  <pageSetup paperSize="9" scale="83" orientation="landscape" r:id="rId4"/>
  <headerFooter>
    <oddHeader>&amp;LStatistiska Centralbyrån
Offentlig ekonomi</oddHeader>
  </headerFooter>
  <rowBreaks count="3" manualBreakCount="3">
    <brk id="43" max="16383" man="1"/>
    <brk id="68" max="16383" man="1"/>
    <brk id="90" max="16383" man="1"/>
  </rowBreaks>
  <colBreaks count="1" manualBreakCount="1">
    <brk id="1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89"/>
  <sheetViews>
    <sheetView showGridLines="0" zoomScaleNormal="100" workbookViewId="0">
      <pane xSplit="2" ySplit="8" topLeftCell="C9" activePane="bottomRight" state="frozen"/>
      <selection activeCell="F32" sqref="F32"/>
      <selection pane="topRight" activeCell="F32" sqref="F32"/>
      <selection pane="bottomLeft" activeCell="F32" sqref="F32"/>
      <selection pane="bottomRight" activeCell="C9" sqref="C9"/>
    </sheetView>
  </sheetViews>
  <sheetFormatPr defaultColWidth="0" defaultRowHeight="9" zeroHeight="1"/>
  <cols>
    <col min="1" max="1" width="5.28515625" style="152" customWidth="1"/>
    <col min="2" max="2" width="30.85546875" style="152" customWidth="1"/>
    <col min="3" max="3" width="8.5703125" style="152" customWidth="1"/>
    <col min="4" max="4" width="8.7109375" style="152" customWidth="1"/>
    <col min="5" max="11" width="9.140625" style="152" customWidth="1"/>
    <col min="12" max="12" width="8" style="152" customWidth="1"/>
    <col min="13" max="13" width="9.140625" style="152" customWidth="1"/>
    <col min="14" max="14" width="8.28515625" style="152" customWidth="1"/>
    <col min="15" max="22" width="9.140625" style="152" customWidth="1"/>
    <col min="23" max="23" width="8.28515625" style="152" customWidth="1"/>
    <col min="24" max="24" width="8.140625" style="152" customWidth="1"/>
    <col min="25" max="27" width="9.140625" style="152" customWidth="1"/>
    <col min="28" max="28" width="8" style="152" customWidth="1"/>
    <col min="29" max="29" width="11.28515625" style="152" customWidth="1"/>
    <col min="30" max="30" width="25.7109375" style="152" hidden="1" customWidth="1"/>
    <col min="31" max="16384" width="0" style="152" hidden="1"/>
  </cols>
  <sheetData>
    <row r="1" spans="1:30" s="178" customFormat="1" ht="18.75" customHeight="1">
      <c r="A1" s="177"/>
      <c r="B1" s="85"/>
      <c r="C1" s="84" t="str">
        <f>"Motpartsredovisning "&amp;År&amp;", miljoner kr"</f>
        <v>Motpartsredovisning 2018, miljoner kr</v>
      </c>
      <c r="D1" s="85"/>
      <c r="E1" s="177"/>
      <c r="F1" s="177"/>
      <c r="G1" s="177"/>
      <c r="H1" s="177"/>
      <c r="I1" s="177"/>
      <c r="J1" s="536" t="s">
        <v>474</v>
      </c>
      <c r="K1" s="537" t="str">
        <f>'Kn Information'!B2</f>
        <v>RIKSTOTAL</v>
      </c>
      <c r="L1" s="177"/>
      <c r="M1" s="177"/>
      <c r="N1" s="84"/>
      <c r="O1" s="177"/>
      <c r="P1" s="177"/>
      <c r="Q1" s="177"/>
      <c r="R1" s="177"/>
      <c r="S1" s="84" t="str">
        <f>"Motpartsredovisning "&amp;År&amp;", miljoner kr"</f>
        <v>Motpartsredovisning 2018, miljoner kr</v>
      </c>
      <c r="T1" s="177"/>
      <c r="U1" s="177"/>
      <c r="V1" s="177"/>
      <c r="W1" s="177"/>
      <c r="X1" s="177"/>
      <c r="Y1" s="177"/>
      <c r="Z1" s="536" t="s">
        <v>474</v>
      </c>
      <c r="AA1" s="537" t="str">
        <f>'Kn Information'!B2</f>
        <v>RIKSTOTAL</v>
      </c>
      <c r="AB1" s="177"/>
      <c r="AC1" s="177"/>
      <c r="AD1" s="216"/>
    </row>
    <row r="2" spans="1:30" s="178" customFormat="1" ht="11.25" customHeight="1">
      <c r="A2" s="1338"/>
      <c r="C2" s="78"/>
      <c r="D2" s="1437"/>
      <c r="E2" s="47"/>
      <c r="G2" s="216"/>
      <c r="H2" s="216"/>
      <c r="J2" s="47"/>
      <c r="M2" s="216"/>
      <c r="N2" s="77"/>
      <c r="O2" s="216"/>
      <c r="P2" s="216"/>
      <c r="Q2" s="216"/>
      <c r="R2" s="216"/>
      <c r="S2" s="216"/>
      <c r="T2" s="216"/>
      <c r="U2" s="216"/>
      <c r="V2" s="216"/>
      <c r="W2" s="216"/>
      <c r="X2" s="216"/>
      <c r="Y2" s="216"/>
      <c r="Z2" s="216"/>
      <c r="AA2" s="216"/>
      <c r="AB2" s="216"/>
      <c r="AC2" s="216"/>
      <c r="AD2" s="216"/>
    </row>
    <row r="3" spans="1:30" ht="11.25" customHeight="1" thickBot="1">
      <c r="C3" s="135"/>
      <c r="D3" s="135"/>
      <c r="E3" s="47"/>
      <c r="F3" s="45"/>
      <c r="G3" s="45"/>
      <c r="H3" s="45"/>
      <c r="I3" s="45"/>
      <c r="J3" s="47"/>
      <c r="K3" s="46"/>
      <c r="L3" s="46"/>
      <c r="M3" s="46"/>
      <c r="N3" s="45"/>
      <c r="O3" s="45"/>
      <c r="P3" s="45"/>
      <c r="Q3" s="45"/>
      <c r="R3" s="45"/>
      <c r="S3" s="45"/>
      <c r="T3" s="45"/>
      <c r="U3" s="45"/>
      <c r="V3" s="45"/>
      <c r="W3" s="45"/>
      <c r="X3" s="45"/>
      <c r="Y3" s="45"/>
      <c r="Z3" s="45"/>
      <c r="AA3" s="45"/>
      <c r="AB3" s="45"/>
      <c r="AC3" s="45"/>
    </row>
    <row r="4" spans="1:30" s="1426" customFormat="1" ht="18" customHeight="1">
      <c r="A4" s="1418" t="s">
        <v>658</v>
      </c>
      <c r="B4" s="1419" t="s">
        <v>16</v>
      </c>
      <c r="C4" s="1409"/>
      <c r="D4" s="1427" t="s">
        <v>881</v>
      </c>
      <c r="E4" s="1419"/>
      <c r="F4" s="1419"/>
      <c r="G4" s="1419"/>
      <c r="H4" s="1419"/>
      <c r="I4" s="1419"/>
      <c r="J4" s="1419"/>
      <c r="K4" s="1419"/>
      <c r="L4" s="1419"/>
      <c r="M4" s="1420"/>
      <c r="N4" s="1427" t="s">
        <v>845</v>
      </c>
      <c r="O4" s="1419"/>
      <c r="P4" s="1419"/>
      <c r="Q4" s="1419"/>
      <c r="R4" s="1419"/>
      <c r="S4" s="1419"/>
      <c r="T4" s="1419"/>
      <c r="U4" s="1419"/>
      <c r="V4" s="1419"/>
      <c r="W4" s="1419"/>
      <c r="X4" s="1421"/>
      <c r="Y4" s="1428" t="s">
        <v>577</v>
      </c>
      <c r="Z4" s="1422"/>
      <c r="AA4" s="1423"/>
      <c r="AB4" s="1423"/>
      <c r="AC4" s="1424"/>
      <c r="AD4" s="1425"/>
    </row>
    <row r="5" spans="1:30" ht="29.25" customHeight="1">
      <c r="A5" s="835" t="s">
        <v>661</v>
      </c>
      <c r="B5" s="1112"/>
      <c r="C5" s="1558" t="s">
        <v>522</v>
      </c>
      <c r="D5" s="1113" t="s">
        <v>487</v>
      </c>
      <c r="E5" s="1107" t="s">
        <v>513</v>
      </c>
      <c r="F5" s="1107" t="s">
        <v>488</v>
      </c>
      <c r="G5" s="1107" t="s">
        <v>129</v>
      </c>
      <c r="H5" s="1107" t="s">
        <v>1142</v>
      </c>
      <c r="I5" s="1107" t="s">
        <v>489</v>
      </c>
      <c r="J5" s="1107" t="s">
        <v>912</v>
      </c>
      <c r="K5" s="1107" t="s">
        <v>913</v>
      </c>
      <c r="L5" s="1107" t="s">
        <v>156</v>
      </c>
      <c r="M5" s="1109" t="s">
        <v>533</v>
      </c>
      <c r="N5" s="1517" t="s">
        <v>522</v>
      </c>
      <c r="O5" s="1107" t="s">
        <v>487</v>
      </c>
      <c r="P5" s="1410" t="s">
        <v>513</v>
      </c>
      <c r="Q5" s="1410" t="s">
        <v>488</v>
      </c>
      <c r="R5" s="1410" t="s">
        <v>129</v>
      </c>
      <c r="S5" s="1410" t="s">
        <v>1142</v>
      </c>
      <c r="T5" s="1410" t="s">
        <v>913</v>
      </c>
      <c r="U5" s="1410" t="s">
        <v>914</v>
      </c>
      <c r="V5" s="1410" t="s">
        <v>912</v>
      </c>
      <c r="W5" s="1410" t="s">
        <v>156</v>
      </c>
      <c r="X5" s="1105" t="s">
        <v>533</v>
      </c>
      <c r="Y5" s="1106" t="s">
        <v>894</v>
      </c>
      <c r="Z5" s="1107" t="s">
        <v>490</v>
      </c>
      <c r="AA5" s="1108" t="s">
        <v>1267</v>
      </c>
      <c r="AB5" s="1108" t="s">
        <v>491</v>
      </c>
      <c r="AC5" s="1109" t="s">
        <v>492</v>
      </c>
      <c r="AD5" s="1101" t="s">
        <v>411</v>
      </c>
    </row>
    <row r="6" spans="1:30" ht="30.75" customHeight="1">
      <c r="A6" s="1114"/>
      <c r="B6" s="1735" t="s">
        <v>814</v>
      </c>
      <c r="C6" s="1516"/>
      <c r="D6" s="1736" t="s">
        <v>846</v>
      </c>
      <c r="E6" s="1737" t="s">
        <v>847</v>
      </c>
      <c r="F6" s="1737" t="s">
        <v>848</v>
      </c>
      <c r="G6" s="1737" t="s">
        <v>849</v>
      </c>
      <c r="H6" s="1737" t="s">
        <v>850</v>
      </c>
      <c r="I6" s="1737" t="s">
        <v>851</v>
      </c>
      <c r="J6" s="1737" t="s">
        <v>852</v>
      </c>
      <c r="K6" s="1737" t="s">
        <v>853</v>
      </c>
      <c r="L6" s="1737" t="s">
        <v>854</v>
      </c>
      <c r="M6" s="1110"/>
      <c r="N6" s="1518"/>
      <c r="O6" s="1736" t="s">
        <v>846</v>
      </c>
      <c r="P6" s="1737" t="s">
        <v>847</v>
      </c>
      <c r="Q6" s="1737" t="s">
        <v>848</v>
      </c>
      <c r="R6" s="1737" t="s">
        <v>849</v>
      </c>
      <c r="S6" s="1737" t="s">
        <v>850</v>
      </c>
      <c r="T6" s="1737" t="s">
        <v>853</v>
      </c>
      <c r="U6" s="1737" t="s">
        <v>851</v>
      </c>
      <c r="V6" s="1737" t="s">
        <v>852</v>
      </c>
      <c r="W6" s="1737" t="s">
        <v>854</v>
      </c>
      <c r="X6" s="1110"/>
      <c r="Y6" s="1741" t="s">
        <v>855</v>
      </c>
      <c r="Z6" s="1742" t="s">
        <v>856</v>
      </c>
      <c r="AA6" s="1737" t="s">
        <v>857</v>
      </c>
      <c r="AB6" s="1737" t="s">
        <v>137</v>
      </c>
      <c r="AC6" s="1743" t="s">
        <v>915</v>
      </c>
      <c r="AD6" s="1102"/>
    </row>
    <row r="7" spans="1:30" ht="4.5" customHeight="1">
      <c r="A7" s="1115"/>
      <c r="B7" s="1738"/>
      <c r="C7" s="1739"/>
      <c r="D7" s="1730"/>
      <c r="E7" s="1731"/>
      <c r="F7" s="1731"/>
      <c r="G7" s="1731"/>
      <c r="H7" s="1731"/>
      <c r="I7" s="1731"/>
      <c r="J7" s="1731"/>
      <c r="K7" s="1731"/>
      <c r="L7" s="1740"/>
      <c r="M7" s="1110"/>
      <c r="N7" s="1729"/>
      <c r="O7" s="1730"/>
      <c r="P7" s="1731"/>
      <c r="Q7" s="1731"/>
      <c r="R7" s="1731"/>
      <c r="S7" s="1731"/>
      <c r="T7" s="1731"/>
      <c r="U7" s="1732"/>
      <c r="V7" s="1731"/>
      <c r="W7" s="584"/>
      <c r="X7" s="1110"/>
      <c r="Y7" s="1744"/>
      <c r="Z7" s="1745"/>
      <c r="AA7" s="1745"/>
      <c r="AB7" s="1746"/>
      <c r="AC7" s="1747"/>
      <c r="AD7" s="642"/>
    </row>
    <row r="8" spans="1:30" ht="12" hidden="1" customHeight="1">
      <c r="A8" s="1114"/>
      <c r="B8" s="1733"/>
      <c r="C8" s="1734"/>
      <c r="D8" s="1719"/>
      <c r="E8" s="1720"/>
      <c r="F8" s="1720"/>
      <c r="G8" s="1720"/>
      <c r="H8" s="1720"/>
      <c r="I8" s="1720"/>
      <c r="J8" s="1720"/>
      <c r="K8" s="1720"/>
      <c r="L8" s="1721"/>
      <c r="M8" s="1111"/>
      <c r="N8" s="1722"/>
      <c r="O8" s="1719"/>
      <c r="P8" s="1720"/>
      <c r="Q8" s="1720"/>
      <c r="R8" s="1720"/>
      <c r="S8" s="1720"/>
      <c r="T8" s="1720"/>
      <c r="U8" s="1723"/>
      <c r="V8" s="1720"/>
      <c r="W8" s="1724"/>
      <c r="X8" s="1111"/>
      <c r="Y8" s="1725"/>
      <c r="Z8" s="1726"/>
      <c r="AA8" s="1726"/>
      <c r="AB8" s="1727"/>
      <c r="AC8" s="1728"/>
      <c r="AD8" s="1103"/>
    </row>
    <row r="9" spans="1:30" ht="14.25" customHeight="1">
      <c r="A9" s="1654">
        <v>190</v>
      </c>
      <c r="B9" s="1117" t="s">
        <v>18</v>
      </c>
      <c r="C9" s="90">
        <f>Drift!F17</f>
        <v>171</v>
      </c>
      <c r="D9" s="68">
        <v>3</v>
      </c>
      <c r="E9" s="68">
        <v>0</v>
      </c>
      <c r="F9" s="68">
        <v>12</v>
      </c>
      <c r="G9" s="68">
        <v>132</v>
      </c>
      <c r="H9" s="68">
        <v>5</v>
      </c>
      <c r="I9" s="68">
        <v>0</v>
      </c>
      <c r="J9" s="1322">
        <v>0</v>
      </c>
      <c r="K9" s="195">
        <v>19</v>
      </c>
      <c r="L9" s="195">
        <v>0</v>
      </c>
      <c r="M9" s="458">
        <f>C9-SUM(D9:L9)</f>
        <v>0</v>
      </c>
      <c r="N9" s="459">
        <f>Drift!H17</f>
        <v>615</v>
      </c>
      <c r="O9" s="68">
        <v>504</v>
      </c>
      <c r="P9" s="68">
        <v>3</v>
      </c>
      <c r="Q9" s="68">
        <v>42</v>
      </c>
      <c r="R9" s="68">
        <v>7</v>
      </c>
      <c r="S9" s="68">
        <v>4</v>
      </c>
      <c r="T9" s="68">
        <v>45</v>
      </c>
      <c r="U9" s="68">
        <v>2</v>
      </c>
      <c r="V9" s="68">
        <v>8</v>
      </c>
      <c r="W9" s="68">
        <v>0</v>
      </c>
      <c r="X9" s="458">
        <f>N9-SUM(O9:W9)</f>
        <v>0</v>
      </c>
      <c r="Y9" s="461">
        <v>128</v>
      </c>
      <c r="Z9" s="68">
        <v>0</v>
      </c>
      <c r="AA9" s="68">
        <v>262</v>
      </c>
      <c r="AB9" s="68">
        <v>3</v>
      </c>
      <c r="AC9" s="107">
        <v>41</v>
      </c>
      <c r="AD9" s="548" t="str">
        <f>IF((SUM(Y9:AC9)/(Drift!T17+1))&gt;1,(ROUND(SUM(Y9:AC9)-Drift!T17,0))&amp;" tkr högre intäkter i motparten än i driften!","")</f>
        <v/>
      </c>
    </row>
    <row r="10" spans="1:30" ht="12.95" customHeight="1">
      <c r="A10" s="579" t="s">
        <v>236</v>
      </c>
      <c r="B10" s="586" t="s">
        <v>155</v>
      </c>
      <c r="C10" s="90">
        <f>Drift!F30</f>
        <v>8379</v>
      </c>
      <c r="D10" s="55">
        <v>70</v>
      </c>
      <c r="E10" s="55">
        <v>954</v>
      </c>
      <c r="F10" s="55">
        <v>3305</v>
      </c>
      <c r="G10" s="55">
        <v>508</v>
      </c>
      <c r="H10" s="55">
        <v>1</v>
      </c>
      <c r="I10" s="55">
        <v>86</v>
      </c>
      <c r="J10" s="1312">
        <v>0</v>
      </c>
      <c r="K10" s="56">
        <v>3452</v>
      </c>
      <c r="L10" s="195">
        <v>3</v>
      </c>
      <c r="M10" s="458">
        <f t="shared" ref="M10:M39" si="0">C10-SUM(D10:L10)</f>
        <v>0</v>
      </c>
      <c r="N10" s="459">
        <f>Drift!H30</f>
        <v>2877</v>
      </c>
      <c r="O10" s="55">
        <v>496</v>
      </c>
      <c r="P10" s="55">
        <v>679</v>
      </c>
      <c r="Q10" s="55">
        <v>378</v>
      </c>
      <c r="R10" s="55">
        <v>37</v>
      </c>
      <c r="S10" s="55">
        <v>5</v>
      </c>
      <c r="T10" s="55">
        <v>972</v>
      </c>
      <c r="U10" s="55">
        <v>262</v>
      </c>
      <c r="V10" s="55">
        <v>40</v>
      </c>
      <c r="W10" s="55">
        <v>8</v>
      </c>
      <c r="X10" s="458">
        <f t="shared" ref="X10:X39" si="1">N10-SUM(O10:W10)</f>
        <v>0</v>
      </c>
      <c r="Y10" s="462">
        <v>361</v>
      </c>
      <c r="Z10" s="55">
        <v>19</v>
      </c>
      <c r="AA10" s="55">
        <v>1478</v>
      </c>
      <c r="AB10" s="55">
        <v>164</v>
      </c>
      <c r="AC10" s="186">
        <v>1421</v>
      </c>
      <c r="AD10" s="549" t="str">
        <f>IF((SUM(Y10:AC10)/(Drift!T30+1))&gt;1,(ROUND(SUM(Y10:AC10)-Drift!T30,0))&amp;" tkr högre intäkter i motparten än i driften!","")</f>
        <v/>
      </c>
    </row>
    <row r="11" spans="1:30" ht="12.95" customHeight="1">
      <c r="A11" s="579">
        <v>339</v>
      </c>
      <c r="B11" s="586" t="s">
        <v>74</v>
      </c>
      <c r="C11" s="90">
        <f>Drift!F37</f>
        <v>236</v>
      </c>
      <c r="D11" s="68">
        <v>59</v>
      </c>
      <c r="E11" s="68">
        <v>10</v>
      </c>
      <c r="F11" s="68">
        <v>112</v>
      </c>
      <c r="G11" s="68">
        <v>9</v>
      </c>
      <c r="H11" s="68">
        <v>2</v>
      </c>
      <c r="I11" s="68">
        <v>1</v>
      </c>
      <c r="J11" s="1322">
        <v>0</v>
      </c>
      <c r="K11" s="195">
        <v>43</v>
      </c>
      <c r="L11" s="195">
        <v>0</v>
      </c>
      <c r="M11" s="458">
        <f t="shared" si="0"/>
        <v>0</v>
      </c>
      <c r="N11" s="459">
        <f>Drift!H37</f>
        <v>1690</v>
      </c>
      <c r="O11" s="68">
        <v>1072</v>
      </c>
      <c r="P11" s="68">
        <v>201</v>
      </c>
      <c r="Q11" s="68">
        <v>344</v>
      </c>
      <c r="R11" s="68">
        <v>2</v>
      </c>
      <c r="S11" s="68">
        <v>22</v>
      </c>
      <c r="T11" s="68">
        <v>1</v>
      </c>
      <c r="U11" s="68">
        <v>16</v>
      </c>
      <c r="V11" s="68">
        <v>30</v>
      </c>
      <c r="W11" s="68">
        <v>2</v>
      </c>
      <c r="X11" s="458">
        <f t="shared" si="1"/>
        <v>0</v>
      </c>
      <c r="Y11" s="461">
        <v>10</v>
      </c>
      <c r="Z11" s="68">
        <v>5</v>
      </c>
      <c r="AA11" s="68">
        <v>487</v>
      </c>
      <c r="AB11" s="68">
        <v>10</v>
      </c>
      <c r="AC11" s="107">
        <v>434</v>
      </c>
      <c r="AD11" s="549" t="str">
        <f>IF((SUM(Y11:AC11)/(Drift!T37+1))&gt;1,(ROUND(SUM(Y11:AC11)-Drift!T37,0))&amp;" tkr högre intäkter i motparten än i driften!","")</f>
        <v/>
      </c>
    </row>
    <row r="12" spans="1:30" ht="12.95" customHeight="1">
      <c r="A12" s="579">
        <v>359</v>
      </c>
      <c r="B12" s="586" t="s">
        <v>138</v>
      </c>
      <c r="C12" s="90">
        <f>Drift!F42</f>
        <v>727</v>
      </c>
      <c r="D12" s="68">
        <v>219</v>
      </c>
      <c r="E12" s="68">
        <v>135</v>
      </c>
      <c r="F12" s="68">
        <v>340</v>
      </c>
      <c r="G12" s="68">
        <v>19</v>
      </c>
      <c r="H12" s="68">
        <v>0</v>
      </c>
      <c r="I12" s="68">
        <v>0</v>
      </c>
      <c r="J12" s="1322">
        <v>0</v>
      </c>
      <c r="K12" s="195">
        <v>14</v>
      </c>
      <c r="L12" s="195">
        <v>0</v>
      </c>
      <c r="M12" s="458">
        <f t="shared" si="0"/>
        <v>0</v>
      </c>
      <c r="N12" s="459">
        <f>Drift!H42</f>
        <v>2001</v>
      </c>
      <c r="O12" s="68">
        <v>1778</v>
      </c>
      <c r="P12" s="68">
        <v>63</v>
      </c>
      <c r="Q12" s="68">
        <v>144</v>
      </c>
      <c r="R12" s="68">
        <v>3</v>
      </c>
      <c r="S12" s="68">
        <v>0</v>
      </c>
      <c r="T12" s="68">
        <v>1</v>
      </c>
      <c r="U12" s="68">
        <v>3</v>
      </c>
      <c r="V12" s="68">
        <v>9</v>
      </c>
      <c r="W12" s="68">
        <v>0</v>
      </c>
      <c r="X12" s="458">
        <f t="shared" si="1"/>
        <v>0</v>
      </c>
      <c r="Y12" s="461">
        <v>19</v>
      </c>
      <c r="Z12" s="68">
        <v>0</v>
      </c>
      <c r="AA12" s="68">
        <v>536</v>
      </c>
      <c r="AB12" s="68">
        <v>4</v>
      </c>
      <c r="AC12" s="107">
        <v>132</v>
      </c>
      <c r="AD12" s="549" t="str">
        <f>IF((SUM(Y12:AC12)/(Drift!T42+1))&gt;1,(ROUND(SUM(Y12:AC12)-Drift!T42,0))&amp;" tkr högre intäkter i motparten än i driften!","")</f>
        <v/>
      </c>
    </row>
    <row r="13" spans="1:30" ht="12.95" customHeight="1">
      <c r="A13" s="579">
        <v>407</v>
      </c>
      <c r="B13" s="586" t="s">
        <v>83</v>
      </c>
      <c r="C13" s="90">
        <f>Drift!F47</f>
        <v>15549</v>
      </c>
      <c r="D13" s="55">
        <v>4511</v>
      </c>
      <c r="E13" s="55">
        <v>8</v>
      </c>
      <c r="F13" s="55">
        <v>10626</v>
      </c>
      <c r="G13" s="55">
        <v>380</v>
      </c>
      <c r="H13" s="55">
        <v>2</v>
      </c>
      <c r="I13" s="55">
        <v>19</v>
      </c>
      <c r="J13" s="1312">
        <v>0</v>
      </c>
      <c r="K13" s="56">
        <v>3</v>
      </c>
      <c r="L13" s="195">
        <v>0</v>
      </c>
      <c r="M13" s="1367">
        <f>C13-SUM(D13:L13)</f>
        <v>0</v>
      </c>
      <c r="N13" s="459">
        <f>Drift!H47</f>
        <v>6</v>
      </c>
      <c r="O13" s="55">
        <v>2</v>
      </c>
      <c r="P13" s="55">
        <v>0</v>
      </c>
      <c r="Q13" s="55">
        <v>1</v>
      </c>
      <c r="R13" s="55">
        <v>0</v>
      </c>
      <c r="S13" s="55">
        <v>0</v>
      </c>
      <c r="T13" s="55">
        <v>0</v>
      </c>
      <c r="U13" s="55">
        <v>1</v>
      </c>
      <c r="V13" s="55">
        <v>2</v>
      </c>
      <c r="W13" s="55">
        <v>0</v>
      </c>
      <c r="X13" s="458">
        <f t="shared" si="1"/>
        <v>0</v>
      </c>
      <c r="Y13" s="462">
        <v>373</v>
      </c>
      <c r="Z13" s="55">
        <v>4</v>
      </c>
      <c r="AA13" s="55">
        <v>4333</v>
      </c>
      <c r="AB13" s="55">
        <v>8</v>
      </c>
      <c r="AC13" s="107">
        <v>924</v>
      </c>
      <c r="AD13" s="549" t="str">
        <f>IF((SUM(Y13:AC13)/(Drift!T47+1))&gt;1,(ROUND(SUM(Y13:AC13)-Drift!T47,0))&amp;" tkr högre intäkter i motparten än i driften!","")</f>
        <v/>
      </c>
    </row>
    <row r="14" spans="1:30" ht="12.95" customHeight="1">
      <c r="A14" s="579">
        <v>412</v>
      </c>
      <c r="B14" s="586" t="s">
        <v>84</v>
      </c>
      <c r="C14" s="90">
        <f>Drift!F48</f>
        <v>672</v>
      </c>
      <c r="D14" s="55">
        <v>72</v>
      </c>
      <c r="E14" s="55">
        <v>0</v>
      </c>
      <c r="F14" s="55">
        <v>597</v>
      </c>
      <c r="G14" s="55">
        <v>3</v>
      </c>
      <c r="H14" s="55">
        <v>0</v>
      </c>
      <c r="I14" s="55">
        <v>0</v>
      </c>
      <c r="J14" s="1312">
        <v>0</v>
      </c>
      <c r="K14" s="56">
        <v>0</v>
      </c>
      <c r="L14" s="195">
        <v>0</v>
      </c>
      <c r="M14" s="1367">
        <f t="shared" si="0"/>
        <v>0</v>
      </c>
      <c r="N14" s="459">
        <f>Drift!H48</f>
        <v>1</v>
      </c>
      <c r="O14" s="55">
        <v>1</v>
      </c>
      <c r="P14" s="55">
        <v>0</v>
      </c>
      <c r="Q14" s="55">
        <v>0</v>
      </c>
      <c r="R14" s="55">
        <v>0</v>
      </c>
      <c r="S14" s="55">
        <v>0</v>
      </c>
      <c r="T14" s="55">
        <v>0</v>
      </c>
      <c r="U14" s="55">
        <v>0</v>
      </c>
      <c r="V14" s="55">
        <v>0</v>
      </c>
      <c r="W14" s="55">
        <v>0</v>
      </c>
      <c r="X14" s="458">
        <f t="shared" si="1"/>
        <v>0</v>
      </c>
      <c r="Y14" s="462">
        <v>6</v>
      </c>
      <c r="Z14" s="55">
        <v>0</v>
      </c>
      <c r="AA14" s="55">
        <v>28</v>
      </c>
      <c r="AB14" s="55">
        <v>0</v>
      </c>
      <c r="AC14" s="107">
        <v>30</v>
      </c>
      <c r="AD14" s="549" t="str">
        <f>IF((SUM(Y14:AC14)/(Drift!T48+1))&gt;1,(ROUND(SUM(Y14:AC14)-Drift!T48,0))&amp;" tkr högre intäkter i motparten än i driften!","")</f>
        <v/>
      </c>
    </row>
    <row r="15" spans="1:30" ht="12.95" customHeight="1">
      <c r="A15" s="579">
        <v>425</v>
      </c>
      <c r="B15" s="586" t="s">
        <v>86</v>
      </c>
      <c r="C15" s="90">
        <f>Drift!F50</f>
        <v>2306</v>
      </c>
      <c r="D15" s="55">
        <v>677</v>
      </c>
      <c r="E15" s="55">
        <v>0</v>
      </c>
      <c r="F15" s="55">
        <v>1421</v>
      </c>
      <c r="G15" s="55">
        <v>168</v>
      </c>
      <c r="H15" s="55">
        <v>1</v>
      </c>
      <c r="I15" s="55">
        <v>39</v>
      </c>
      <c r="J15" s="1312">
        <v>0</v>
      </c>
      <c r="K15" s="56">
        <v>0</v>
      </c>
      <c r="L15" s="195">
        <v>0</v>
      </c>
      <c r="M15" s="1367">
        <f>C15-SUM(D15:L15)</f>
        <v>0</v>
      </c>
      <c r="N15" s="459">
        <f>Drift!H50</f>
        <v>2</v>
      </c>
      <c r="O15" s="55">
        <v>0</v>
      </c>
      <c r="P15" s="55">
        <v>2</v>
      </c>
      <c r="Q15" s="55">
        <v>0</v>
      </c>
      <c r="R15" s="55">
        <v>0</v>
      </c>
      <c r="S15" s="55">
        <v>0</v>
      </c>
      <c r="T15" s="55">
        <v>0</v>
      </c>
      <c r="U15" s="55">
        <v>0</v>
      </c>
      <c r="V15" s="55">
        <v>0</v>
      </c>
      <c r="W15" s="55">
        <v>0</v>
      </c>
      <c r="X15" s="458">
        <f t="shared" si="1"/>
        <v>0</v>
      </c>
      <c r="Y15" s="462">
        <v>159</v>
      </c>
      <c r="Z15" s="55">
        <v>0</v>
      </c>
      <c r="AA15" s="55">
        <v>1195</v>
      </c>
      <c r="AB15" s="55">
        <v>1</v>
      </c>
      <c r="AC15" s="107">
        <v>139</v>
      </c>
      <c r="AD15" s="549" t="str">
        <f>IF((SUM(Y15:AC15)/(Drift!T50+1))&gt;1,(ROUND(SUM(Y15:AC15)-Drift!T50,0))&amp;" tkr högre intäkter i motparten än i driften!","")</f>
        <v/>
      </c>
    </row>
    <row r="16" spans="1:30" ht="20.25" customHeight="1">
      <c r="A16" s="579">
        <v>419</v>
      </c>
      <c r="B16" s="586" t="s">
        <v>162</v>
      </c>
      <c r="C16" s="90">
        <f>SUM(Drift!F46,Drift!F49)</f>
        <v>77</v>
      </c>
      <c r="D16" s="55">
        <v>40</v>
      </c>
      <c r="E16" s="55">
        <v>0</v>
      </c>
      <c r="F16" s="55">
        <v>36</v>
      </c>
      <c r="G16" s="55">
        <v>1</v>
      </c>
      <c r="H16" s="55">
        <v>0</v>
      </c>
      <c r="I16" s="55">
        <v>0</v>
      </c>
      <c r="J16" s="1312">
        <v>0</v>
      </c>
      <c r="K16" s="56">
        <v>0</v>
      </c>
      <c r="L16" s="195">
        <v>0</v>
      </c>
      <c r="M16" s="1367">
        <f t="shared" si="0"/>
        <v>0</v>
      </c>
      <c r="N16" s="459">
        <f>SUM(Drift!H46,Drift!H49)</f>
        <v>0</v>
      </c>
      <c r="O16" s="55">
        <v>0</v>
      </c>
      <c r="P16" s="55">
        <v>0</v>
      </c>
      <c r="Q16" s="55">
        <v>0</v>
      </c>
      <c r="R16" s="55">
        <v>0</v>
      </c>
      <c r="S16" s="55">
        <v>0</v>
      </c>
      <c r="T16" s="55">
        <v>0</v>
      </c>
      <c r="U16" s="55">
        <v>0</v>
      </c>
      <c r="V16" s="55">
        <v>0</v>
      </c>
      <c r="W16" s="55">
        <v>0</v>
      </c>
      <c r="X16" s="458">
        <f t="shared" si="1"/>
        <v>0</v>
      </c>
      <c r="Y16" s="462">
        <v>2</v>
      </c>
      <c r="Z16" s="55">
        <v>2</v>
      </c>
      <c r="AA16" s="55">
        <v>10</v>
      </c>
      <c r="AB16" s="55">
        <v>0</v>
      </c>
      <c r="AC16" s="107">
        <v>8</v>
      </c>
      <c r="AD16" s="549" t="str">
        <f>IF((SUM(Y16:AC16)/(Drift!T46+Drift!T49+1))&gt;1,(ROUND(SUM(Y16:AC16)-Drift!T46-Drift!T49,0))&amp;" tkr högre intäkter i motparten än i driften!","")</f>
        <v/>
      </c>
    </row>
    <row r="17" spans="1:30" ht="12.95" customHeight="1">
      <c r="A17" s="579">
        <v>435</v>
      </c>
      <c r="B17" s="586" t="s">
        <v>497</v>
      </c>
      <c r="C17" s="90">
        <f>Drift!F53</f>
        <v>922</v>
      </c>
      <c r="D17" s="55">
        <v>278</v>
      </c>
      <c r="E17" s="55">
        <v>0</v>
      </c>
      <c r="F17" s="55">
        <v>585</v>
      </c>
      <c r="G17" s="55">
        <v>49</v>
      </c>
      <c r="H17" s="55">
        <v>1</v>
      </c>
      <c r="I17" s="55">
        <v>9</v>
      </c>
      <c r="J17" s="1312">
        <v>0</v>
      </c>
      <c r="K17" s="56">
        <v>0</v>
      </c>
      <c r="L17" s="195">
        <v>0</v>
      </c>
      <c r="M17" s="1367">
        <f t="shared" si="0"/>
        <v>0</v>
      </c>
      <c r="N17" s="459">
        <f>Drift!H53</f>
        <v>1</v>
      </c>
      <c r="O17" s="55">
        <v>1</v>
      </c>
      <c r="P17" s="55">
        <v>0</v>
      </c>
      <c r="Q17" s="55">
        <v>0</v>
      </c>
      <c r="R17" s="55">
        <v>0</v>
      </c>
      <c r="S17" s="55">
        <v>0</v>
      </c>
      <c r="T17" s="55">
        <v>0</v>
      </c>
      <c r="U17" s="55">
        <v>0</v>
      </c>
      <c r="V17" s="55">
        <v>0</v>
      </c>
      <c r="W17" s="55">
        <v>0</v>
      </c>
      <c r="X17" s="458">
        <f t="shared" si="1"/>
        <v>0</v>
      </c>
      <c r="Y17" s="462">
        <v>46</v>
      </c>
      <c r="Z17" s="55">
        <v>0</v>
      </c>
      <c r="AA17" s="55">
        <v>300</v>
      </c>
      <c r="AB17" s="55">
        <v>1</v>
      </c>
      <c r="AC17" s="107">
        <v>56</v>
      </c>
      <c r="AD17" s="549" t="str">
        <f>IF((SUM(Y17:AC17)/(Drift!T53+1))&gt;1,(ROUND(SUM(Y17:AC17)-Drift!T53,0))&amp;" tkr högre intäkter i motparten än i driften!","")</f>
        <v/>
      </c>
    </row>
    <row r="18" spans="1:30" ht="12.95" customHeight="1">
      <c r="A18" s="579">
        <v>440</v>
      </c>
      <c r="B18" s="586" t="s">
        <v>389</v>
      </c>
      <c r="C18" s="90">
        <f>Drift!F54</f>
        <v>17719</v>
      </c>
      <c r="D18" s="55">
        <v>4125</v>
      </c>
      <c r="E18" s="55">
        <v>17</v>
      </c>
      <c r="F18" s="55">
        <v>11840</v>
      </c>
      <c r="G18" s="55">
        <v>1415</v>
      </c>
      <c r="H18" s="55">
        <v>30</v>
      </c>
      <c r="I18" s="55">
        <v>274</v>
      </c>
      <c r="J18" s="1312">
        <v>0</v>
      </c>
      <c r="K18" s="56">
        <v>15</v>
      </c>
      <c r="L18" s="195">
        <v>3</v>
      </c>
      <c r="M18" s="1367">
        <f t="shared" si="0"/>
        <v>0</v>
      </c>
      <c r="N18" s="459">
        <f>Drift!H54</f>
        <v>43</v>
      </c>
      <c r="O18" s="55">
        <v>12</v>
      </c>
      <c r="P18" s="55">
        <v>8</v>
      </c>
      <c r="Q18" s="55">
        <v>10</v>
      </c>
      <c r="R18" s="55">
        <v>0</v>
      </c>
      <c r="S18" s="55">
        <v>1</v>
      </c>
      <c r="T18" s="55">
        <v>4</v>
      </c>
      <c r="U18" s="55">
        <v>4</v>
      </c>
      <c r="V18" s="55">
        <v>4</v>
      </c>
      <c r="W18" s="55">
        <v>0</v>
      </c>
      <c r="X18" s="458">
        <f t="shared" si="1"/>
        <v>0</v>
      </c>
      <c r="Y18" s="462">
        <v>1401</v>
      </c>
      <c r="Z18" s="55">
        <v>3</v>
      </c>
      <c r="AA18" s="55">
        <v>9753</v>
      </c>
      <c r="AB18" s="55">
        <v>37</v>
      </c>
      <c r="AC18" s="107">
        <v>1110</v>
      </c>
      <c r="AD18" s="549" t="str">
        <f>IF((SUM(Y18:AC18)/(Drift!T54+1))&gt;1,(ROUND(SUM(Y18:AC18)-Drift!T54,0))&amp;" tkr högre intäkter i motparten än i driften!","")</f>
        <v/>
      </c>
    </row>
    <row r="19" spans="1:30" ht="12.95" customHeight="1">
      <c r="A19" s="579">
        <v>443</v>
      </c>
      <c r="B19" s="586" t="s">
        <v>643</v>
      </c>
      <c r="C19" s="90">
        <f>Drift!F55</f>
        <v>617</v>
      </c>
      <c r="D19" s="55">
        <v>68</v>
      </c>
      <c r="E19" s="55">
        <v>0</v>
      </c>
      <c r="F19" s="55">
        <v>231</v>
      </c>
      <c r="G19" s="55">
        <v>302</v>
      </c>
      <c r="H19" s="55">
        <v>3</v>
      </c>
      <c r="I19" s="55">
        <v>10</v>
      </c>
      <c r="J19" s="1312">
        <v>0</v>
      </c>
      <c r="K19" s="56">
        <v>3</v>
      </c>
      <c r="L19" s="195">
        <v>0</v>
      </c>
      <c r="M19" s="1367">
        <f t="shared" si="0"/>
        <v>0</v>
      </c>
      <c r="N19" s="459">
        <f>Drift!H55</f>
        <v>1</v>
      </c>
      <c r="O19" s="55">
        <v>0</v>
      </c>
      <c r="P19" s="55">
        <v>0</v>
      </c>
      <c r="Q19" s="55">
        <v>0</v>
      </c>
      <c r="R19" s="55">
        <v>1</v>
      </c>
      <c r="S19" s="55">
        <v>0</v>
      </c>
      <c r="T19" s="55">
        <v>0</v>
      </c>
      <c r="U19" s="55">
        <v>0</v>
      </c>
      <c r="V19" s="55">
        <v>0</v>
      </c>
      <c r="W19" s="55">
        <v>0</v>
      </c>
      <c r="X19" s="458">
        <f t="shared" si="1"/>
        <v>0</v>
      </c>
      <c r="Y19" s="462">
        <v>314</v>
      </c>
      <c r="Z19" s="55">
        <v>0</v>
      </c>
      <c r="AA19" s="55">
        <v>119</v>
      </c>
      <c r="AB19" s="55">
        <v>0</v>
      </c>
      <c r="AC19" s="107">
        <v>25</v>
      </c>
      <c r="AD19" s="549" t="str">
        <f>IF((SUM(Y19:AC19)/(Drift!T55+1))&gt;1,(ROUND(SUM(Y19:AC19)-Drift!T55,0))&amp;" tkr högre intäkter i motparten än i driften!","")</f>
        <v/>
      </c>
    </row>
    <row r="20" spans="1:30" ht="12.95" customHeight="1">
      <c r="A20" s="579">
        <v>450</v>
      </c>
      <c r="B20" s="586" t="s">
        <v>139</v>
      </c>
      <c r="C20" s="90">
        <f>Drift!F56</f>
        <v>20277</v>
      </c>
      <c r="D20" s="55">
        <v>1095</v>
      </c>
      <c r="E20" s="55">
        <v>13</v>
      </c>
      <c r="F20" s="55">
        <v>9053</v>
      </c>
      <c r="G20" s="55">
        <v>7094</v>
      </c>
      <c r="H20" s="55">
        <v>394</v>
      </c>
      <c r="I20" s="55">
        <v>124</v>
      </c>
      <c r="J20" s="1312">
        <v>0</v>
      </c>
      <c r="K20" s="56">
        <v>2485</v>
      </c>
      <c r="L20" s="195">
        <v>19</v>
      </c>
      <c r="M20" s="1367">
        <f t="shared" si="0"/>
        <v>0</v>
      </c>
      <c r="N20" s="459">
        <f>Drift!H56</f>
        <v>273</v>
      </c>
      <c r="O20" s="55">
        <v>17</v>
      </c>
      <c r="P20" s="55">
        <v>2</v>
      </c>
      <c r="Q20" s="55">
        <v>65</v>
      </c>
      <c r="R20" s="55">
        <v>5</v>
      </c>
      <c r="S20" s="55">
        <v>1</v>
      </c>
      <c r="T20" s="55">
        <v>3</v>
      </c>
      <c r="U20" s="55">
        <v>7</v>
      </c>
      <c r="V20" s="55">
        <v>172</v>
      </c>
      <c r="W20" s="55">
        <v>1</v>
      </c>
      <c r="X20" s="458">
        <f t="shared" si="1"/>
        <v>0</v>
      </c>
      <c r="Y20" s="462">
        <v>7144</v>
      </c>
      <c r="Z20" s="55">
        <v>12</v>
      </c>
      <c r="AA20" s="55">
        <v>3162</v>
      </c>
      <c r="AB20" s="55">
        <v>58</v>
      </c>
      <c r="AC20" s="107">
        <v>757</v>
      </c>
      <c r="AD20" s="549" t="str">
        <f>IF((SUM(Y20:AC20)/(Drift!T56+1))&gt;1,(ROUND(SUM(Y20:AC20)-Drift!T56,0))&amp;" tkr högre intäkter i motparten än i driften!","")</f>
        <v/>
      </c>
    </row>
    <row r="21" spans="1:30" ht="12.95" customHeight="1">
      <c r="A21" s="579">
        <v>453</v>
      </c>
      <c r="B21" s="586" t="s">
        <v>140</v>
      </c>
      <c r="C21" s="90">
        <f>Drift!F57</f>
        <v>1030</v>
      </c>
      <c r="D21" s="55">
        <v>48</v>
      </c>
      <c r="E21" s="55">
        <v>1</v>
      </c>
      <c r="F21" s="55">
        <v>212</v>
      </c>
      <c r="G21" s="55">
        <v>567</v>
      </c>
      <c r="H21" s="55">
        <v>44</v>
      </c>
      <c r="I21" s="55">
        <v>3</v>
      </c>
      <c r="J21" s="1312">
        <v>0</v>
      </c>
      <c r="K21" s="56">
        <v>155</v>
      </c>
      <c r="L21" s="195">
        <v>0</v>
      </c>
      <c r="M21" s="1367">
        <f t="shared" si="0"/>
        <v>0</v>
      </c>
      <c r="N21" s="459">
        <f>Drift!H57</f>
        <v>2</v>
      </c>
      <c r="O21" s="55">
        <v>0</v>
      </c>
      <c r="P21" s="55">
        <v>0</v>
      </c>
      <c r="Q21" s="55">
        <v>0</v>
      </c>
      <c r="R21" s="55">
        <v>0</v>
      </c>
      <c r="S21" s="55">
        <v>0</v>
      </c>
      <c r="T21" s="55">
        <v>0</v>
      </c>
      <c r="U21" s="55">
        <v>0</v>
      </c>
      <c r="V21" s="55">
        <v>2</v>
      </c>
      <c r="W21" s="55">
        <v>0</v>
      </c>
      <c r="X21" s="458">
        <f t="shared" si="1"/>
        <v>0</v>
      </c>
      <c r="Y21" s="462">
        <v>577</v>
      </c>
      <c r="Z21" s="55">
        <v>0</v>
      </c>
      <c r="AA21" s="55">
        <v>62</v>
      </c>
      <c r="AB21" s="55">
        <v>0</v>
      </c>
      <c r="AC21" s="107">
        <v>24</v>
      </c>
      <c r="AD21" s="549" t="str">
        <f>IF((SUM(Y21:AC21)/(Drift!T57+1))&gt;1,(ROUND(SUM(Y21:AC21)-Drift!T57,0))&amp;" tkr högre intäkter i motparten än i driften!","")</f>
        <v/>
      </c>
    </row>
    <row r="22" spans="1:30" ht="12.95" customHeight="1">
      <c r="A22" s="579" t="s">
        <v>504</v>
      </c>
      <c r="B22" s="586" t="s">
        <v>390</v>
      </c>
      <c r="C22" s="90">
        <f>Drift!F60</f>
        <v>447</v>
      </c>
      <c r="D22" s="55">
        <v>33</v>
      </c>
      <c r="E22" s="55">
        <v>2</v>
      </c>
      <c r="F22" s="55">
        <v>233</v>
      </c>
      <c r="G22" s="55">
        <v>76</v>
      </c>
      <c r="H22" s="55">
        <v>0</v>
      </c>
      <c r="I22" s="55">
        <v>2</v>
      </c>
      <c r="J22" s="1312">
        <v>0</v>
      </c>
      <c r="K22" s="56">
        <v>101</v>
      </c>
      <c r="L22" s="195">
        <v>0</v>
      </c>
      <c r="M22" s="1367">
        <f t="shared" si="0"/>
        <v>0</v>
      </c>
      <c r="N22" s="459">
        <f>Drift!H60</f>
        <v>2</v>
      </c>
      <c r="O22" s="55">
        <v>0</v>
      </c>
      <c r="P22" s="55">
        <v>0</v>
      </c>
      <c r="Q22" s="55">
        <v>0</v>
      </c>
      <c r="R22" s="55">
        <v>0</v>
      </c>
      <c r="S22" s="55">
        <v>0</v>
      </c>
      <c r="T22" s="55">
        <v>2</v>
      </c>
      <c r="U22" s="55">
        <v>0</v>
      </c>
      <c r="V22" s="55">
        <v>0</v>
      </c>
      <c r="W22" s="55">
        <v>0</v>
      </c>
      <c r="X22" s="458">
        <f t="shared" si="1"/>
        <v>0</v>
      </c>
      <c r="Y22" s="462">
        <v>50</v>
      </c>
      <c r="Z22" s="55">
        <v>0</v>
      </c>
      <c r="AA22" s="55">
        <v>75</v>
      </c>
      <c r="AB22" s="55">
        <v>2</v>
      </c>
      <c r="AC22" s="107">
        <v>20</v>
      </c>
      <c r="AD22" s="549" t="str">
        <f>IF((SUM(Y22:AC22)/(Drift!T60+1))&gt;1,(ROUND(SUM(Y22:AC22)-Drift!T60,0))&amp;" tkr högre intäkter i motparten än i driften!","")</f>
        <v/>
      </c>
    </row>
    <row r="23" spans="1:30" ht="12.95" customHeight="1">
      <c r="A23" s="579" t="s">
        <v>505</v>
      </c>
      <c r="B23" s="586" t="s">
        <v>391</v>
      </c>
      <c r="C23" s="90">
        <f>Drift!F61</f>
        <v>1830</v>
      </c>
      <c r="D23" s="55">
        <v>67</v>
      </c>
      <c r="E23" s="55">
        <v>9</v>
      </c>
      <c r="F23" s="55">
        <v>1213</v>
      </c>
      <c r="G23" s="55">
        <v>331</v>
      </c>
      <c r="H23" s="55">
        <v>18</v>
      </c>
      <c r="I23" s="55">
        <v>13</v>
      </c>
      <c r="J23" s="1312">
        <v>0</v>
      </c>
      <c r="K23" s="56">
        <v>179</v>
      </c>
      <c r="L23" s="195">
        <v>0</v>
      </c>
      <c r="M23" s="1367">
        <f t="shared" si="0"/>
        <v>0</v>
      </c>
      <c r="N23" s="459">
        <f>Drift!H61</f>
        <v>12</v>
      </c>
      <c r="O23" s="55">
        <v>2</v>
      </c>
      <c r="P23" s="55">
        <v>0</v>
      </c>
      <c r="Q23" s="55">
        <v>2</v>
      </c>
      <c r="R23" s="55">
        <v>7</v>
      </c>
      <c r="S23" s="55">
        <v>0</v>
      </c>
      <c r="T23" s="55">
        <v>0</v>
      </c>
      <c r="U23" s="55">
        <v>1</v>
      </c>
      <c r="V23" s="55">
        <v>0</v>
      </c>
      <c r="W23" s="55">
        <v>0</v>
      </c>
      <c r="X23" s="458">
        <f t="shared" si="1"/>
        <v>0</v>
      </c>
      <c r="Y23" s="462">
        <v>263</v>
      </c>
      <c r="Z23" s="55">
        <v>1</v>
      </c>
      <c r="AA23" s="55">
        <v>1168</v>
      </c>
      <c r="AB23" s="55">
        <v>43</v>
      </c>
      <c r="AC23" s="107">
        <v>217</v>
      </c>
      <c r="AD23" s="549" t="str">
        <f>IF((SUM(Y23:AC23)/(Drift!T61+1))&gt;1,(ROUND(SUM(Y23:AC23)-Drift!T61,0))&amp;" tkr högre intäkter i motparten än i driften!","")</f>
        <v/>
      </c>
    </row>
    <row r="24" spans="1:30" ht="12.95" customHeight="1">
      <c r="A24" s="579">
        <v>474</v>
      </c>
      <c r="B24" s="586" t="s">
        <v>982</v>
      </c>
      <c r="C24" s="90">
        <f>Drift!F63</f>
        <v>22</v>
      </c>
      <c r="D24" s="55">
        <v>0</v>
      </c>
      <c r="E24" s="55">
        <v>0</v>
      </c>
      <c r="F24" s="55">
        <v>2</v>
      </c>
      <c r="G24" s="55">
        <v>6</v>
      </c>
      <c r="H24" s="55">
        <v>0</v>
      </c>
      <c r="I24" s="55">
        <v>0</v>
      </c>
      <c r="J24" s="1312">
        <v>0</v>
      </c>
      <c r="K24" s="56">
        <v>14</v>
      </c>
      <c r="L24" s="195">
        <v>0</v>
      </c>
      <c r="M24" s="458">
        <f t="shared" si="0"/>
        <v>0</v>
      </c>
      <c r="N24" s="459">
        <f>Drift!H63</f>
        <v>0</v>
      </c>
      <c r="O24" s="55">
        <v>0</v>
      </c>
      <c r="P24" s="55">
        <v>0</v>
      </c>
      <c r="Q24" s="55">
        <v>0</v>
      </c>
      <c r="R24" s="55">
        <v>0</v>
      </c>
      <c r="S24" s="55">
        <v>0</v>
      </c>
      <c r="T24" s="55">
        <v>0</v>
      </c>
      <c r="U24" s="55">
        <v>0</v>
      </c>
      <c r="V24" s="55">
        <v>0</v>
      </c>
      <c r="W24" s="55">
        <v>0</v>
      </c>
      <c r="X24" s="458">
        <f t="shared" si="1"/>
        <v>0</v>
      </c>
      <c r="Y24" s="461">
        <v>11</v>
      </c>
      <c r="Z24" s="55">
        <v>0</v>
      </c>
      <c r="AA24" s="55">
        <v>7</v>
      </c>
      <c r="AB24" s="55">
        <v>0</v>
      </c>
      <c r="AC24" s="107">
        <v>3</v>
      </c>
      <c r="AD24" s="549" t="str">
        <f>IF((SUM(Y24:AC24)/(Drift!T63+1))&gt;1,(ROUND(SUM(Y24:AC24)-Drift!T63,0))&amp;" tkr högre intäkter i motparten än i driften!","")</f>
        <v/>
      </c>
    </row>
    <row r="25" spans="1:30" ht="12.95" customHeight="1">
      <c r="A25" s="579">
        <v>479</v>
      </c>
      <c r="B25" s="586" t="s">
        <v>453</v>
      </c>
      <c r="C25" s="90">
        <f>SUM(Drift!F64,Drift!F65,Drift!F66)</f>
        <v>1233</v>
      </c>
      <c r="D25" s="55">
        <v>244</v>
      </c>
      <c r="E25" s="55">
        <v>11</v>
      </c>
      <c r="F25" s="55">
        <v>710</v>
      </c>
      <c r="G25" s="55">
        <v>113</v>
      </c>
      <c r="H25" s="55">
        <v>8</v>
      </c>
      <c r="I25" s="55">
        <v>13</v>
      </c>
      <c r="J25" s="1312">
        <v>0</v>
      </c>
      <c r="K25" s="56">
        <v>134</v>
      </c>
      <c r="L25" s="195">
        <v>0</v>
      </c>
      <c r="M25" s="458">
        <f t="shared" si="0"/>
        <v>0</v>
      </c>
      <c r="N25" s="459">
        <f>SUM(Drift!H64:H66)</f>
        <v>60</v>
      </c>
      <c r="O25" s="55">
        <v>11</v>
      </c>
      <c r="P25" s="55">
        <v>0</v>
      </c>
      <c r="Q25" s="55">
        <v>2</v>
      </c>
      <c r="R25" s="55">
        <v>1</v>
      </c>
      <c r="S25" s="55">
        <v>1</v>
      </c>
      <c r="T25" s="55">
        <v>0</v>
      </c>
      <c r="U25" s="55">
        <v>43</v>
      </c>
      <c r="V25" s="55">
        <v>2</v>
      </c>
      <c r="W25" s="55">
        <v>0</v>
      </c>
      <c r="X25" s="458">
        <f t="shared" si="1"/>
        <v>0</v>
      </c>
      <c r="Y25" s="462">
        <v>115</v>
      </c>
      <c r="Z25" s="55">
        <v>2</v>
      </c>
      <c r="AA25" s="55">
        <v>1732</v>
      </c>
      <c r="AB25" s="55">
        <v>26</v>
      </c>
      <c r="AC25" s="107">
        <v>97</v>
      </c>
      <c r="AD25" s="549" t="str">
        <f>IF((SUM(Y25:AC25)/(Drift!T64+Drift!T65+Drift!T66+1))&gt;1,(ROUND(SUM(Y25:AC25)-Drift!T64-Drift!T65-Drift!T66,0))&amp;" tkr högre intäkter i motparten än i driften!","")</f>
        <v/>
      </c>
    </row>
    <row r="26" spans="1:30" ht="12.95" customHeight="1">
      <c r="A26" s="579">
        <v>509</v>
      </c>
      <c r="B26" s="586" t="s">
        <v>452</v>
      </c>
      <c r="C26" s="90">
        <f>SUM(Drift!F70,Drift!F71)</f>
        <v>298</v>
      </c>
      <c r="D26" s="68">
        <v>0</v>
      </c>
      <c r="E26" s="68">
        <v>0</v>
      </c>
      <c r="F26" s="68">
        <v>130</v>
      </c>
      <c r="G26" s="68">
        <v>0</v>
      </c>
      <c r="H26" s="68">
        <v>166</v>
      </c>
      <c r="I26" s="68">
        <v>0</v>
      </c>
      <c r="J26" s="1322">
        <v>0</v>
      </c>
      <c r="K26" s="195">
        <v>1</v>
      </c>
      <c r="L26" s="195">
        <v>1</v>
      </c>
      <c r="M26" s="458">
        <f t="shared" si="0"/>
        <v>0</v>
      </c>
      <c r="N26" s="459">
        <f>SUM(Drift!H70,Drift!H71)</f>
        <v>1</v>
      </c>
      <c r="O26" s="68">
        <v>0</v>
      </c>
      <c r="P26" s="68">
        <v>0</v>
      </c>
      <c r="Q26" s="68">
        <v>0</v>
      </c>
      <c r="R26" s="68">
        <v>0</v>
      </c>
      <c r="S26" s="68">
        <v>0</v>
      </c>
      <c r="T26" s="68">
        <v>0</v>
      </c>
      <c r="U26" s="68">
        <v>0</v>
      </c>
      <c r="V26" s="68">
        <v>1</v>
      </c>
      <c r="W26" s="68">
        <v>0</v>
      </c>
      <c r="X26" s="458">
        <f t="shared" si="1"/>
        <v>0</v>
      </c>
      <c r="Y26" s="462">
        <v>12</v>
      </c>
      <c r="Z26" s="68">
        <v>69</v>
      </c>
      <c r="AA26" s="68">
        <v>225</v>
      </c>
      <c r="AB26" s="68">
        <v>0</v>
      </c>
      <c r="AC26" s="107">
        <v>11</v>
      </c>
      <c r="AD26" s="549" t="str">
        <f>IF((SUM(Y26:AC26)/(Drift!T70+Drift!T71+1))&gt;1,(ROUND(SUM(Y26:AC26)-Drift!T70-Drift!T71,0))&amp;" tkr högre intäkter i motparten än i driften!","")</f>
        <v/>
      </c>
    </row>
    <row r="27" spans="1:30" ht="12.95" customHeight="1">
      <c r="A27" s="579">
        <v>510</v>
      </c>
      <c r="B27" s="586" t="s">
        <v>507</v>
      </c>
      <c r="C27" s="90">
        <f>Drift!F73</f>
        <v>20347</v>
      </c>
      <c r="D27" s="55">
        <v>1816</v>
      </c>
      <c r="E27" s="55">
        <v>420</v>
      </c>
      <c r="F27" s="55">
        <v>16907</v>
      </c>
      <c r="G27" s="55">
        <v>166</v>
      </c>
      <c r="H27" s="55">
        <v>246</v>
      </c>
      <c r="I27" s="55">
        <v>7</v>
      </c>
      <c r="J27" s="1312">
        <v>0</v>
      </c>
      <c r="K27" s="56">
        <v>783</v>
      </c>
      <c r="L27" s="195">
        <v>2</v>
      </c>
      <c r="M27" s="458">
        <f t="shared" si="0"/>
        <v>0</v>
      </c>
      <c r="N27" s="459">
        <f>Drift!H73</f>
        <v>992</v>
      </c>
      <c r="O27" s="55">
        <v>81</v>
      </c>
      <c r="P27" s="55">
        <v>5</v>
      </c>
      <c r="Q27" s="55">
        <v>307</v>
      </c>
      <c r="R27" s="55">
        <v>6</v>
      </c>
      <c r="S27" s="55">
        <v>6</v>
      </c>
      <c r="T27" s="55">
        <v>9</v>
      </c>
      <c r="U27" s="55">
        <v>9</v>
      </c>
      <c r="V27" s="55">
        <v>569</v>
      </c>
      <c r="W27" s="55">
        <v>0</v>
      </c>
      <c r="X27" s="458">
        <f t="shared" si="1"/>
        <v>0</v>
      </c>
      <c r="Y27" s="462">
        <v>117</v>
      </c>
      <c r="Z27" s="55">
        <v>134</v>
      </c>
      <c r="AA27" s="55">
        <v>2607</v>
      </c>
      <c r="AB27" s="55">
        <v>26</v>
      </c>
      <c r="AC27" s="107">
        <v>1937</v>
      </c>
      <c r="AD27" s="549" t="str">
        <f>IF((SUM(Y27:AC27)/(Drift!T73+1))&gt;1,(ROUND(SUM(Y27:AC27)-Drift!T73,0))&amp;" tkr högre intäkter i motparten än i driften!","")</f>
        <v/>
      </c>
    </row>
    <row r="28" spans="1:30" ht="18" customHeight="1">
      <c r="A28" s="579">
        <v>520</v>
      </c>
      <c r="B28" s="625" t="s">
        <v>385</v>
      </c>
      <c r="C28" s="90">
        <f>Drift!F74</f>
        <v>3484</v>
      </c>
      <c r="D28" s="55">
        <v>234</v>
      </c>
      <c r="E28" s="55">
        <v>15</v>
      </c>
      <c r="F28" s="55">
        <v>3062</v>
      </c>
      <c r="G28" s="55">
        <v>49</v>
      </c>
      <c r="H28" s="55">
        <v>36</v>
      </c>
      <c r="I28" s="55">
        <v>6</v>
      </c>
      <c r="J28" s="1312">
        <v>0</v>
      </c>
      <c r="K28" s="55">
        <v>82</v>
      </c>
      <c r="L28" s="55">
        <v>0</v>
      </c>
      <c r="M28" s="458">
        <f>C28-SUM(D28:L28)</f>
        <v>0</v>
      </c>
      <c r="N28" s="459">
        <f>Drift!H74</f>
        <v>451</v>
      </c>
      <c r="O28" s="55">
        <v>117</v>
      </c>
      <c r="P28" s="55">
        <v>1</v>
      </c>
      <c r="Q28" s="55">
        <v>178</v>
      </c>
      <c r="R28" s="55">
        <v>1</v>
      </c>
      <c r="S28" s="55">
        <v>0</v>
      </c>
      <c r="T28" s="55">
        <v>3</v>
      </c>
      <c r="U28" s="183">
        <v>5</v>
      </c>
      <c r="V28" s="55">
        <v>146</v>
      </c>
      <c r="W28" s="55">
        <v>0</v>
      </c>
      <c r="X28" s="458">
        <f>N28-SUM(O28:W28)</f>
        <v>0</v>
      </c>
      <c r="Y28" s="461">
        <v>29</v>
      </c>
      <c r="Z28" s="55">
        <v>11</v>
      </c>
      <c r="AA28" s="55">
        <v>261</v>
      </c>
      <c r="AB28" s="55">
        <v>5</v>
      </c>
      <c r="AC28" s="547">
        <v>295</v>
      </c>
      <c r="AD28" s="549" t="str">
        <f>IF((SUM(Y28:AC28)/(Drift!T74+1))&gt;1,(ROUND(SUM(Y28:AC28)-Drift!T74,0))&amp;" tkr högre intäkter i motparten än i driften!","")</f>
        <v/>
      </c>
    </row>
    <row r="29" spans="1:30" ht="13.5" customHeight="1">
      <c r="A29" s="579">
        <v>513</v>
      </c>
      <c r="B29" s="1557" t="s">
        <v>386</v>
      </c>
      <c r="C29" s="90">
        <f>Drift!F75</f>
        <v>12637</v>
      </c>
      <c r="D29" s="55">
        <v>1417</v>
      </c>
      <c r="E29" s="55">
        <v>247</v>
      </c>
      <c r="F29" s="55">
        <v>10196</v>
      </c>
      <c r="G29" s="55">
        <v>314</v>
      </c>
      <c r="H29" s="55">
        <v>89</v>
      </c>
      <c r="I29" s="55">
        <v>17</v>
      </c>
      <c r="J29" s="1312">
        <v>0</v>
      </c>
      <c r="K29" s="56">
        <v>356</v>
      </c>
      <c r="L29" s="195">
        <v>1</v>
      </c>
      <c r="M29" s="458">
        <f t="shared" si="0"/>
        <v>0</v>
      </c>
      <c r="N29" s="459">
        <f>Drift!H75</f>
        <v>4779</v>
      </c>
      <c r="O29" s="55">
        <v>13</v>
      </c>
      <c r="P29" s="55">
        <v>3</v>
      </c>
      <c r="Q29" s="55">
        <v>48</v>
      </c>
      <c r="R29" s="55">
        <v>6</v>
      </c>
      <c r="S29" s="55">
        <v>1</v>
      </c>
      <c r="T29" s="55">
        <v>2</v>
      </c>
      <c r="U29" s="183">
        <v>4370</v>
      </c>
      <c r="V29" s="55">
        <v>336</v>
      </c>
      <c r="W29" s="55">
        <v>0</v>
      </c>
      <c r="X29" s="458">
        <f>N29-SUM(O29:W29)</f>
        <v>0</v>
      </c>
      <c r="Y29" s="461">
        <v>225</v>
      </c>
      <c r="Z29" s="55">
        <v>27</v>
      </c>
      <c r="AA29" s="55">
        <v>638</v>
      </c>
      <c r="AB29" s="55">
        <v>8</v>
      </c>
      <c r="AC29" s="547">
        <v>6872</v>
      </c>
      <c r="AD29" s="549" t="str">
        <f>IF((SUM(Y29:AC29)/(Drift!T75+1))&gt;1,(ROUND(SUM(Y29:AC29)-Drift!T75,0))&amp;" tkr högre intäkter i motparten än i driften!","")</f>
        <v/>
      </c>
    </row>
    <row r="30" spans="1:30" ht="12.95" customHeight="1">
      <c r="A30" s="579">
        <v>530</v>
      </c>
      <c r="B30" s="1118" t="s">
        <v>104</v>
      </c>
      <c r="C30" s="90">
        <f>Drift!F76</f>
        <v>1720</v>
      </c>
      <c r="D30" s="55">
        <v>0</v>
      </c>
      <c r="E30" s="55">
        <v>8</v>
      </c>
      <c r="F30" s="55">
        <v>1150</v>
      </c>
      <c r="G30" s="55">
        <v>46</v>
      </c>
      <c r="H30" s="55">
        <v>481</v>
      </c>
      <c r="I30" s="55">
        <v>0</v>
      </c>
      <c r="J30" s="1312">
        <v>0</v>
      </c>
      <c r="K30" s="56">
        <v>35</v>
      </c>
      <c r="L30" s="195">
        <v>0</v>
      </c>
      <c r="M30" s="458">
        <f t="shared" si="0"/>
        <v>0</v>
      </c>
      <c r="N30" s="459">
        <f>Drift!H76</f>
        <v>39</v>
      </c>
      <c r="O30" s="55">
        <v>0</v>
      </c>
      <c r="P30" s="55">
        <v>0</v>
      </c>
      <c r="Q30" s="55">
        <v>0</v>
      </c>
      <c r="R30" s="55">
        <v>0</v>
      </c>
      <c r="S30" s="55">
        <v>8</v>
      </c>
      <c r="T30" s="55">
        <v>31</v>
      </c>
      <c r="U30" s="55">
        <v>0</v>
      </c>
      <c r="V30" s="55">
        <v>0</v>
      </c>
      <c r="W30" s="55">
        <v>0</v>
      </c>
      <c r="X30" s="458">
        <f t="shared" si="1"/>
        <v>0</v>
      </c>
      <c r="Y30" s="461">
        <v>33</v>
      </c>
      <c r="Z30" s="55">
        <v>4</v>
      </c>
      <c r="AA30" s="55">
        <v>4</v>
      </c>
      <c r="AB30" s="55">
        <v>0</v>
      </c>
      <c r="AC30" s="107">
        <v>22</v>
      </c>
      <c r="AD30" s="549" t="str">
        <f>IF((SUM(Y30:AC30)/(Drift!T76+1))&gt;1,(ROUND(SUM(Y30:AC30)-Drift!T76,0))&amp;" tkr högre intäkter i motparten än i driften!","")</f>
        <v/>
      </c>
    </row>
    <row r="31" spans="1:30" ht="12.95" customHeight="1">
      <c r="A31" s="579">
        <v>559</v>
      </c>
      <c r="B31" s="1118" t="s">
        <v>208</v>
      </c>
      <c r="C31" s="90">
        <f>Drift!F79</f>
        <v>3170</v>
      </c>
      <c r="D31" s="55">
        <v>321</v>
      </c>
      <c r="E31" s="55">
        <v>1</v>
      </c>
      <c r="F31" s="55">
        <v>2177</v>
      </c>
      <c r="G31" s="55">
        <v>75</v>
      </c>
      <c r="H31" s="55">
        <v>32</v>
      </c>
      <c r="I31" s="55">
        <v>533</v>
      </c>
      <c r="J31" s="1312">
        <v>0</v>
      </c>
      <c r="K31" s="55">
        <v>31</v>
      </c>
      <c r="L31" s="55">
        <v>0</v>
      </c>
      <c r="M31" s="1367">
        <f t="shared" si="0"/>
        <v>0</v>
      </c>
      <c r="N31" s="459">
        <f>Drift!H79</f>
        <v>180</v>
      </c>
      <c r="O31" s="55">
        <v>144</v>
      </c>
      <c r="P31" s="55">
        <v>0</v>
      </c>
      <c r="Q31" s="55">
        <v>7</v>
      </c>
      <c r="R31" s="55">
        <v>1</v>
      </c>
      <c r="S31" s="55">
        <v>3</v>
      </c>
      <c r="T31" s="55">
        <v>1</v>
      </c>
      <c r="U31" s="55">
        <v>1</v>
      </c>
      <c r="V31" s="55">
        <v>23</v>
      </c>
      <c r="W31" s="55">
        <v>0</v>
      </c>
      <c r="X31" s="1367">
        <f t="shared" si="1"/>
        <v>0</v>
      </c>
      <c r="Y31" s="461">
        <v>70</v>
      </c>
      <c r="Z31" s="68">
        <v>4</v>
      </c>
      <c r="AA31" s="68">
        <v>149</v>
      </c>
      <c r="AB31" s="68">
        <v>5</v>
      </c>
      <c r="AC31" s="186">
        <v>167</v>
      </c>
      <c r="AD31" s="549" t="str">
        <f>IF((SUM(Y31:AC31)/(Drift!T79+1))&gt;1,(ROUND(SUM(Y31:AC31)-Drift!T79,0))&amp;" tkr högre intäkter i motparten än i driften!","")</f>
        <v/>
      </c>
    </row>
    <row r="32" spans="1:30" ht="12.95" customHeight="1">
      <c r="A32" s="579">
        <v>552</v>
      </c>
      <c r="B32" s="586" t="s">
        <v>142</v>
      </c>
      <c r="C32" s="55"/>
      <c r="D32" s="55">
        <v>135</v>
      </c>
      <c r="E32" s="55">
        <v>0</v>
      </c>
      <c r="F32" s="55">
        <v>1191</v>
      </c>
      <c r="G32" s="55">
        <v>38</v>
      </c>
      <c r="H32" s="55">
        <v>15</v>
      </c>
      <c r="I32" s="55">
        <v>479</v>
      </c>
      <c r="J32" s="1312">
        <v>0</v>
      </c>
      <c r="K32" s="55">
        <v>11</v>
      </c>
      <c r="L32" s="55">
        <v>0</v>
      </c>
      <c r="M32" s="1367" t="str">
        <f>IF(OR(C32="",C32=0),"",C32-SUM(D32:L32))</f>
        <v/>
      </c>
      <c r="N32" s="55"/>
      <c r="O32" s="55">
        <v>72</v>
      </c>
      <c r="P32" s="55">
        <v>0</v>
      </c>
      <c r="Q32" s="55">
        <v>1</v>
      </c>
      <c r="R32" s="55">
        <v>0</v>
      </c>
      <c r="S32" s="55">
        <v>0</v>
      </c>
      <c r="T32" s="55">
        <v>0</v>
      </c>
      <c r="U32" s="55">
        <v>1</v>
      </c>
      <c r="V32" s="55">
        <v>8</v>
      </c>
      <c r="W32" s="55">
        <v>0</v>
      </c>
      <c r="X32" s="1367" t="str">
        <f>IF(OR(N32="",N32=0),"",N32-SUM(O32:W32))</f>
        <v/>
      </c>
      <c r="Y32" s="462">
        <v>43</v>
      </c>
      <c r="Z32" s="55">
        <v>0</v>
      </c>
      <c r="AA32" s="55">
        <v>31</v>
      </c>
      <c r="AB32" s="55">
        <v>2</v>
      </c>
      <c r="AC32" s="186">
        <v>68</v>
      </c>
      <c r="AD32" s="549"/>
    </row>
    <row r="33" spans="1:30" ht="12.95" customHeight="1">
      <c r="A33" s="579">
        <v>569</v>
      </c>
      <c r="B33" s="581" t="s">
        <v>108</v>
      </c>
      <c r="C33" s="90">
        <f>Drift!F80</f>
        <v>7532</v>
      </c>
      <c r="D33" s="55">
        <v>230</v>
      </c>
      <c r="E33" s="55">
        <v>13</v>
      </c>
      <c r="F33" s="55">
        <v>6035</v>
      </c>
      <c r="G33" s="55">
        <v>164</v>
      </c>
      <c r="H33" s="55">
        <v>54</v>
      </c>
      <c r="I33" s="55">
        <v>1007</v>
      </c>
      <c r="J33" s="1312">
        <v>0</v>
      </c>
      <c r="K33" s="55">
        <v>29</v>
      </c>
      <c r="L33" s="55">
        <v>0</v>
      </c>
      <c r="M33" s="1367">
        <f t="shared" si="0"/>
        <v>0</v>
      </c>
      <c r="N33" s="459">
        <f>Drift!H80</f>
        <v>172</v>
      </c>
      <c r="O33" s="55">
        <v>48</v>
      </c>
      <c r="P33" s="55">
        <v>0</v>
      </c>
      <c r="Q33" s="55">
        <v>22</v>
      </c>
      <c r="R33" s="55">
        <v>3</v>
      </c>
      <c r="S33" s="55">
        <v>3</v>
      </c>
      <c r="T33" s="55">
        <v>2</v>
      </c>
      <c r="U33" s="55">
        <v>4</v>
      </c>
      <c r="V33" s="55">
        <v>90</v>
      </c>
      <c r="W33" s="55">
        <v>0</v>
      </c>
      <c r="X33" s="1367">
        <f t="shared" si="1"/>
        <v>0</v>
      </c>
      <c r="Y33" s="462">
        <v>150</v>
      </c>
      <c r="Z33" s="55">
        <v>55</v>
      </c>
      <c r="AA33" s="55">
        <v>1088</v>
      </c>
      <c r="AB33" s="55">
        <v>5</v>
      </c>
      <c r="AC33" s="186">
        <v>524</v>
      </c>
      <c r="AD33" s="549" t="str">
        <f>IF((SUM(Y33:AC33)/(Drift!T80+1))&gt;1,(ROUND(SUM(Y33:AC33)-Drift!T80,0))&amp;" tkr högre intäkter i motparten än i driften!","")</f>
        <v/>
      </c>
    </row>
    <row r="34" spans="1:30" ht="12.95" customHeight="1">
      <c r="A34" s="579">
        <v>554</v>
      </c>
      <c r="B34" s="586" t="s">
        <v>212</v>
      </c>
      <c r="C34" s="55"/>
      <c r="D34" s="55">
        <v>97</v>
      </c>
      <c r="E34" s="55">
        <v>1</v>
      </c>
      <c r="F34" s="55">
        <v>3156</v>
      </c>
      <c r="G34" s="55">
        <v>57</v>
      </c>
      <c r="H34" s="55">
        <v>11</v>
      </c>
      <c r="I34" s="55">
        <v>861</v>
      </c>
      <c r="J34" s="1312">
        <v>0</v>
      </c>
      <c r="K34" s="55">
        <v>21</v>
      </c>
      <c r="L34" s="55">
        <v>0</v>
      </c>
      <c r="M34" s="1367" t="str">
        <f>IF(OR(C34="",C34=0),"",C34-SUM(D34:L34))</f>
        <v/>
      </c>
      <c r="N34" s="55"/>
      <c r="O34" s="55">
        <v>4</v>
      </c>
      <c r="P34" s="55">
        <v>0</v>
      </c>
      <c r="Q34" s="55">
        <v>7</v>
      </c>
      <c r="R34" s="55">
        <v>0</v>
      </c>
      <c r="S34" s="55">
        <v>0</v>
      </c>
      <c r="T34" s="55">
        <v>0</v>
      </c>
      <c r="U34" s="55">
        <v>2</v>
      </c>
      <c r="V34" s="55">
        <v>26</v>
      </c>
      <c r="W34" s="55">
        <v>0</v>
      </c>
      <c r="X34" s="1367" t="str">
        <f>IF(OR(N34="",N34=0),"",N34-SUM(O34:W34))</f>
        <v/>
      </c>
      <c r="Y34" s="462">
        <v>51</v>
      </c>
      <c r="Z34" s="55">
        <v>7</v>
      </c>
      <c r="AA34" s="55">
        <v>372</v>
      </c>
      <c r="AB34" s="55">
        <v>2</v>
      </c>
      <c r="AC34" s="186">
        <v>187</v>
      </c>
      <c r="AD34" s="549"/>
    </row>
    <row r="35" spans="1:30" ht="12.95" customHeight="1">
      <c r="A35" s="579">
        <v>580</v>
      </c>
      <c r="B35" s="586" t="s">
        <v>143</v>
      </c>
      <c r="C35" s="90">
        <f>SUM(Drift!F81,Drift!F82,Drift!F84)</f>
        <v>1251</v>
      </c>
      <c r="D35" s="55">
        <v>130</v>
      </c>
      <c r="E35" s="55">
        <v>6</v>
      </c>
      <c r="F35" s="55">
        <v>953</v>
      </c>
      <c r="G35" s="55">
        <v>123</v>
      </c>
      <c r="H35" s="55">
        <v>10</v>
      </c>
      <c r="I35" s="55">
        <v>11</v>
      </c>
      <c r="J35" s="1312">
        <v>0</v>
      </c>
      <c r="K35" s="56">
        <v>18</v>
      </c>
      <c r="L35" s="195">
        <v>0</v>
      </c>
      <c r="M35" s="1367">
        <f t="shared" si="0"/>
        <v>0</v>
      </c>
      <c r="N35" s="459">
        <f>SUM(Drift!H81,Drift!H82,Drift!H84)</f>
        <v>10504</v>
      </c>
      <c r="O35" s="55">
        <v>239</v>
      </c>
      <c r="P35" s="55">
        <v>3</v>
      </c>
      <c r="Q35" s="55">
        <v>36</v>
      </c>
      <c r="R35" s="55">
        <v>2</v>
      </c>
      <c r="S35" s="55">
        <v>2</v>
      </c>
      <c r="T35" s="55">
        <v>7</v>
      </c>
      <c r="U35" s="55">
        <v>2</v>
      </c>
      <c r="V35" s="55">
        <v>10213</v>
      </c>
      <c r="W35" s="55">
        <v>0</v>
      </c>
      <c r="X35" s="1367">
        <f t="shared" si="1"/>
        <v>0</v>
      </c>
      <c r="Y35" s="461">
        <v>104</v>
      </c>
      <c r="Z35" s="55">
        <v>1</v>
      </c>
      <c r="AA35" s="55">
        <v>650</v>
      </c>
      <c r="AB35" s="55">
        <v>16</v>
      </c>
      <c r="AC35" s="107">
        <v>318</v>
      </c>
      <c r="AD35" s="549" t="str">
        <f>IF((SUM(Y35:AC35)/(Drift!T81+Drift!T82+Drift!T84+1))&gt;1,(ROUND(SUM(Y35:AC35)-Drift!T81-Drift!T82-Drift!T84,0))&amp;" tkr högre intäkter i motparten än i driften!","")</f>
        <v/>
      </c>
    </row>
    <row r="36" spans="1:30" ht="12.95" customHeight="1">
      <c r="A36" s="579">
        <v>600</v>
      </c>
      <c r="B36" s="581" t="s">
        <v>116</v>
      </c>
      <c r="C36" s="90">
        <f>Drift!F87</f>
        <v>3757</v>
      </c>
      <c r="D36" s="68">
        <v>155</v>
      </c>
      <c r="E36" s="68">
        <v>28</v>
      </c>
      <c r="F36" s="68">
        <v>3063</v>
      </c>
      <c r="G36" s="68">
        <v>95</v>
      </c>
      <c r="H36" s="68">
        <v>22</v>
      </c>
      <c r="I36" s="68">
        <v>291</v>
      </c>
      <c r="J36" s="1322">
        <v>0</v>
      </c>
      <c r="K36" s="195">
        <v>103</v>
      </c>
      <c r="L36" s="195">
        <v>0</v>
      </c>
      <c r="M36" s="458">
        <f t="shared" si="0"/>
        <v>0</v>
      </c>
      <c r="N36" s="459">
        <f>Drift!H87</f>
        <v>1343</v>
      </c>
      <c r="O36" s="68">
        <v>110</v>
      </c>
      <c r="P36" s="68">
        <v>2</v>
      </c>
      <c r="Q36" s="68">
        <v>35</v>
      </c>
      <c r="R36" s="68">
        <v>3</v>
      </c>
      <c r="S36" s="68">
        <v>1</v>
      </c>
      <c r="T36" s="68">
        <v>1</v>
      </c>
      <c r="U36" s="68">
        <v>8</v>
      </c>
      <c r="V36" s="68">
        <v>1182</v>
      </c>
      <c r="W36" s="68">
        <v>1</v>
      </c>
      <c r="X36" s="458">
        <f t="shared" si="1"/>
        <v>0</v>
      </c>
      <c r="Y36" s="462">
        <v>43</v>
      </c>
      <c r="Z36" s="68">
        <v>21</v>
      </c>
      <c r="AA36" s="68">
        <v>12977</v>
      </c>
      <c r="AB36" s="68">
        <v>40</v>
      </c>
      <c r="AC36" s="107">
        <v>275</v>
      </c>
      <c r="AD36" s="549" t="str">
        <f>IF((SUM(Y36:AC36)/(Drift!T87+1))&gt;1,(ROUND(SUM(Y36:AC36)-Drift!T87,0))&amp;" tkr högre intäkter i motparten än i driften!","")</f>
        <v/>
      </c>
    </row>
    <row r="37" spans="1:30" ht="12.95" customHeight="1">
      <c r="A37" s="579">
        <v>610</v>
      </c>
      <c r="B37" s="586" t="s">
        <v>144</v>
      </c>
      <c r="C37" s="90">
        <f>Drift!F88</f>
        <v>176</v>
      </c>
      <c r="D37" s="55">
        <v>38</v>
      </c>
      <c r="E37" s="55">
        <v>8</v>
      </c>
      <c r="F37" s="55">
        <v>91</v>
      </c>
      <c r="G37" s="55">
        <v>17</v>
      </c>
      <c r="H37" s="55">
        <v>2</v>
      </c>
      <c r="I37" s="55">
        <v>10</v>
      </c>
      <c r="J37" s="1312">
        <v>0</v>
      </c>
      <c r="K37" s="56">
        <v>10</v>
      </c>
      <c r="L37" s="195">
        <v>0</v>
      </c>
      <c r="M37" s="458">
        <f t="shared" si="0"/>
        <v>0</v>
      </c>
      <c r="N37" s="459">
        <f>Drift!H88</f>
        <v>161</v>
      </c>
      <c r="O37" s="55">
        <v>78</v>
      </c>
      <c r="P37" s="55">
        <v>9</v>
      </c>
      <c r="Q37" s="55">
        <v>27</v>
      </c>
      <c r="R37" s="55">
        <v>2</v>
      </c>
      <c r="S37" s="55">
        <v>0</v>
      </c>
      <c r="T37" s="55">
        <v>35</v>
      </c>
      <c r="U37" s="55">
        <v>2</v>
      </c>
      <c r="V37" s="55">
        <v>8</v>
      </c>
      <c r="W37" s="55">
        <v>0</v>
      </c>
      <c r="X37" s="458">
        <f t="shared" si="1"/>
        <v>0</v>
      </c>
      <c r="Y37" s="462">
        <v>20</v>
      </c>
      <c r="Z37" s="55">
        <v>0</v>
      </c>
      <c r="AA37" s="55">
        <v>5117</v>
      </c>
      <c r="AB37" s="55">
        <v>200</v>
      </c>
      <c r="AC37" s="107">
        <v>232</v>
      </c>
      <c r="AD37" s="549" t="str">
        <f>IF((SUM(Y37:AC37)/(Drift!T88+1))&gt;1,(ROUND(SUM(Y37:AC37)-Drift!T88,0))&amp;" tkr högre intäkter i motparten än i driften!","")</f>
        <v/>
      </c>
    </row>
    <row r="38" spans="1:30" ht="12.95" customHeight="1">
      <c r="A38" s="579">
        <v>890</v>
      </c>
      <c r="B38" s="586" t="s">
        <v>145</v>
      </c>
      <c r="C38" s="90">
        <f>Drift!F109</f>
        <v>5588</v>
      </c>
      <c r="D38" s="55">
        <v>6</v>
      </c>
      <c r="E38" s="55">
        <v>1934</v>
      </c>
      <c r="F38" s="55">
        <v>2831</v>
      </c>
      <c r="G38" s="55">
        <v>155</v>
      </c>
      <c r="H38" s="55">
        <v>251</v>
      </c>
      <c r="I38" s="55">
        <v>63</v>
      </c>
      <c r="J38" s="1312">
        <v>0</v>
      </c>
      <c r="K38" s="56">
        <v>344</v>
      </c>
      <c r="L38" s="195">
        <v>4</v>
      </c>
      <c r="M38" s="458">
        <f t="shared" si="0"/>
        <v>0</v>
      </c>
      <c r="N38" s="459">
        <f>Drift!H109</f>
        <v>1446</v>
      </c>
      <c r="O38" s="55">
        <v>18</v>
      </c>
      <c r="P38" s="55">
        <v>447</v>
      </c>
      <c r="Q38" s="55">
        <v>428</v>
      </c>
      <c r="R38" s="55">
        <v>0</v>
      </c>
      <c r="S38" s="55">
        <v>154</v>
      </c>
      <c r="T38" s="55">
        <v>386</v>
      </c>
      <c r="U38" s="55">
        <v>5</v>
      </c>
      <c r="V38" s="55">
        <v>5</v>
      </c>
      <c r="W38" s="55">
        <v>3</v>
      </c>
      <c r="X38" s="458">
        <f t="shared" si="1"/>
        <v>0</v>
      </c>
      <c r="Y38" s="462">
        <v>213</v>
      </c>
      <c r="Z38" s="55">
        <v>26</v>
      </c>
      <c r="AA38" s="55">
        <v>312</v>
      </c>
      <c r="AB38" s="55">
        <v>9</v>
      </c>
      <c r="AC38" s="107">
        <v>4376</v>
      </c>
      <c r="AD38" s="549" t="str">
        <f>IF((SUM(Y38:AC38)/(Drift!T109+1))&gt;1,(ROUND(SUM(Y38:AC38)-Drift!T109,0))&amp;" tkr högre intäkter i motparten än i driften!","")</f>
        <v/>
      </c>
    </row>
    <row r="39" spans="1:30" ht="12.95" customHeight="1">
      <c r="A39" s="579">
        <v>940</v>
      </c>
      <c r="B39" s="586" t="s">
        <v>146</v>
      </c>
      <c r="C39" s="90">
        <f>SUM(Drift!F111:F112)</f>
        <v>906</v>
      </c>
      <c r="D39" s="55">
        <v>21</v>
      </c>
      <c r="E39" s="55">
        <v>390</v>
      </c>
      <c r="F39" s="55">
        <v>279</v>
      </c>
      <c r="G39" s="55">
        <v>147</v>
      </c>
      <c r="H39" s="55">
        <v>12</v>
      </c>
      <c r="I39" s="55">
        <v>3</v>
      </c>
      <c r="J39" s="1312">
        <v>0</v>
      </c>
      <c r="K39" s="56">
        <v>54</v>
      </c>
      <c r="L39" s="195">
        <v>0</v>
      </c>
      <c r="M39" s="458">
        <f t="shared" si="0"/>
        <v>0</v>
      </c>
      <c r="N39" s="459">
        <f>SUM(Drift!H111:H112)</f>
        <v>428</v>
      </c>
      <c r="O39" s="55">
        <v>165</v>
      </c>
      <c r="P39" s="55">
        <v>68</v>
      </c>
      <c r="Q39" s="55">
        <v>57</v>
      </c>
      <c r="R39" s="55">
        <v>24</v>
      </c>
      <c r="S39" s="55">
        <v>7</v>
      </c>
      <c r="T39" s="55">
        <v>56</v>
      </c>
      <c r="U39" s="55">
        <v>41</v>
      </c>
      <c r="V39" s="55">
        <v>8</v>
      </c>
      <c r="W39" s="55">
        <v>2</v>
      </c>
      <c r="X39" s="458">
        <f t="shared" si="1"/>
        <v>0</v>
      </c>
      <c r="Y39" s="462">
        <v>458</v>
      </c>
      <c r="Z39" s="55">
        <v>41</v>
      </c>
      <c r="AA39" s="55">
        <v>1111</v>
      </c>
      <c r="AB39" s="55">
        <v>82</v>
      </c>
      <c r="AC39" s="107">
        <v>685</v>
      </c>
      <c r="AD39" s="550" t="str">
        <f>IF((SUM(Y39:AC39)/(Drift!T111+Drift!T112+1))&gt;1,(ROUND(SUM(Y39:AC39)-Drift!T111-Drift!T112,0))&amp;" tkr högre intäkter i motparten än i driften!","")</f>
        <v/>
      </c>
    </row>
    <row r="40" spans="1:30" ht="12.95" customHeight="1">
      <c r="A40" s="612" t="s">
        <v>289</v>
      </c>
      <c r="B40" s="1119" t="s">
        <v>36</v>
      </c>
      <c r="C40" s="430">
        <f>SUM(C9:C31,C33,C35:C39)</f>
        <v>133080</v>
      </c>
      <c r="D40" s="384">
        <f>SUM(D9:D31,D33,D35:D39)</f>
        <v>15977</v>
      </c>
      <c r="E40" s="384">
        <f t="shared" ref="E40:L40" si="2">SUM(E9:E31,E33,E35:E39)</f>
        <v>4230</v>
      </c>
      <c r="F40" s="384">
        <f t="shared" si="2"/>
        <v>87402</v>
      </c>
      <c r="G40" s="384">
        <f t="shared" si="2"/>
        <v>12524</v>
      </c>
      <c r="H40" s="384">
        <f t="shared" si="2"/>
        <v>1910</v>
      </c>
      <c r="I40" s="384">
        <f t="shared" si="2"/>
        <v>2541</v>
      </c>
      <c r="J40" s="2129">
        <f t="shared" si="2"/>
        <v>0</v>
      </c>
      <c r="K40" s="384">
        <f t="shared" si="2"/>
        <v>8463</v>
      </c>
      <c r="L40" s="384">
        <f t="shared" si="2"/>
        <v>33</v>
      </c>
      <c r="M40" s="387">
        <f>SUM(M9:M31,M33,M35:M39)</f>
        <v>0</v>
      </c>
      <c r="N40" s="460">
        <f>SUM(N9:N31,N33,N35:N39)</f>
        <v>28082</v>
      </c>
      <c r="O40" s="384">
        <f>SUM(O9:O31,O33,O35:O39)</f>
        <v>4909</v>
      </c>
      <c r="P40" s="384">
        <f t="shared" ref="P40:W40" si="3">SUM(P9:P31,P33,P35:P39)</f>
        <v>1496</v>
      </c>
      <c r="Q40" s="384">
        <f t="shared" si="3"/>
        <v>2133</v>
      </c>
      <c r="R40" s="384">
        <f t="shared" si="3"/>
        <v>111</v>
      </c>
      <c r="S40" s="384">
        <f t="shared" si="3"/>
        <v>219</v>
      </c>
      <c r="T40" s="384">
        <f t="shared" si="3"/>
        <v>1561</v>
      </c>
      <c r="U40" s="384">
        <f t="shared" si="3"/>
        <v>4786</v>
      </c>
      <c r="V40" s="384">
        <f t="shared" si="3"/>
        <v>12850</v>
      </c>
      <c r="W40" s="384">
        <f t="shared" si="3"/>
        <v>17</v>
      </c>
      <c r="X40" s="387">
        <f t="shared" ref="X40:AC40" si="4">SUM(X9:X31,X33,X35:X39)</f>
        <v>0</v>
      </c>
      <c r="Y40" s="463">
        <f t="shared" si="4"/>
        <v>12453</v>
      </c>
      <c r="Z40" s="385">
        <f t="shared" si="4"/>
        <v>441</v>
      </c>
      <c r="AA40" s="385">
        <f t="shared" si="4"/>
        <v>49846</v>
      </c>
      <c r="AB40" s="385">
        <f t="shared" si="4"/>
        <v>753</v>
      </c>
      <c r="AC40" s="386">
        <f t="shared" si="4"/>
        <v>21152</v>
      </c>
      <c r="AD40" s="551"/>
    </row>
    <row r="41" spans="1:30" ht="9.75" customHeight="1">
      <c r="A41" s="44"/>
      <c r="B41" s="44"/>
      <c r="C41" s="2512"/>
      <c r="D41" s="2512"/>
      <c r="E41" s="2512"/>
      <c r="F41" s="2512"/>
      <c r="G41" s="2512"/>
      <c r="H41" s="2512"/>
      <c r="L41" s="2012"/>
      <c r="M41" s="182"/>
      <c r="N41" s="2512"/>
      <c r="O41" s="2512"/>
      <c r="P41" s="2512"/>
      <c r="Q41" s="2512"/>
      <c r="R41" s="2512"/>
      <c r="S41" s="2512"/>
      <c r="T41" s="48" t="s">
        <v>474</v>
      </c>
      <c r="U41" s="2013"/>
      <c r="V41" s="2010"/>
      <c r="W41" s="2010"/>
      <c r="X41" s="2011"/>
      <c r="Y41" s="2512"/>
      <c r="Z41" s="2512"/>
      <c r="AA41" s="2512"/>
      <c r="AB41" s="2512"/>
      <c r="AC41" s="2512"/>
      <c r="AD41" s="44"/>
    </row>
    <row r="42" spans="1:30" ht="12.75">
      <c r="A42" s="44"/>
      <c r="B42" s="44"/>
      <c r="C42" s="2512"/>
      <c r="D42" s="2512"/>
      <c r="E42" s="2512"/>
      <c r="F42" s="2512"/>
      <c r="G42" s="2512"/>
      <c r="H42" s="2512"/>
      <c r="L42" s="2018"/>
      <c r="M42" s="2019"/>
      <c r="N42" s="2512"/>
      <c r="O42" s="2512"/>
      <c r="P42" s="2512"/>
      <c r="Q42" s="2512"/>
      <c r="R42" s="2512"/>
      <c r="S42" s="2512"/>
      <c r="T42" s="44"/>
      <c r="U42" s="2009"/>
      <c r="V42" s="2010"/>
      <c r="W42" s="2010"/>
      <c r="X42" s="2011"/>
      <c r="Y42" s="2512"/>
      <c r="Z42" s="2512"/>
      <c r="AA42" s="2512"/>
      <c r="AB42" s="2512"/>
      <c r="AC42" s="2512"/>
      <c r="AD42" s="44"/>
    </row>
    <row r="43" spans="1:30">
      <c r="A43" s="44"/>
      <c r="B43" s="44"/>
      <c r="C43" s="2512"/>
      <c r="D43" s="2512"/>
      <c r="E43" s="2512"/>
      <c r="F43" s="2512"/>
      <c r="G43" s="2512"/>
      <c r="H43" s="2512"/>
      <c r="L43" s="2018"/>
      <c r="M43" s="2019"/>
      <c r="N43" s="2512"/>
      <c r="O43" s="2512"/>
      <c r="P43" s="2512"/>
      <c r="Q43" s="2512"/>
      <c r="R43" s="2512"/>
      <c r="S43" s="2512"/>
      <c r="T43" s="44"/>
      <c r="Y43" s="2512"/>
      <c r="Z43" s="2512"/>
      <c r="AA43" s="2512"/>
      <c r="AB43" s="2512"/>
      <c r="AC43" s="2512"/>
      <c r="AD43" s="44"/>
    </row>
    <row r="44" spans="1:30" ht="12" customHeight="1">
      <c r="A44" s="44"/>
      <c r="B44" s="44"/>
      <c r="L44" s="269"/>
      <c r="M44" s="44"/>
      <c r="T44" s="44"/>
      <c r="U44" s="44"/>
      <c r="V44" s="44"/>
      <c r="W44" s="44"/>
      <c r="X44" s="44"/>
      <c r="AD44" s="44"/>
    </row>
    <row r="45" spans="1:30"/>
    <row r="46" spans="1:30"/>
    <row r="47" spans="1:30"/>
    <row r="48" spans="1:30"/>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row r="84"/>
    <row r="85"/>
    <row r="86"/>
    <row r="87"/>
    <row r="88"/>
    <row r="89"/>
  </sheetData>
  <sheetProtection password="CBFD" sheet="1" objects="1" scenarios="1"/>
  <customSheetViews>
    <customSheetView guid="{27C9E95B-0E2B-454F-B637-1CECC9579A10}" showGridLines="0" hiddenRows="1" hiddenColumns="1" showRuler="0">
      <pane xSplit="2" topLeftCell="J1" activePane="topRight" state="frozen"/>
      <selection pane="topRight" activeCell="AD22" sqref="AD22"/>
      <colBreaks count="2" manualBreakCount="2">
        <brk id="13" max="1048575" man="1"/>
        <brk id="24" max="1048575" man="1"/>
      </colBreaks>
      <pageMargins left="0.70866141732283472" right="0.70866141732283472" top="0.74803149606299213" bottom="0.41" header="0.31496062992125984" footer="0.31496062992125984"/>
      <pageSetup paperSize="9" scale="83" orientation="landscape" r:id="rId1"/>
      <headerFooter alignWithMargins="0">
        <oddHeader>&amp;L&amp;8Statistiska Centralbyrån
Offentlig ekonomi&amp;R&amp;P</oddHeader>
      </headerFooter>
    </customSheetView>
    <customSheetView guid="{99FBDEB7-DD08-4F57-81F4-3C180403E153}" showGridLines="0" hiddenRows="1" hiddenColumns="1">
      <pane xSplit="2" topLeftCell="C1" activePane="topRight" state="frozen"/>
      <selection pane="topRight" activeCell="J2" sqref="J2"/>
      <colBreaks count="2" manualBreakCount="2">
        <brk id="13" max="1048575" man="1"/>
        <brk id="24" max="1048575" man="1"/>
      </colBreaks>
      <pageMargins left="0.70866141732283472" right="0.70866141732283472" top="0.74803149606299213" bottom="0.41" header="0.31496062992125984" footer="0.31496062992125984"/>
      <pageSetup paperSize="9" scale="83" orientation="landscape" r:id="rId2"/>
      <headerFooter>
        <oddHeader>&amp;L&amp;8Statistiska Centralbyrån
Offentlig ekonomi&amp;R&amp;P</oddHeader>
      </headerFooter>
    </customSheetView>
    <customSheetView guid="{97D6DB71-3F4C-4C5F-8C5B-51E3EBF78932}" showPageBreaks="1" showGridLines="0" hiddenRows="1" hiddenColumns="1" topLeftCell="A4">
      <pane xSplit="2" topLeftCell="X1" activePane="topRight" state="frozen"/>
      <selection pane="topRight" activeCell="J2" sqref="J2"/>
      <colBreaks count="2" manualBreakCount="2">
        <brk id="13" max="1048575" man="1"/>
        <brk id="24" max="1048575" man="1"/>
      </colBreaks>
      <pageMargins left="0.70866141732283472" right="0.70866141732283472" top="0.74803149606299213" bottom="0.41" header="0.31496062992125984" footer="0.31496062992125984"/>
      <pageSetup paperSize="9" scale="83" orientation="landscape" r:id="rId3"/>
      <headerFooter>
        <oddHeader>&amp;L&amp;8Statistiska Centralbyrån
Offentlig ekonomi&amp;R&amp;P</oddHeader>
      </headerFooter>
    </customSheetView>
  </customSheetViews>
  <mergeCells count="3">
    <mergeCell ref="C41:H43"/>
    <mergeCell ref="N41:S43"/>
    <mergeCell ref="Y41:AC43"/>
  </mergeCells>
  <phoneticPr fontId="92" type="noConversion"/>
  <conditionalFormatting sqref="D32:L32 D34:L34 O34:W34 O32:W32 Y32:AC32 Y34:AC34">
    <cfRule type="cellIs" dxfId="60" priority="35" stopIfTrue="1" operator="lessThan">
      <formula>-500</formula>
    </cfRule>
    <cfRule type="cellIs" dxfId="59" priority="36" stopIfTrue="1" operator="greaterThan">
      <formula>D31</formula>
    </cfRule>
  </conditionalFormatting>
  <conditionalFormatting sqref="M9:M26 M30:M40 X9:X40">
    <cfRule type="cellIs" dxfId="58" priority="22" stopIfTrue="1" operator="notBetween">
      <formula>-500</formula>
      <formula>500</formula>
    </cfRule>
  </conditionalFormatting>
  <conditionalFormatting sqref="M27:M29">
    <cfRule type="cellIs" dxfId="57" priority="6" stopIfTrue="1" operator="notBetween">
      <formula>-10</formula>
      <formula>10</formula>
    </cfRule>
  </conditionalFormatting>
  <conditionalFormatting sqref="J9:J39">
    <cfRule type="cellIs" dxfId="56" priority="3" stopIfTrue="1" operator="greaterThan">
      <formula>1</formula>
    </cfRule>
  </conditionalFormatting>
  <conditionalFormatting sqref="U31">
    <cfRule type="cellIs" dxfId="55" priority="2" stopIfTrue="1" operator="greaterThan">
      <formula>1</formula>
    </cfRule>
  </conditionalFormatting>
  <dataValidations count="1">
    <dataValidation type="decimal" operator="lessThan" allowBlank="1" showInputMessage="1" showErrorMessage="1" error="Beloppet ska vara i 1000 tal kr" sqref="D9:L39 O9:W39 Y9:AC39 C32 C34 N32 N34">
      <formula1>99999999</formula1>
    </dataValidation>
  </dataValidations>
  <pageMargins left="0.70866141732283472" right="0.70866141732283472" top="0.54" bottom="0.17" header="0.19685039370078741" footer="0.15748031496062992"/>
  <pageSetup paperSize="9" scale="65" orientation="landscape" r:id="rId4"/>
  <headerFooter>
    <oddHeader>&amp;L&amp;8Statistiska Centralbyrån
Offentlig ekonomi&amp;R&amp;P</oddHeader>
  </headerFooter>
  <colBreaks count="2" manualBreakCount="2">
    <brk id="13" max="1048575" man="1"/>
    <brk id="2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O104"/>
  <sheetViews>
    <sheetView showGridLines="0" zoomScaleNormal="100" workbookViewId="0">
      <pane xSplit="2" ySplit="7" topLeftCell="C8" activePane="bottomRight" state="frozen"/>
      <selection pane="topRight" activeCell="C1" sqref="C1"/>
      <selection pane="bottomLeft" activeCell="A8" sqref="A8"/>
      <selection pane="bottomRight" activeCell="R96" sqref="R96"/>
    </sheetView>
  </sheetViews>
  <sheetFormatPr defaultColWidth="0" defaultRowHeight="0" customHeight="1" zeroHeight="1"/>
  <cols>
    <col min="1" max="1" width="4" style="283" customWidth="1"/>
    <col min="2" max="2" width="27.140625" style="228" customWidth="1"/>
    <col min="3" max="3" width="10.140625" style="228" customWidth="1"/>
    <col min="4" max="5" width="10.28515625" style="228" customWidth="1"/>
    <col min="6" max="6" width="9.7109375" style="228" customWidth="1"/>
    <col min="7" max="7" width="8.42578125" style="228" customWidth="1"/>
    <col min="8" max="8" width="8.42578125" style="284" hidden="1" customWidth="1"/>
    <col min="9" max="9" width="25.7109375" style="228" customWidth="1"/>
    <col min="10" max="10" width="6.85546875" style="228" customWidth="1"/>
    <col min="11" max="11" width="1.28515625" style="229" customWidth="1"/>
    <col min="12" max="12" width="0.85546875" style="229" customWidth="1"/>
    <col min="13" max="13" width="11.7109375" style="179" customWidth="1"/>
    <col min="14" max="15" width="1" style="216" customWidth="1"/>
    <col min="16" max="16" width="1" style="2431" customWidth="1"/>
    <col min="17" max="17" width="46" style="4" customWidth="1"/>
    <col min="18" max="19" width="9.140625" style="178" customWidth="1"/>
    <col min="20" max="16384" width="0" style="178" hidden="1"/>
  </cols>
  <sheetData>
    <row r="1" spans="1:249" ht="21.75">
      <c r="A1" s="84" t="str">
        <f>"Specificering pedagogisk verksamhet "&amp;År&amp;", miljoner kr"</f>
        <v>Specificering pedagogisk verksamhet 2018, miljoner kr</v>
      </c>
      <c r="B1" s="85"/>
      <c r="C1" s="85"/>
      <c r="D1" s="85"/>
      <c r="E1" s="177"/>
      <c r="F1" s="177"/>
      <c r="G1" s="177"/>
      <c r="H1" s="270"/>
      <c r="I1" s="540" t="s">
        <v>474</v>
      </c>
      <c r="J1" s="537" t="str">
        <f>'Kn Information'!B2</f>
        <v>RIKSTOTAL</v>
      </c>
      <c r="K1" s="206"/>
      <c r="L1" s="206"/>
      <c r="M1" s="1380"/>
      <c r="O1" s="77"/>
      <c r="P1" s="2427"/>
      <c r="Q1" s="177"/>
      <c r="R1" s="216"/>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row>
    <row r="2" spans="1:249" ht="17.25" customHeight="1">
      <c r="A2" s="1339"/>
      <c r="C2" s="1437"/>
      <c r="D2" s="47"/>
      <c r="E2" s="216"/>
      <c r="F2" s="216"/>
      <c r="G2" s="272"/>
      <c r="H2" s="273"/>
      <c r="I2" s="47"/>
      <c r="K2" s="1519"/>
      <c r="L2" s="178"/>
      <c r="O2" s="2425"/>
      <c r="P2" s="86"/>
      <c r="Q2" s="1373"/>
    </row>
    <row r="3" spans="1:249" ht="17.25" customHeight="1" thickBot="1">
      <c r="C3" s="1437"/>
      <c r="D3" s="47"/>
      <c r="E3" s="272"/>
      <c r="F3" s="272"/>
      <c r="G3" s="272"/>
      <c r="H3" s="273"/>
      <c r="I3" s="47"/>
      <c r="K3" s="274"/>
      <c r="L3" s="274"/>
      <c r="M3" s="1375"/>
      <c r="N3" s="1642"/>
      <c r="O3" s="2426"/>
      <c r="P3" s="86"/>
      <c r="Q3" s="1374"/>
    </row>
    <row r="4" spans="1:249" ht="11.25" customHeight="1">
      <c r="A4" s="1458" t="s">
        <v>658</v>
      </c>
      <c r="B4" s="1457" t="s">
        <v>473</v>
      </c>
      <c r="C4" s="1120" t="s">
        <v>147</v>
      </c>
      <c r="D4" s="1448"/>
      <c r="E4" s="834" t="s">
        <v>147</v>
      </c>
      <c r="F4" s="1448"/>
      <c r="G4" s="1447"/>
      <c r="H4" s="275" t="s">
        <v>610</v>
      </c>
      <c r="I4" s="2627" t="s">
        <v>1282</v>
      </c>
      <c r="J4" s="2628"/>
      <c r="K4" s="2628"/>
      <c r="L4" s="2629"/>
      <c r="M4" s="2618" t="s">
        <v>1066</v>
      </c>
      <c r="N4" s="2437"/>
      <c r="O4" s="2438"/>
      <c r="P4" s="2439"/>
      <c r="Q4" s="2616" t="s">
        <v>62</v>
      </c>
    </row>
    <row r="5" spans="1:249" ht="12.75" customHeight="1">
      <c r="A5" s="1459" t="s">
        <v>661</v>
      </c>
      <c r="B5" s="883"/>
      <c r="C5" s="1121" t="s">
        <v>46</v>
      </c>
      <c r="D5" s="2621" t="s">
        <v>896</v>
      </c>
      <c r="E5" s="837" t="s">
        <v>154</v>
      </c>
      <c r="F5" s="2621" t="s">
        <v>515</v>
      </c>
      <c r="G5" s="2624" t="s">
        <v>1321</v>
      </c>
      <c r="H5" s="157"/>
      <c r="I5" s="2630"/>
      <c r="J5" s="2631"/>
      <c r="K5" s="2631"/>
      <c r="L5" s="2632"/>
      <c r="M5" s="2619"/>
      <c r="N5" s="2437"/>
      <c r="O5" s="154"/>
      <c r="P5" s="280"/>
      <c r="Q5" s="2617"/>
    </row>
    <row r="6" spans="1:249" ht="36.75" customHeight="1">
      <c r="A6" s="1122"/>
      <c r="B6" s="883"/>
      <c r="C6" s="1121"/>
      <c r="D6" s="2622"/>
      <c r="E6" s="584"/>
      <c r="F6" s="2622"/>
      <c r="G6" s="2625"/>
      <c r="H6" s="157"/>
      <c r="I6" s="1533"/>
      <c r="J6" s="1550"/>
      <c r="K6" s="1550"/>
      <c r="L6" s="1551"/>
      <c r="M6" s="2620"/>
      <c r="N6" s="2440"/>
      <c r="O6" s="154"/>
      <c r="P6" s="2428"/>
      <c r="Q6" s="2617"/>
      <c r="IO6" s="2615"/>
    </row>
    <row r="7" spans="1:249" ht="93.75" customHeight="1" thickBot="1">
      <c r="A7" s="1114"/>
      <c r="B7" s="883"/>
      <c r="C7" s="1116"/>
      <c r="D7" s="2623"/>
      <c r="E7" s="584"/>
      <c r="F7" s="2623"/>
      <c r="G7" s="2626"/>
      <c r="H7" s="157"/>
      <c r="I7" s="1552"/>
      <c r="J7" s="883"/>
      <c r="K7" s="1554"/>
      <c r="L7" s="1553"/>
      <c r="M7" s="2445" t="str">
        <f>"År "&amp;År</f>
        <v>År 2018</v>
      </c>
      <c r="N7" s="1467"/>
      <c r="O7" s="1467"/>
      <c r="P7" s="2277"/>
      <c r="Q7" s="2617"/>
      <c r="IO7" s="2615"/>
    </row>
    <row r="8" spans="1:249" ht="12.75">
      <c r="A8" s="1142" t="s">
        <v>409</v>
      </c>
      <c r="B8" s="1143" t="s">
        <v>571</v>
      </c>
      <c r="C8" s="129">
        <f>Drift!P47</f>
        <v>87859</v>
      </c>
      <c r="D8" s="130">
        <f>SUM(Motpart!D13:L13)</f>
        <v>15549</v>
      </c>
      <c r="E8" s="130">
        <f>Drift!W47</f>
        <v>19273</v>
      </c>
      <c r="F8" s="130">
        <f>Motpart!Y13</f>
        <v>373</v>
      </c>
      <c r="G8" s="137">
        <f>Drift!V47</f>
        <v>8804</v>
      </c>
      <c r="H8" s="158"/>
      <c r="I8" s="1104" t="s">
        <v>977</v>
      </c>
      <c r="J8" s="1657">
        <v>610134</v>
      </c>
      <c r="K8" s="1540"/>
      <c r="L8" s="1541"/>
      <c r="M8" s="2446">
        <f>(C8-F8-G8)*1000/J9</f>
        <v>128986.88524590163</v>
      </c>
      <c r="N8" s="1397"/>
      <c r="O8" s="2441"/>
      <c r="P8" s="2429"/>
      <c r="Q8" s="2432" t="s">
        <v>983</v>
      </c>
    </row>
    <row r="9" spans="1:249" s="1358" customFormat="1" ht="11.25" customHeight="1">
      <c r="A9" s="1144" t="s">
        <v>328</v>
      </c>
      <c r="B9" s="1145" t="s">
        <v>376</v>
      </c>
      <c r="C9" s="383">
        <f>C8-G8-D8</f>
        <v>63506</v>
      </c>
      <c r="D9" s="1123"/>
      <c r="E9" s="1129"/>
      <c r="F9" s="1129"/>
      <c r="G9" s="1135"/>
      <c r="H9" s="159">
        <v>850</v>
      </c>
      <c r="I9" s="1534"/>
      <c r="J9" s="2454">
        <v>610</v>
      </c>
      <c r="K9" s="1538"/>
      <c r="L9" s="1539"/>
      <c r="M9" s="661">
        <f>C9*1000/J9</f>
        <v>104108.19672131147</v>
      </c>
      <c r="N9" s="1397"/>
      <c r="O9" s="2441"/>
      <c r="P9" s="2429"/>
      <c r="Q9" s="2432" t="s">
        <v>984</v>
      </c>
      <c r="R9" s="1354"/>
      <c r="S9" s="1354"/>
    </row>
    <row r="10" spans="1:249" s="1354" customFormat="1" ht="18.75">
      <c r="A10" s="1144" t="s">
        <v>326</v>
      </c>
      <c r="B10" s="1146" t="s">
        <v>377</v>
      </c>
      <c r="C10" s="90">
        <f>Drift!C47+Drift!D47</f>
        <v>46056</v>
      </c>
      <c r="D10" s="1123"/>
      <c r="E10" s="1130"/>
      <c r="F10" s="1130"/>
      <c r="G10" s="1135"/>
      <c r="H10" s="159">
        <v>851</v>
      </c>
      <c r="I10" s="1534"/>
      <c r="J10" s="1535"/>
      <c r="K10" s="1180"/>
      <c r="L10" s="1536"/>
      <c r="M10" s="661">
        <f>IF(C10=0,0,C10*100/C9)</f>
        <v>72.522281359241646</v>
      </c>
      <c r="N10" s="1397"/>
      <c r="O10" s="2441"/>
      <c r="P10" s="2429"/>
      <c r="Q10" s="2432" t="s">
        <v>378</v>
      </c>
    </row>
    <row r="11" spans="1:249" s="1354" customFormat="1" ht="11.25" customHeight="1">
      <c r="A11" s="1144" t="s">
        <v>329</v>
      </c>
      <c r="B11" s="1146" t="s">
        <v>568</v>
      </c>
      <c r="C11" s="286">
        <v>9353</v>
      </c>
      <c r="D11" s="1124"/>
      <c r="E11" s="265">
        <v>254</v>
      </c>
      <c r="F11" s="1130"/>
      <c r="G11" s="285">
        <v>211</v>
      </c>
      <c r="H11" s="159"/>
      <c r="I11" s="883"/>
      <c r="J11" s="1658"/>
      <c r="K11" s="1176"/>
      <c r="L11" s="1537"/>
      <c r="M11" s="661">
        <f>(C11-E11)*1000/J9</f>
        <v>14916.393442622952</v>
      </c>
      <c r="N11" s="1397"/>
      <c r="O11" s="2441"/>
      <c r="P11" s="2429"/>
      <c r="Q11" s="2432" t="s">
        <v>985</v>
      </c>
    </row>
    <row r="12" spans="1:249" s="1354" customFormat="1" ht="11.25" customHeight="1">
      <c r="A12" s="1144" t="s">
        <v>476</v>
      </c>
      <c r="B12" s="1146" t="s">
        <v>516</v>
      </c>
      <c r="C12" s="1127"/>
      <c r="D12" s="1125"/>
      <c r="E12" s="91">
        <f>Drift!R47</f>
        <v>4655</v>
      </c>
      <c r="F12" s="1131"/>
      <c r="G12" s="1376"/>
      <c r="H12" s="174" t="s">
        <v>584</v>
      </c>
      <c r="I12" s="1178"/>
      <c r="J12" s="1535"/>
      <c r="K12" s="1538"/>
      <c r="L12" s="1539"/>
      <c r="M12" s="661">
        <f>(Motpart!G13+Motpart!K13)*1000/J9</f>
        <v>627.86885245901635</v>
      </c>
      <c r="N12" s="1397"/>
      <c r="O12" s="2441"/>
      <c r="P12" s="2430"/>
      <c r="Q12" s="2432" t="s">
        <v>986</v>
      </c>
    </row>
    <row r="13" spans="1:249" s="1354" customFormat="1" ht="11.25" customHeight="1">
      <c r="A13" s="1144" t="s">
        <v>477</v>
      </c>
      <c r="B13" s="1146" t="s">
        <v>478</v>
      </c>
      <c r="C13" s="1128"/>
      <c r="D13" s="1125"/>
      <c r="E13" s="265">
        <v>539</v>
      </c>
      <c r="F13" s="1131"/>
      <c r="G13" s="1376"/>
      <c r="H13" s="175" t="s">
        <v>585</v>
      </c>
      <c r="I13" s="1178"/>
      <c r="J13" s="1535"/>
      <c r="K13" s="1538"/>
      <c r="L13" s="1539"/>
      <c r="M13" s="661">
        <f>F8*1000/J9</f>
        <v>611.47540983606552</v>
      </c>
      <c r="N13" s="1397"/>
      <c r="O13" s="2441"/>
      <c r="P13" s="2429"/>
      <c r="Q13" s="2432" t="s">
        <v>987</v>
      </c>
    </row>
    <row r="14" spans="1:249" s="1354" customFormat="1" ht="11.25" customHeight="1">
      <c r="A14" s="1147" t="s">
        <v>601</v>
      </c>
      <c r="B14" s="1148"/>
      <c r="C14" s="1128"/>
      <c r="D14" s="1126"/>
      <c r="E14" s="1134"/>
      <c r="F14" s="1132"/>
      <c r="G14" s="1376"/>
      <c r="H14" s="174" t="s">
        <v>586</v>
      </c>
      <c r="I14" s="1178"/>
      <c r="J14" s="1535"/>
      <c r="K14" s="1538"/>
      <c r="L14" s="1539"/>
      <c r="M14" s="661">
        <f>((Motpart!D13+Motpart!E13+Motpart!F13+Motpart!J13)-((Motpart!D13+Motpart!E13+Motpart!F13+Motpart!J13)*0.06))*1000/J9</f>
        <v>23338.196721311477</v>
      </c>
      <c r="N14" s="1397"/>
      <c r="O14" s="2441"/>
      <c r="P14" s="2429"/>
      <c r="Q14" s="2432" t="s">
        <v>988</v>
      </c>
    </row>
    <row r="15" spans="1:249" s="1359" customFormat="1" ht="12" thickBot="1">
      <c r="A15" s="1147" t="s">
        <v>324</v>
      </c>
      <c r="B15" s="1148"/>
      <c r="C15" s="1128"/>
      <c r="D15" s="1126"/>
      <c r="E15" s="1126"/>
      <c r="F15" s="1133"/>
      <c r="G15" s="1136"/>
      <c r="H15" s="160"/>
      <c r="I15" s="1549"/>
      <c r="J15" s="1659"/>
      <c r="K15" s="1177"/>
      <c r="L15" s="1547"/>
      <c r="M15" s="1398">
        <f>IF(C9=0,0,(E12-E13)*100/C9)</f>
        <v>6.4812773596195639</v>
      </c>
      <c r="N15" s="1397"/>
      <c r="O15" s="2441"/>
      <c r="P15" s="2429"/>
      <c r="Q15" s="2432" t="s">
        <v>547</v>
      </c>
      <c r="R15" s="1354"/>
      <c r="S15" s="1354"/>
    </row>
    <row r="16" spans="1:249" ht="12.75">
      <c r="A16" s="1149" t="s">
        <v>716</v>
      </c>
      <c r="B16" s="1150" t="s">
        <v>572</v>
      </c>
      <c r="C16" s="88">
        <f>Drift!P50</f>
        <v>21918</v>
      </c>
      <c r="D16" s="89">
        <f>SUM(Motpart!D15:L15)</f>
        <v>2306</v>
      </c>
      <c r="E16" s="93">
        <f>Drift!W50</f>
        <v>7308</v>
      </c>
      <c r="F16" s="89">
        <f>Motpart!Y15</f>
        <v>159</v>
      </c>
      <c r="G16" s="138">
        <f>Drift!V50</f>
        <v>2855</v>
      </c>
      <c r="H16" s="157"/>
      <c r="I16" s="1104" t="s">
        <v>978</v>
      </c>
      <c r="J16" s="1657">
        <v>860540</v>
      </c>
      <c r="K16" s="1548"/>
      <c r="L16" s="1541"/>
      <c r="M16" s="2447">
        <f>(C16-G16-F16)*1000/J17</f>
        <v>21955.865272938445</v>
      </c>
      <c r="N16" s="1397"/>
      <c r="O16" s="2442"/>
      <c r="P16" s="325"/>
      <c r="Q16" s="2433" t="s">
        <v>1028</v>
      </c>
    </row>
    <row r="17" spans="1:249" ht="12.75">
      <c r="A17" s="1144" t="s">
        <v>392</v>
      </c>
      <c r="B17" s="1151" t="s">
        <v>376</v>
      </c>
      <c r="C17" s="383">
        <f>C16-G16-D16</f>
        <v>16757</v>
      </c>
      <c r="D17" s="1137"/>
      <c r="E17" s="1138"/>
      <c r="F17" s="1138"/>
      <c r="G17" s="1135"/>
      <c r="H17" s="161" t="s">
        <v>283</v>
      </c>
      <c r="I17" s="1534"/>
      <c r="J17" s="2454">
        <v>861</v>
      </c>
      <c r="K17" s="1538"/>
      <c r="L17" s="1539"/>
      <c r="M17" s="661">
        <f>C17*1000/J17</f>
        <v>19462.253193960511</v>
      </c>
      <c r="N17" s="1397"/>
      <c r="O17" s="2442"/>
      <c r="P17" s="325"/>
      <c r="Q17" s="2432" t="s">
        <v>1029</v>
      </c>
    </row>
    <row r="18" spans="1:249" ht="18.75">
      <c r="A18" s="1144" t="s">
        <v>393</v>
      </c>
      <c r="B18" s="1152" t="s">
        <v>377</v>
      </c>
      <c r="C18" s="90">
        <f>Drift!C50+Drift!D50</f>
        <v>12228</v>
      </c>
      <c r="D18" s="1137"/>
      <c r="E18" s="1130"/>
      <c r="F18" s="1130"/>
      <c r="G18" s="1135"/>
      <c r="H18" s="159" t="s">
        <v>612</v>
      </c>
      <c r="I18" s="1534"/>
      <c r="J18" s="1535"/>
      <c r="K18" s="1180"/>
      <c r="L18" s="1536"/>
      <c r="M18" s="661">
        <f>IF(C18=0,0,(C18*100/C17))</f>
        <v>72.972489109029055</v>
      </c>
      <c r="N18" s="1397"/>
      <c r="O18" s="2442"/>
      <c r="P18" s="325"/>
      <c r="Q18" s="2432" t="s">
        <v>387</v>
      </c>
    </row>
    <row r="19" spans="1:249" ht="12.75">
      <c r="A19" s="1144" t="s">
        <v>394</v>
      </c>
      <c r="B19" s="1146" t="s">
        <v>568</v>
      </c>
      <c r="C19" s="286">
        <v>2728</v>
      </c>
      <c r="D19" s="1137"/>
      <c r="E19" s="265">
        <v>85</v>
      </c>
      <c r="F19" s="1132"/>
      <c r="G19" s="285">
        <v>73</v>
      </c>
      <c r="H19" s="157"/>
      <c r="I19" s="1534"/>
      <c r="J19" s="1658"/>
      <c r="K19" s="1176"/>
      <c r="L19" s="1537"/>
      <c r="M19" s="794">
        <f>(C19-E19)*1000/J17</f>
        <v>3069.6864111498257</v>
      </c>
      <c r="N19" s="1397"/>
      <c r="O19" s="2442"/>
      <c r="P19" s="325"/>
      <c r="Q19" s="2432" t="s">
        <v>1030</v>
      </c>
    </row>
    <row r="20" spans="1:249" ht="12.75">
      <c r="A20" s="1144" t="s">
        <v>587</v>
      </c>
      <c r="B20" s="1146" t="s">
        <v>516</v>
      </c>
      <c r="C20" s="1127"/>
      <c r="D20" s="1125"/>
      <c r="E20" s="94">
        <f>Drift!R50</f>
        <v>2920</v>
      </c>
      <c r="F20" s="1131"/>
      <c r="G20" s="1376"/>
      <c r="H20" s="445" t="s">
        <v>613</v>
      </c>
      <c r="I20" s="1178"/>
      <c r="J20" s="1535"/>
      <c r="K20" s="1538"/>
      <c r="L20" s="1539"/>
      <c r="M20" s="661">
        <f>IF(D16=0,0,(Motpart!G15+Motpart!K15)*1000/J17)</f>
        <v>195.1219512195122</v>
      </c>
      <c r="N20" s="1397"/>
      <c r="O20" s="2442"/>
      <c r="P20" s="325"/>
      <c r="Q20" s="2432" t="s">
        <v>1031</v>
      </c>
    </row>
    <row r="21" spans="1:249" ht="12.75">
      <c r="A21" s="1144" t="s">
        <v>588</v>
      </c>
      <c r="B21" s="1146" t="s">
        <v>478</v>
      </c>
      <c r="C21" s="1128"/>
      <c r="D21" s="1125"/>
      <c r="E21" s="265">
        <v>128</v>
      </c>
      <c r="F21" s="1131"/>
      <c r="G21" s="1376"/>
      <c r="H21" s="445" t="s">
        <v>614</v>
      </c>
      <c r="I21" s="1178"/>
      <c r="J21" s="1535"/>
      <c r="K21" s="1538"/>
      <c r="L21" s="1539"/>
      <c r="M21" s="661">
        <f>IF(F16=0,0,(F16*1000/J17))</f>
        <v>184.66898954703834</v>
      </c>
      <c r="N21" s="1397"/>
      <c r="O21" s="2442"/>
      <c r="P21" s="325"/>
      <c r="Q21" s="2432" t="s">
        <v>1032</v>
      </c>
      <c r="IO21" s="276"/>
    </row>
    <row r="22" spans="1:249" ht="12.75">
      <c r="A22" s="1147" t="s">
        <v>600</v>
      </c>
      <c r="B22" s="1153"/>
      <c r="C22" s="1128"/>
      <c r="D22" s="1126"/>
      <c r="E22" s="1134"/>
      <c r="F22" s="1132"/>
      <c r="G22" s="1376"/>
      <c r="H22" s="445" t="s">
        <v>615</v>
      </c>
      <c r="I22" s="1178"/>
      <c r="J22" s="1535"/>
      <c r="K22" s="1538"/>
      <c r="L22" s="1539"/>
      <c r="M22" s="661">
        <f>IF(D16=0,0,((Motpart!D15+Motpart!E15+Motpart!F15+Motpart!I15+Motpart!J15)-((Motpart!D15+Motpart!E15+Motpart!F15+Motpart!J15)*0.06))*1000/J17)</f>
        <v>2335.7955865272938</v>
      </c>
      <c r="N22" s="1397"/>
      <c r="O22" s="2442"/>
      <c r="P22" s="325"/>
      <c r="Q22" s="2432" t="s">
        <v>1033</v>
      </c>
      <c r="IO22" s="276"/>
    </row>
    <row r="23" spans="1:249" ht="13.5" thickBot="1">
      <c r="A23" s="1147" t="s">
        <v>589</v>
      </c>
      <c r="B23" s="1153"/>
      <c r="C23" s="1128"/>
      <c r="D23" s="1126"/>
      <c r="E23" s="1126"/>
      <c r="F23" s="1126"/>
      <c r="G23" s="1136"/>
      <c r="H23" s="446"/>
      <c r="I23" s="680"/>
      <c r="J23" s="1659"/>
      <c r="K23" s="1177"/>
      <c r="L23" s="1547"/>
      <c r="M23" s="2448">
        <f>IF(E20=0,0,(E20-E21)*100/C17)</f>
        <v>16.661693620576475</v>
      </c>
      <c r="N23" s="1397"/>
      <c r="O23" s="2442"/>
      <c r="P23" s="325"/>
      <c r="Q23" s="2434" t="s">
        <v>551</v>
      </c>
      <c r="IO23" s="276"/>
    </row>
    <row r="24" spans="1:249" ht="12.75">
      <c r="A24" s="1149" t="s">
        <v>398</v>
      </c>
      <c r="B24" s="1154" t="s">
        <v>573</v>
      </c>
      <c r="C24" s="88">
        <f>Drift!P53</f>
        <v>8406</v>
      </c>
      <c r="D24" s="89">
        <f>SUM(Motpart!D17:L17)</f>
        <v>922</v>
      </c>
      <c r="E24" s="89">
        <f>Drift!W53</f>
        <v>1514</v>
      </c>
      <c r="F24" s="89">
        <f>Motpart!Y17</f>
        <v>46</v>
      </c>
      <c r="G24" s="138">
        <f>Drift!V53</f>
        <v>1084</v>
      </c>
      <c r="H24" s="174"/>
      <c r="I24" s="1104" t="s">
        <v>979</v>
      </c>
      <c r="J24" s="1657">
        <v>123497</v>
      </c>
      <c r="K24" s="1543"/>
      <c r="L24" s="1541"/>
      <c r="M24" s="2447">
        <f>(C24-G24-F24)*1000/J25</f>
        <v>59154.471544715445</v>
      </c>
      <c r="N24" s="1397"/>
      <c r="O24" s="2442"/>
      <c r="P24" s="325"/>
      <c r="Q24" s="2432" t="s">
        <v>1022</v>
      </c>
    </row>
    <row r="25" spans="1:249" ht="12.75">
      <c r="A25" s="1144" t="s">
        <v>395</v>
      </c>
      <c r="B25" s="1155" t="s">
        <v>376</v>
      </c>
      <c r="C25" s="383">
        <f>C24-G24-D24</f>
        <v>6400</v>
      </c>
      <c r="D25" s="1137"/>
      <c r="E25" s="1138"/>
      <c r="F25" s="1138"/>
      <c r="G25" s="1135"/>
      <c r="H25" s="445" t="s">
        <v>616</v>
      </c>
      <c r="I25" s="1178"/>
      <c r="J25" s="2454">
        <v>123</v>
      </c>
      <c r="K25" s="1538"/>
      <c r="L25" s="1539"/>
      <c r="M25" s="661">
        <f>C25*1000/J25</f>
        <v>52032.520325203252</v>
      </c>
      <c r="N25" s="1397"/>
      <c r="O25" s="2442"/>
      <c r="P25" s="325"/>
      <c r="Q25" s="2432" t="s">
        <v>1023</v>
      </c>
    </row>
    <row r="26" spans="1:249" ht="12.75">
      <c r="A26" s="1144" t="s">
        <v>396</v>
      </c>
      <c r="B26" s="1156" t="s">
        <v>541</v>
      </c>
      <c r="C26" s="92">
        <f>Drift!C53+Drift!D53</f>
        <v>4275</v>
      </c>
      <c r="D26" s="1137"/>
      <c r="E26" s="1130"/>
      <c r="F26" s="1130"/>
      <c r="G26" s="1135"/>
      <c r="H26" s="174" t="s">
        <v>398</v>
      </c>
      <c r="I26" s="1178"/>
      <c r="J26" s="1535"/>
      <c r="K26" s="1180"/>
      <c r="L26" s="1536"/>
      <c r="M26" s="1398">
        <f>IF(C26=0,0,C26*100/C25)</f>
        <v>66.796875</v>
      </c>
      <c r="N26" s="1397"/>
      <c r="O26" s="2442"/>
      <c r="P26" s="325"/>
      <c r="Q26" s="2432" t="s">
        <v>388</v>
      </c>
    </row>
    <row r="27" spans="1:249" ht="12.75">
      <c r="A27" s="1147" t="s">
        <v>397</v>
      </c>
      <c r="B27" s="1146" t="s">
        <v>568</v>
      </c>
      <c r="C27" s="286">
        <v>1217</v>
      </c>
      <c r="D27" s="1137"/>
      <c r="E27" s="265">
        <v>36</v>
      </c>
      <c r="F27" s="1132"/>
      <c r="G27" s="285">
        <v>32</v>
      </c>
      <c r="H27" s="445"/>
      <c r="I27" s="1178"/>
      <c r="J27" s="1303"/>
      <c r="K27" s="1176"/>
      <c r="L27" s="1537"/>
      <c r="M27" s="661">
        <f>(C27-E27)*1000/J25</f>
        <v>9601.6260162601629</v>
      </c>
      <c r="N27" s="1397"/>
      <c r="O27" s="2442"/>
      <c r="P27" s="325"/>
      <c r="Q27" s="2432" t="s">
        <v>1024</v>
      </c>
    </row>
    <row r="28" spans="1:249" ht="12.75">
      <c r="A28" s="1147" t="s">
        <v>590</v>
      </c>
      <c r="B28" s="1157"/>
      <c r="C28" s="1137"/>
      <c r="D28" s="1137"/>
      <c r="E28" s="1137"/>
      <c r="F28" s="1132"/>
      <c r="G28" s="1376"/>
      <c r="H28" s="174" t="s">
        <v>617</v>
      </c>
      <c r="I28" s="1178"/>
      <c r="J28" s="1535"/>
      <c r="K28" s="1538"/>
      <c r="L28" s="1539"/>
      <c r="M28" s="1398">
        <f>(Motpart!G17+Motpart!K17)*1000/J25</f>
        <v>398.3739837398374</v>
      </c>
      <c r="N28" s="1397"/>
      <c r="O28" s="2442"/>
      <c r="P28" s="325"/>
      <c r="Q28" s="2432" t="s">
        <v>1025</v>
      </c>
    </row>
    <row r="29" spans="1:249" ht="12.75">
      <c r="A29" s="1147" t="s">
        <v>591</v>
      </c>
      <c r="B29" s="1158"/>
      <c r="C29" s="1137"/>
      <c r="D29" s="1137"/>
      <c r="E29" s="1137"/>
      <c r="F29" s="1132"/>
      <c r="G29" s="1376"/>
      <c r="H29" s="444" t="s">
        <v>618</v>
      </c>
      <c r="I29" s="1178"/>
      <c r="J29" s="1535"/>
      <c r="K29" s="1538"/>
      <c r="L29" s="1539"/>
      <c r="M29" s="2449">
        <f>F24*1000/J25</f>
        <v>373.98373983739839</v>
      </c>
      <c r="N29" s="1397"/>
      <c r="O29" s="2442"/>
      <c r="P29" s="325"/>
      <c r="Q29" s="2432" t="s">
        <v>1026</v>
      </c>
    </row>
    <row r="30" spans="1:249" ht="13.5" thickBot="1">
      <c r="A30" s="1147" t="s">
        <v>599</v>
      </c>
      <c r="B30" s="1159"/>
      <c r="C30" s="1137"/>
      <c r="D30" s="1137"/>
      <c r="E30" s="1137"/>
      <c r="F30" s="1132"/>
      <c r="G30" s="1377"/>
      <c r="H30" s="447" t="s">
        <v>619</v>
      </c>
      <c r="I30" s="680"/>
      <c r="J30" s="1544"/>
      <c r="K30" s="1545"/>
      <c r="L30" s="1546"/>
      <c r="M30" s="665">
        <f>(Motpart!D17+Motpart!E17+Motpart!F17+Motpart!I17+Motpart!J17-(Motpart!D17+Motpart!E17+Motpart!F17+Motpart!J17)*0.06)*1000/J25</f>
        <v>6668.4552845528451</v>
      </c>
      <c r="N30" s="1397"/>
      <c r="O30" s="2442"/>
      <c r="P30" s="325"/>
      <c r="Q30" s="2434" t="s">
        <v>1027</v>
      </c>
    </row>
    <row r="31" spans="1:249" ht="12.75">
      <c r="A31" s="1149" t="s">
        <v>410</v>
      </c>
      <c r="B31" s="1160" t="s">
        <v>574</v>
      </c>
      <c r="C31" s="88">
        <f>Drift!P54</f>
        <v>138689</v>
      </c>
      <c r="D31" s="89">
        <f>SUM(Motpart!D18:L18)</f>
        <v>17719</v>
      </c>
      <c r="E31" s="89">
        <f>Drift!W54</f>
        <v>28288</v>
      </c>
      <c r="F31" s="89">
        <f>Motpart!Y18</f>
        <v>1401</v>
      </c>
      <c r="G31" s="138">
        <f>Drift!V54</f>
        <v>15355</v>
      </c>
      <c r="H31" s="448"/>
      <c r="I31" s="1104" t="s">
        <v>980</v>
      </c>
      <c r="J31" s="1657">
        <v>1083636</v>
      </c>
      <c r="K31" s="1540"/>
      <c r="L31" s="1541"/>
      <c r="M31" s="2450">
        <f>SUM(M32:M34,M36:M38)</f>
        <v>93900.369003690037</v>
      </c>
      <c r="N31" s="1397"/>
      <c r="O31" s="2442"/>
      <c r="P31" s="325"/>
      <c r="Q31" s="2432" t="s">
        <v>1010</v>
      </c>
    </row>
    <row r="32" spans="1:249" ht="12.75">
      <c r="A32" s="1144" t="s">
        <v>399</v>
      </c>
      <c r="B32" s="1161" t="s">
        <v>523</v>
      </c>
      <c r="C32" s="286">
        <v>62473</v>
      </c>
      <c r="D32" s="1137"/>
      <c r="E32" s="265">
        <v>5871</v>
      </c>
      <c r="F32" s="1138"/>
      <c r="G32" s="285">
        <v>5688</v>
      </c>
      <c r="H32" s="159" t="s">
        <v>620</v>
      </c>
      <c r="I32" s="2197"/>
      <c r="J32" s="2454">
        <v>1084</v>
      </c>
      <c r="K32" s="2198"/>
      <c r="L32" s="2199"/>
      <c r="M32" s="661">
        <f t="shared" ref="M32:M37" si="0">(C32-E32)*1000/$J$32</f>
        <v>52215.867158671586</v>
      </c>
      <c r="N32" s="1397"/>
      <c r="O32" s="2442"/>
      <c r="P32" s="325"/>
      <c r="Q32" s="2432" t="s">
        <v>1011</v>
      </c>
    </row>
    <row r="33" spans="1:17" ht="12.75">
      <c r="A33" s="1144" t="s">
        <v>400</v>
      </c>
      <c r="B33" s="1161" t="s">
        <v>934</v>
      </c>
      <c r="C33" s="286">
        <v>4270</v>
      </c>
      <c r="D33" s="1137"/>
      <c r="E33" s="265">
        <v>169</v>
      </c>
      <c r="F33" s="1130"/>
      <c r="G33" s="285">
        <v>120</v>
      </c>
      <c r="H33" s="159" t="s">
        <v>621</v>
      </c>
      <c r="I33" s="1534"/>
      <c r="J33" s="1535"/>
      <c r="K33" s="1180"/>
      <c r="L33" s="1536"/>
      <c r="M33" s="661">
        <f t="shared" si="0"/>
        <v>3783.210332103321</v>
      </c>
      <c r="N33" s="1397"/>
      <c r="O33" s="2442"/>
      <c r="P33" s="325"/>
      <c r="Q33" s="2432" t="s">
        <v>1012</v>
      </c>
    </row>
    <row r="34" spans="1:17" ht="12.75">
      <c r="A34" s="1144" t="s">
        <v>401</v>
      </c>
      <c r="B34" s="1161" t="s">
        <v>546</v>
      </c>
      <c r="C34" s="286">
        <v>6847</v>
      </c>
      <c r="D34" s="1137"/>
      <c r="E34" s="265">
        <v>1065</v>
      </c>
      <c r="F34" s="1130"/>
      <c r="G34" s="285">
        <v>887</v>
      </c>
      <c r="H34" s="159"/>
      <c r="I34" s="1534"/>
      <c r="J34" s="1303"/>
      <c r="K34" s="1176"/>
      <c r="L34" s="1537"/>
      <c r="M34" s="661">
        <f t="shared" si="0"/>
        <v>5333.9483394833951</v>
      </c>
      <c r="N34" s="1397"/>
      <c r="O34" s="2442"/>
      <c r="P34" s="325"/>
      <c r="Q34" s="2432" t="s">
        <v>1013</v>
      </c>
    </row>
    <row r="35" spans="1:17" ht="12.75">
      <c r="A35" s="1144" t="s">
        <v>402</v>
      </c>
      <c r="B35" s="1161" t="s">
        <v>524</v>
      </c>
      <c r="C35" s="286">
        <v>3273</v>
      </c>
      <c r="D35" s="1137"/>
      <c r="E35" s="265">
        <v>21</v>
      </c>
      <c r="F35" s="1130"/>
      <c r="G35" s="285">
        <v>8</v>
      </c>
      <c r="H35" s="159" t="s">
        <v>622</v>
      </c>
      <c r="I35" s="883"/>
      <c r="J35" s="1535"/>
      <c r="K35" s="1538"/>
      <c r="L35" s="1539"/>
      <c r="M35" s="661">
        <f t="shared" si="0"/>
        <v>3000</v>
      </c>
      <c r="N35" s="1397"/>
      <c r="O35" s="2442"/>
      <c r="P35" s="325"/>
      <c r="Q35" s="2432" t="s">
        <v>1014</v>
      </c>
    </row>
    <row r="36" spans="1:17" ht="15" customHeight="1">
      <c r="A36" s="1144" t="s">
        <v>403</v>
      </c>
      <c r="B36" s="1162" t="s">
        <v>812</v>
      </c>
      <c r="C36" s="286">
        <v>3361</v>
      </c>
      <c r="D36" s="1137"/>
      <c r="E36" s="265">
        <v>212</v>
      </c>
      <c r="F36" s="1129"/>
      <c r="G36" s="285">
        <v>156</v>
      </c>
      <c r="H36" s="159" t="s">
        <v>623</v>
      </c>
      <c r="I36" s="2212"/>
      <c r="J36" s="1535"/>
      <c r="K36" s="1538"/>
      <c r="L36" s="1539"/>
      <c r="M36" s="661">
        <f t="shared" si="0"/>
        <v>2904.9815498154981</v>
      </c>
      <c r="N36" s="1397"/>
      <c r="O36" s="2442"/>
      <c r="P36" s="325"/>
      <c r="Q36" s="2432" t="s">
        <v>1015</v>
      </c>
    </row>
    <row r="37" spans="1:17" s="219" customFormat="1" ht="12.75">
      <c r="A37" s="1144" t="s">
        <v>248</v>
      </c>
      <c r="B37" s="1163" t="s">
        <v>569</v>
      </c>
      <c r="C37" s="286">
        <v>17364</v>
      </c>
      <c r="D37" s="1137"/>
      <c r="E37" s="265">
        <v>913</v>
      </c>
      <c r="F37" s="1055"/>
      <c r="G37" s="285">
        <v>817</v>
      </c>
      <c r="H37" s="175" t="s">
        <v>624</v>
      </c>
      <c r="I37" s="2213"/>
      <c r="J37" s="1535"/>
      <c r="K37" s="1538"/>
      <c r="L37" s="1539"/>
      <c r="M37" s="661">
        <f t="shared" si="0"/>
        <v>15176.19926199262</v>
      </c>
      <c r="N37" s="1397"/>
      <c r="O37" s="2442"/>
      <c r="P37" s="325"/>
      <c r="Q37" s="2432" t="s">
        <v>1016</v>
      </c>
    </row>
    <row r="38" spans="1:17" s="219" customFormat="1" ht="12.75" customHeight="1">
      <c r="A38" s="1144" t="s">
        <v>404</v>
      </c>
      <c r="B38" s="1161" t="s">
        <v>472</v>
      </c>
      <c r="C38" s="286">
        <v>19560</v>
      </c>
      <c r="D38" s="1137"/>
      <c r="E38" s="265">
        <v>17677</v>
      </c>
      <c r="F38" s="1055"/>
      <c r="G38" s="285">
        <v>7679</v>
      </c>
      <c r="H38" s="159"/>
      <c r="I38" s="2633" t="str">
        <f>IF(SUM(E38-G38+100)&lt;Motpart!AA18,"I Motparten är statsbidragen "&amp;""&amp;(Motpart!AA18)&amp;" tkr. Alla bidrag från staten o statliga myndigheter, inklusive de från Migrationsverket, ska ingå under Övrigt som extern intäkt. De externa intäkterna på Övrigt-raden är dock bara "&amp;""&amp;(ROUND(E38-G38,0))&amp;" tkr. ","")</f>
        <v/>
      </c>
      <c r="J38" s="2455"/>
      <c r="K38" s="2206"/>
      <c r="L38" s="2207"/>
      <c r="M38" s="661">
        <f>((C38+C39-G38)*1000/J32)</f>
        <v>14486.162361623616</v>
      </c>
      <c r="N38" s="1397"/>
      <c r="O38" s="2442"/>
      <c r="P38" s="325"/>
      <c r="Q38" s="2432" t="s">
        <v>1017</v>
      </c>
    </row>
    <row r="39" spans="1:17" s="219" customFormat="1" ht="12.75">
      <c r="A39" s="1144" t="s">
        <v>405</v>
      </c>
      <c r="B39" s="1164" t="s">
        <v>525</v>
      </c>
      <c r="C39" s="286">
        <v>3822</v>
      </c>
      <c r="D39" s="1124"/>
      <c r="E39" s="1058"/>
      <c r="F39" s="1058"/>
      <c r="G39" s="1139"/>
      <c r="H39" s="174"/>
      <c r="I39" s="2634"/>
      <c r="J39" s="2456"/>
      <c r="K39" s="2208"/>
      <c r="L39" s="2209"/>
      <c r="M39" s="1398">
        <f>(M31*J32/1000+D31-F31-(Motpart!D18+Motpart!E18+Motpart!F18+Motpart!J18)*0.06)*1000/J32+M35</f>
        <v>111069.26199261993</v>
      </c>
      <c r="N39" s="1397"/>
      <c r="O39" s="2442"/>
      <c r="P39" s="325"/>
      <c r="Q39" s="2432" t="s">
        <v>1018</v>
      </c>
    </row>
    <row r="40" spans="1:17" ht="12.75">
      <c r="A40" s="1165" t="s">
        <v>592</v>
      </c>
      <c r="B40" s="1166"/>
      <c r="C40" s="2462"/>
      <c r="D40" s="1126"/>
      <c r="E40" s="2462"/>
      <c r="F40" s="1126"/>
      <c r="G40" s="1136"/>
      <c r="H40" s="2461"/>
      <c r="I40" s="2634"/>
      <c r="J40" s="2456"/>
      <c r="K40" s="2208"/>
      <c r="L40" s="2209"/>
      <c r="M40" s="661">
        <f>(Motpart!G18+Motpart!K18)*1000/J32</f>
        <v>1319.1881918819188</v>
      </c>
      <c r="N40" s="1397"/>
      <c r="O40" s="2442"/>
      <c r="P40" s="325"/>
      <c r="Q40" s="2432" t="s">
        <v>1019</v>
      </c>
    </row>
    <row r="41" spans="1:17" ht="12.75">
      <c r="A41" s="1165" t="s">
        <v>593</v>
      </c>
      <c r="B41" s="1166"/>
      <c r="C41" s="1128"/>
      <c r="D41" s="1126"/>
      <c r="E41" s="1126"/>
      <c r="F41" s="1126"/>
      <c r="G41" s="1136"/>
      <c r="H41" s="161"/>
      <c r="I41" s="2634"/>
      <c r="J41" s="2456"/>
      <c r="K41" s="2208"/>
      <c r="L41" s="2209"/>
      <c r="M41" s="1398">
        <f>F31*1000/J32</f>
        <v>1292.4354243542437</v>
      </c>
      <c r="N41" s="1397"/>
      <c r="O41" s="2442"/>
      <c r="P41" s="325"/>
      <c r="Q41" s="2432" t="s">
        <v>1020</v>
      </c>
    </row>
    <row r="42" spans="1:17" ht="12.75">
      <c r="A42" s="1144" t="s">
        <v>594</v>
      </c>
      <c r="B42" s="1164"/>
      <c r="C42" s="1128"/>
      <c r="D42" s="1126"/>
      <c r="E42" s="1126"/>
      <c r="F42" s="1126"/>
      <c r="G42" s="1136"/>
      <c r="H42" s="161"/>
      <c r="I42" s="2634"/>
      <c r="J42" s="2457"/>
      <c r="K42" s="2210"/>
      <c r="L42" s="2211"/>
      <c r="M42" s="2449">
        <f>((Motpart!D18+Motpart!E18+Motpart!F18+Motpart!J18-(Motpart!D18+Motpart!E18+Motpart!F18+Motpart!J18)*0.06))*1000/J32</f>
        <v>13858.929889298894</v>
      </c>
      <c r="N42" s="1397"/>
      <c r="O42" s="2442"/>
      <c r="P42" s="325"/>
      <c r="Q42" s="2432" t="s">
        <v>1021</v>
      </c>
    </row>
    <row r="43" spans="1:17" ht="13.5" thickBot="1">
      <c r="A43" s="1167"/>
      <c r="B43" s="1168"/>
      <c r="C43" s="2034" t="str">
        <f>IF(ABS(C40)&lt;100,"",IF(C31=0,"C31",IF(ABS(C40/C31)&gt;0.01,"C40")))</f>
        <v/>
      </c>
      <c r="D43" s="2035"/>
      <c r="E43" s="2032" t="str">
        <f>IF(ABS(E40)&lt;100,"",IF(E31=0,"E31",IF(ABS(E40/E31)&gt;0.01,"E40")))</f>
        <v/>
      </c>
      <c r="F43" s="2035"/>
      <c r="G43" s="2036" t="str">
        <f>IF(ABS(G40)&lt;100,"",IF(G31=0,"G31",IF(ABS(G40/G31)&gt;0.01,"G40")))</f>
        <v/>
      </c>
      <c r="H43" s="160"/>
      <c r="I43" s="1179"/>
      <c r="J43" s="1659"/>
      <c r="K43" s="1177"/>
      <c r="L43" s="1177"/>
      <c r="M43" s="665"/>
      <c r="N43" s="1397"/>
      <c r="O43" s="2442"/>
      <c r="P43" s="325"/>
      <c r="Q43" s="2434" t="s">
        <v>527</v>
      </c>
    </row>
    <row r="44" spans="1:17" ht="12.75">
      <c r="A44" s="1149" t="s">
        <v>412</v>
      </c>
      <c r="B44" s="1160" t="s">
        <v>611</v>
      </c>
      <c r="C44" s="88">
        <f>Drift!P55</f>
        <v>6339</v>
      </c>
      <c r="D44" s="89">
        <f>SUM(Motpart!D19:L19)</f>
        <v>617</v>
      </c>
      <c r="E44" s="89">
        <f>Drift!W55</f>
        <v>1113</v>
      </c>
      <c r="F44" s="89">
        <f>Motpart!Y19</f>
        <v>314</v>
      </c>
      <c r="G44" s="138">
        <f>Drift!V55</f>
        <v>634</v>
      </c>
      <c r="H44" s="163"/>
      <c r="I44" s="1542" t="s">
        <v>980</v>
      </c>
      <c r="J44" s="1657">
        <v>1083636</v>
      </c>
      <c r="K44" s="1543"/>
      <c r="L44" s="1541"/>
      <c r="M44" s="1398">
        <f>SUM(M45:M47,M49:M51)</f>
        <v>4158.6715867158673</v>
      </c>
      <c r="N44" s="1397"/>
      <c r="O44" s="2442"/>
      <c r="P44" s="325"/>
      <c r="Q44" s="2432" t="s">
        <v>1010</v>
      </c>
    </row>
    <row r="45" spans="1:17" ht="12.75">
      <c r="A45" s="1144" t="s">
        <v>406</v>
      </c>
      <c r="B45" s="1161" t="s">
        <v>526</v>
      </c>
      <c r="C45" s="286">
        <v>2813</v>
      </c>
      <c r="D45" s="1137"/>
      <c r="E45" s="265">
        <v>258</v>
      </c>
      <c r="F45" s="1130"/>
      <c r="G45" s="285">
        <v>252</v>
      </c>
      <c r="H45" s="157" t="s">
        <v>625</v>
      </c>
      <c r="I45" s="1534"/>
      <c r="J45" s="2454">
        <v>1084</v>
      </c>
      <c r="K45" s="1538"/>
      <c r="L45" s="1539"/>
      <c r="M45" s="2449">
        <f t="shared" ref="M45:M50" si="1">(C45-E45)*1000/$J$45</f>
        <v>2357.011070110701</v>
      </c>
      <c r="N45" s="1397"/>
      <c r="O45" s="2442"/>
      <c r="P45" s="325"/>
      <c r="Q45" s="2432" t="s">
        <v>1050</v>
      </c>
    </row>
    <row r="46" spans="1:17" ht="12.75">
      <c r="A46" s="1144" t="s">
        <v>413</v>
      </c>
      <c r="B46" s="1161" t="s">
        <v>934</v>
      </c>
      <c r="C46" s="286">
        <v>86</v>
      </c>
      <c r="D46" s="1137"/>
      <c r="E46" s="265">
        <v>2</v>
      </c>
      <c r="F46" s="1130"/>
      <c r="G46" s="285">
        <v>2</v>
      </c>
      <c r="H46" s="161" t="s">
        <v>626</v>
      </c>
      <c r="I46" s="1534"/>
      <c r="J46" s="1535"/>
      <c r="K46" s="1180"/>
      <c r="L46" s="1536"/>
      <c r="M46" s="2449">
        <f t="shared" si="1"/>
        <v>77.490774907749071</v>
      </c>
      <c r="N46" s="1397"/>
      <c r="O46" s="2442"/>
      <c r="P46" s="325"/>
      <c r="Q46" s="2432" t="s">
        <v>1051</v>
      </c>
    </row>
    <row r="47" spans="1:17" ht="12.75">
      <c r="A47" s="1144" t="s">
        <v>414</v>
      </c>
      <c r="B47" s="1161" t="s">
        <v>546</v>
      </c>
      <c r="C47" s="286">
        <v>83</v>
      </c>
      <c r="D47" s="1137"/>
      <c r="E47" s="265">
        <v>10</v>
      </c>
      <c r="F47" s="1129"/>
      <c r="G47" s="285">
        <v>7</v>
      </c>
      <c r="H47" s="161"/>
      <c r="I47" s="1534"/>
      <c r="J47" s="1658"/>
      <c r="K47" s="1176"/>
      <c r="L47" s="1537"/>
      <c r="M47" s="2449">
        <f t="shared" si="1"/>
        <v>67.343173431734314</v>
      </c>
      <c r="N47" s="1397"/>
      <c r="O47" s="2442"/>
      <c r="P47" s="325"/>
      <c r="Q47" s="2432" t="s">
        <v>1052</v>
      </c>
    </row>
    <row r="48" spans="1:17" ht="12.75">
      <c r="A48" s="1144" t="s">
        <v>407</v>
      </c>
      <c r="B48" s="1161" t="s">
        <v>524</v>
      </c>
      <c r="C48" s="286">
        <v>573</v>
      </c>
      <c r="D48" s="1137"/>
      <c r="E48" s="265">
        <v>10</v>
      </c>
      <c r="F48" s="1055"/>
      <c r="G48" s="285">
        <v>4</v>
      </c>
      <c r="H48" s="159" t="s">
        <v>627</v>
      </c>
      <c r="I48" s="1534"/>
      <c r="J48" s="1535"/>
      <c r="K48" s="1538"/>
      <c r="L48" s="1539"/>
      <c r="M48" s="2449">
        <f t="shared" si="1"/>
        <v>519.37269372693731</v>
      </c>
      <c r="N48" s="1397"/>
      <c r="O48" s="2442"/>
      <c r="P48" s="325"/>
      <c r="Q48" s="2432" t="s">
        <v>1053</v>
      </c>
    </row>
    <row r="49" spans="1:17" ht="12.75">
      <c r="A49" s="1144" t="s">
        <v>415</v>
      </c>
      <c r="B49" s="1162" t="s">
        <v>812</v>
      </c>
      <c r="C49" s="286">
        <v>76</v>
      </c>
      <c r="D49" s="1137"/>
      <c r="E49" s="265">
        <v>3</v>
      </c>
      <c r="F49" s="1140"/>
      <c r="G49" s="285">
        <v>2</v>
      </c>
      <c r="H49" s="161" t="s">
        <v>628</v>
      </c>
      <c r="I49" s="1534"/>
      <c r="J49" s="1535"/>
      <c r="K49" s="1538"/>
      <c r="L49" s="1539"/>
      <c r="M49" s="2449">
        <f t="shared" si="1"/>
        <v>67.343173431734314</v>
      </c>
      <c r="N49" s="1397"/>
      <c r="O49" s="2442"/>
      <c r="P49" s="325"/>
      <c r="Q49" s="2432" t="s">
        <v>1054</v>
      </c>
    </row>
    <row r="50" spans="1:17" ht="12.75">
      <c r="A50" s="1144" t="s">
        <v>416</v>
      </c>
      <c r="B50" s="1163" t="s">
        <v>569</v>
      </c>
      <c r="C50" s="286">
        <v>483</v>
      </c>
      <c r="D50" s="1137"/>
      <c r="E50" s="265">
        <v>17</v>
      </c>
      <c r="F50" s="1129"/>
      <c r="G50" s="285">
        <v>16</v>
      </c>
      <c r="H50" s="159" t="s">
        <v>629</v>
      </c>
      <c r="I50" s="1534"/>
      <c r="J50" s="1535"/>
      <c r="K50" s="1538"/>
      <c r="L50" s="1539"/>
      <c r="M50" s="2449">
        <f t="shared" si="1"/>
        <v>429.8892988929889</v>
      </c>
      <c r="N50" s="1397"/>
      <c r="O50" s="2442"/>
      <c r="P50" s="325"/>
      <c r="Q50" s="2432" t="s">
        <v>1055</v>
      </c>
    </row>
    <row r="51" spans="1:17" ht="12.75">
      <c r="A51" s="1144" t="s">
        <v>417</v>
      </c>
      <c r="B51" s="1161" t="s">
        <v>472</v>
      </c>
      <c r="C51" s="286">
        <v>1432</v>
      </c>
      <c r="D51" s="1455"/>
      <c r="E51" s="265">
        <v>481</v>
      </c>
      <c r="F51" s="1129"/>
      <c r="G51" s="285">
        <v>351</v>
      </c>
      <c r="H51" s="157" t="s">
        <v>630</v>
      </c>
      <c r="I51" s="2635" t="str">
        <f>IF(SUM(E51-G51+100)&lt;Motpart!AA19,"I Motparten är statsbidragen "&amp;""&amp;(Motpart!AA19)&amp;" tkr. Alla bidrag från staten o statliga myndigheter, inklusive de från Migrationsverket, ska ingå under Övrigt som extern intäkt. De externa intäkterna på Övrigt-raden är dock bara "&amp;""&amp;(ROUND(E51-G51,0))&amp;" tkr. ","")</f>
        <v/>
      </c>
      <c r="J51" s="2279"/>
      <c r="K51" s="2213"/>
      <c r="L51" s="2221"/>
      <c r="M51" s="2449">
        <f>(C51+C52-G51)*1000/$J$45</f>
        <v>1159.5940959409595</v>
      </c>
      <c r="N51" s="1397"/>
      <c r="O51" s="2442"/>
      <c r="P51" s="325"/>
      <c r="Q51" s="2432" t="s">
        <v>1056</v>
      </c>
    </row>
    <row r="52" spans="1:17" ht="12.75">
      <c r="A52" s="1144" t="s">
        <v>418</v>
      </c>
      <c r="B52" s="1164" t="s">
        <v>483</v>
      </c>
      <c r="C52" s="286">
        <v>176</v>
      </c>
      <c r="D52" s="1456"/>
      <c r="E52" s="1137"/>
      <c r="F52" s="1137"/>
      <c r="G52" s="1139"/>
      <c r="H52" s="161"/>
      <c r="I52" s="2636"/>
      <c r="J52" s="2279"/>
      <c r="K52" s="2213"/>
      <c r="L52" s="2221"/>
      <c r="M52" s="661">
        <f>((M44*J45/1000+D44-F44-(Motpart!D19+Motpart!E19+Motpart!F19+Motpart!J19)*0.06))*1000/J45+M48</f>
        <v>4941.0147601476019</v>
      </c>
      <c r="N52" s="1397"/>
      <c r="O52" s="2442"/>
      <c r="P52" s="325"/>
      <c r="Q52" s="2432" t="s">
        <v>1057</v>
      </c>
    </row>
    <row r="53" spans="1:17" ht="12.75">
      <c r="A53" s="1167" t="s">
        <v>595</v>
      </c>
      <c r="B53" s="1164"/>
      <c r="C53" s="1137"/>
      <c r="D53" s="1137"/>
      <c r="E53" s="1137"/>
      <c r="F53" s="1137"/>
      <c r="G53" s="1139"/>
      <c r="H53" s="161"/>
      <c r="I53" s="2636"/>
      <c r="J53" s="2279"/>
      <c r="K53" s="2213"/>
      <c r="L53" s="2221"/>
      <c r="M53" s="1398">
        <f>(Motpart!G19+Motpart!K19)*1000/J45</f>
        <v>281.36531365313652</v>
      </c>
      <c r="N53" s="1397"/>
      <c r="O53" s="2442"/>
      <c r="P53" s="325"/>
      <c r="Q53" s="2432" t="s">
        <v>1058</v>
      </c>
    </row>
    <row r="54" spans="1:17" ht="12.75">
      <c r="A54" s="1167" t="s">
        <v>596</v>
      </c>
      <c r="B54" s="1164"/>
      <c r="C54" s="1137"/>
      <c r="D54" s="1137"/>
      <c r="E54" s="1137"/>
      <c r="F54" s="1137"/>
      <c r="G54" s="1139"/>
      <c r="H54" s="159"/>
      <c r="I54" s="2636"/>
      <c r="J54" s="2279"/>
      <c r="K54" s="2213"/>
      <c r="L54" s="2221"/>
      <c r="M54" s="2449">
        <f>F44*1000/J45</f>
        <v>289.66789667896677</v>
      </c>
      <c r="N54" s="1397"/>
      <c r="O54" s="2442"/>
      <c r="P54" s="325"/>
      <c r="Q54" s="2432" t="s">
        <v>1059</v>
      </c>
    </row>
    <row r="55" spans="1:17" ht="12.75">
      <c r="A55" s="1167" t="s">
        <v>597</v>
      </c>
      <c r="B55" s="1169"/>
      <c r="C55" s="1137"/>
      <c r="D55" s="1137"/>
      <c r="E55" s="1137"/>
      <c r="F55" s="1137"/>
      <c r="G55" s="1139"/>
      <c r="H55" s="157"/>
      <c r="I55" s="2636"/>
      <c r="J55" s="2279"/>
      <c r="K55" s="2213"/>
      <c r="L55" s="2221"/>
      <c r="M55" s="2449">
        <f>Motpart!H19*1000/J45</f>
        <v>2.7675276752767526</v>
      </c>
      <c r="N55" s="1397"/>
      <c r="O55" s="2442"/>
      <c r="P55" s="325"/>
      <c r="Q55" s="2432" t="s">
        <v>1060</v>
      </c>
    </row>
    <row r="56" spans="1:17" ht="12.75">
      <c r="A56" s="1147" t="s">
        <v>598</v>
      </c>
      <c r="B56" s="1164"/>
      <c r="C56" s="1126"/>
      <c r="D56" s="1126"/>
      <c r="E56" s="1126"/>
      <c r="F56" s="1126"/>
      <c r="G56" s="1136"/>
      <c r="H56" s="1378"/>
      <c r="I56" s="1379"/>
      <c r="J56" s="1658"/>
      <c r="K56" s="1180"/>
      <c r="L56" s="1180"/>
      <c r="M56" s="2449">
        <f>(Motpart!D19+Motpart!E19+Motpart!F19+Motpart!J19-(Motpart!D19+Motpart!E19+Motpart!F19+Motpart!J19)*0.06)*1000/J45</f>
        <v>259.28044280442805</v>
      </c>
      <c r="N56" s="1397"/>
      <c r="O56" s="2442"/>
      <c r="P56" s="325"/>
      <c r="Q56" s="2432" t="s">
        <v>1061</v>
      </c>
    </row>
    <row r="57" spans="1:17" ht="13.5" thickBot="1">
      <c r="A57" s="1167"/>
      <c r="B57" s="1170"/>
      <c r="C57" s="2032" t="str">
        <f>IF(ABS(C53)&lt;100,"",IF(C44=0,"C44",IF(ABS(C53/C44)&gt;0.01,"C53")))</f>
        <v/>
      </c>
      <c r="D57" s="2032"/>
      <c r="E57" s="2032" t="str">
        <f>IF(ABS(E53)&lt;100,"",IF(E44=0,"E44",IF(ABS(E53/E44)&gt;0.01,"E53")))</f>
        <v/>
      </c>
      <c r="F57" s="2032"/>
      <c r="G57" s="2033" t="str">
        <f>IF(ABS(G53)&lt;100,"",IF(G44=0,"G44",IF(ABS(G53/G44)&gt;0.01,"G53")))</f>
        <v/>
      </c>
      <c r="H57" s="176"/>
      <c r="I57" s="1181"/>
      <c r="J57" s="1659"/>
      <c r="K57" s="1177"/>
      <c r="L57" s="1177"/>
      <c r="M57" s="665"/>
      <c r="N57" s="1397"/>
      <c r="O57" s="2442"/>
      <c r="P57" s="325"/>
      <c r="Q57" s="2434" t="s">
        <v>528</v>
      </c>
    </row>
    <row r="58" spans="1:17" ht="12.75">
      <c r="A58" s="1149" t="s">
        <v>419</v>
      </c>
      <c r="B58" s="1160" t="s">
        <v>575</v>
      </c>
      <c r="C58" s="88">
        <f>Drift!P56</f>
        <v>55222</v>
      </c>
      <c r="D58" s="89">
        <f>SUM(Motpart!D20:L20)</f>
        <v>20277</v>
      </c>
      <c r="E58" s="89">
        <f>Drift!W56</f>
        <v>15375</v>
      </c>
      <c r="F58" s="89">
        <f>Motpart!Y20</f>
        <v>7144</v>
      </c>
      <c r="G58" s="138">
        <f>Drift!V56</f>
        <v>3582</v>
      </c>
      <c r="H58" s="157"/>
      <c r="I58" s="1542" t="s">
        <v>981</v>
      </c>
      <c r="J58" s="1657">
        <v>332330</v>
      </c>
      <c r="K58" s="1540"/>
      <c r="L58" s="1541"/>
      <c r="M58" s="2450">
        <f>SUM(M59:M61,M63:M65)</f>
        <v>88990.963855421694</v>
      </c>
      <c r="N58" s="1397"/>
      <c r="O58" s="2442"/>
      <c r="P58" s="325"/>
      <c r="Q58" s="2432" t="s">
        <v>989</v>
      </c>
    </row>
    <row r="59" spans="1:17" ht="12.75">
      <c r="A59" s="1144" t="s">
        <v>420</v>
      </c>
      <c r="B59" s="1161" t="s">
        <v>526</v>
      </c>
      <c r="C59" s="286">
        <v>17106</v>
      </c>
      <c r="D59" s="1137"/>
      <c r="E59" s="265">
        <v>1578</v>
      </c>
      <c r="F59" s="1129"/>
      <c r="G59" s="285">
        <v>1431</v>
      </c>
      <c r="H59" s="161" t="s">
        <v>631</v>
      </c>
      <c r="I59" s="1534"/>
      <c r="J59" s="2454">
        <v>332</v>
      </c>
      <c r="K59" s="1538"/>
      <c r="L59" s="1539"/>
      <c r="M59" s="2449">
        <f t="shared" ref="M59:M64" si="2">(C59-E59)*1000/$J$59</f>
        <v>46771.084337349399</v>
      </c>
      <c r="N59" s="1397"/>
      <c r="O59" s="2442"/>
      <c r="P59" s="325"/>
      <c r="Q59" s="2432" t="s">
        <v>990</v>
      </c>
    </row>
    <row r="60" spans="1:17" ht="12.75">
      <c r="A60" s="1144" t="s">
        <v>421</v>
      </c>
      <c r="B60" s="1161" t="s">
        <v>934</v>
      </c>
      <c r="C60" s="286">
        <v>2412</v>
      </c>
      <c r="D60" s="1137"/>
      <c r="E60" s="265">
        <v>226</v>
      </c>
      <c r="F60" s="1129"/>
      <c r="G60" s="285">
        <v>72</v>
      </c>
      <c r="H60" s="161" t="s">
        <v>632</v>
      </c>
      <c r="I60" s="1534"/>
      <c r="J60" s="1535"/>
      <c r="K60" s="1180"/>
      <c r="L60" s="1536"/>
      <c r="M60" s="2449">
        <f t="shared" si="2"/>
        <v>6584.3373493975905</v>
      </c>
      <c r="N60" s="1397"/>
      <c r="O60" s="2442"/>
      <c r="P60" s="325"/>
      <c r="Q60" s="2432" t="s">
        <v>991</v>
      </c>
    </row>
    <row r="61" spans="1:17" ht="12.75">
      <c r="A61" s="1144" t="s">
        <v>422</v>
      </c>
      <c r="B61" s="1161" t="s">
        <v>546</v>
      </c>
      <c r="C61" s="286">
        <v>1455</v>
      </c>
      <c r="D61" s="1137"/>
      <c r="E61" s="265">
        <v>190</v>
      </c>
      <c r="F61" s="1129"/>
      <c r="G61" s="285">
        <v>85</v>
      </c>
      <c r="H61" s="159"/>
      <c r="I61" s="1534"/>
      <c r="J61" s="1303"/>
      <c r="K61" s="1176"/>
      <c r="L61" s="1537"/>
      <c r="M61" s="2449">
        <f t="shared" si="2"/>
        <v>3810.2409638554218</v>
      </c>
      <c r="N61" s="1397"/>
      <c r="O61" s="2442"/>
      <c r="P61" s="325"/>
      <c r="Q61" s="2432" t="s">
        <v>992</v>
      </c>
    </row>
    <row r="62" spans="1:17" ht="12.75">
      <c r="A62" s="1144" t="s">
        <v>264</v>
      </c>
      <c r="B62" s="1161" t="s">
        <v>524</v>
      </c>
      <c r="C62" s="286">
        <v>1348</v>
      </c>
      <c r="D62" s="1137"/>
      <c r="E62" s="265">
        <v>82</v>
      </c>
      <c r="F62" s="1129"/>
      <c r="G62" s="285">
        <v>6</v>
      </c>
      <c r="H62" s="157" t="s">
        <v>633</v>
      </c>
      <c r="I62" s="1534"/>
      <c r="J62" s="1535"/>
      <c r="K62" s="1538"/>
      <c r="L62" s="1539"/>
      <c r="M62" s="2449">
        <f t="shared" si="2"/>
        <v>3813.2530120481929</v>
      </c>
      <c r="N62" s="1397"/>
      <c r="O62" s="2442"/>
      <c r="P62" s="325"/>
      <c r="Q62" s="2432" t="s">
        <v>993</v>
      </c>
    </row>
    <row r="63" spans="1:17" ht="12.75">
      <c r="A63" s="1144" t="s">
        <v>423</v>
      </c>
      <c r="B63" s="1162" t="s">
        <v>812</v>
      </c>
      <c r="C63" s="286">
        <v>766</v>
      </c>
      <c r="D63" s="1137"/>
      <c r="E63" s="265">
        <v>37</v>
      </c>
      <c r="F63" s="1129"/>
      <c r="G63" s="285">
        <v>22</v>
      </c>
      <c r="H63" s="161" t="s">
        <v>634</v>
      </c>
      <c r="I63" s="1534"/>
      <c r="J63" s="1535"/>
      <c r="K63" s="1538"/>
      <c r="L63" s="1539"/>
      <c r="M63" s="2449">
        <f t="shared" si="2"/>
        <v>2195.7831325301204</v>
      </c>
      <c r="N63" s="1397"/>
      <c r="O63" s="2442"/>
      <c r="P63" s="325"/>
      <c r="Q63" s="2432" t="s">
        <v>994</v>
      </c>
    </row>
    <row r="64" spans="1:17" ht="12.75">
      <c r="A64" s="1144" t="s">
        <v>424</v>
      </c>
      <c r="B64" s="1163" t="s">
        <v>569</v>
      </c>
      <c r="C64" s="286">
        <v>5231</v>
      </c>
      <c r="D64" s="1137"/>
      <c r="E64" s="265">
        <v>190</v>
      </c>
      <c r="F64" s="1129"/>
      <c r="G64" s="285">
        <v>135</v>
      </c>
      <c r="H64" s="161" t="s">
        <v>635</v>
      </c>
      <c r="I64" s="1534"/>
      <c r="J64" s="1535"/>
      <c r="K64" s="1538"/>
      <c r="L64" s="1539"/>
      <c r="M64" s="2449">
        <f t="shared" si="2"/>
        <v>15183.734939759037</v>
      </c>
      <c r="N64" s="1397"/>
      <c r="O64" s="2442"/>
      <c r="P64" s="325"/>
      <c r="Q64" s="2432" t="s">
        <v>995</v>
      </c>
    </row>
    <row r="65" spans="1:17" ht="12.75">
      <c r="A65" s="1144" t="s">
        <v>425</v>
      </c>
      <c r="B65" s="1171" t="s">
        <v>472</v>
      </c>
      <c r="C65" s="286">
        <v>5621</v>
      </c>
      <c r="D65" s="1137"/>
      <c r="E65" s="265">
        <v>5318</v>
      </c>
      <c r="F65" s="1129"/>
      <c r="G65" s="285">
        <v>1831</v>
      </c>
      <c r="H65" s="161" t="s">
        <v>636</v>
      </c>
      <c r="I65" s="2637" t="str">
        <f>IF(SUM(E65-G65+100)&lt;Motpart!AA20,"I Motparten är statsbidragen "&amp;""&amp;(Motpart!AA20)&amp;" tkr. Alla bidrag från staten o statliga myndigheter, inklusive de från Migrationsverket, ska ingå under Övrigt som extern intäkt. De externa intäkterna på Övrigt-raden är dock bara "&amp;""&amp;(ROUND(E65-G65,0))&amp;" tkr. ","")</f>
        <v/>
      </c>
      <c r="J65" s="2222"/>
      <c r="K65" s="2222"/>
      <c r="L65" s="2227"/>
      <c r="M65" s="2449">
        <f>(C65+C66-G65)*1000/$J$59</f>
        <v>14445.783132530121</v>
      </c>
      <c r="N65" s="1397"/>
      <c r="O65" s="2442"/>
      <c r="P65" s="325"/>
      <c r="Q65" s="2432" t="s">
        <v>996</v>
      </c>
    </row>
    <row r="66" spans="1:17" ht="12.75">
      <c r="A66" s="1144" t="s">
        <v>426</v>
      </c>
      <c r="B66" s="1172" t="s">
        <v>483</v>
      </c>
      <c r="C66" s="286">
        <v>1006</v>
      </c>
      <c r="D66" s="1124"/>
      <c r="E66" s="1137"/>
      <c r="F66" s="1137"/>
      <c r="G66" s="1139"/>
      <c r="H66" s="161"/>
      <c r="I66" s="2638"/>
      <c r="J66" s="2222"/>
      <c r="K66" s="2222"/>
      <c r="L66" s="2227"/>
      <c r="M66" s="2449">
        <f>(M58*J59/1000+D58-F58-(Motpart!D20+Motpart!E20+Motpart!F20+Motpart!J20)*0.06)*1000/J59+M62</f>
        <v>130525.12048192772</v>
      </c>
      <c r="N66" s="1397"/>
      <c r="O66" s="2442"/>
      <c r="P66" s="325"/>
      <c r="Q66" s="2432" t="s">
        <v>997</v>
      </c>
    </row>
    <row r="67" spans="1:17" ht="12.75">
      <c r="A67" s="1144" t="s">
        <v>602</v>
      </c>
      <c r="B67" s="1164"/>
      <c r="C67" s="1137"/>
      <c r="D67" s="1126"/>
      <c r="E67" s="1137"/>
      <c r="F67" s="1137"/>
      <c r="G67" s="1139"/>
      <c r="H67" s="161"/>
      <c r="I67" s="2638"/>
      <c r="J67" s="2222"/>
      <c r="K67" s="2222"/>
      <c r="L67" s="2227"/>
      <c r="M67" s="2449">
        <f>(Motpart!G20+Motpart!K20)*1000/J59</f>
        <v>28852.409638554218</v>
      </c>
      <c r="N67" s="1397"/>
      <c r="O67" s="2442"/>
      <c r="P67" s="325"/>
      <c r="Q67" s="2432" t="s">
        <v>998</v>
      </c>
    </row>
    <row r="68" spans="1:17" ht="12.75">
      <c r="A68" s="1165" t="s">
        <v>603</v>
      </c>
      <c r="B68" s="1164"/>
      <c r="C68" s="1137"/>
      <c r="D68" s="1126"/>
      <c r="E68" s="1137"/>
      <c r="F68" s="1137"/>
      <c r="G68" s="1139"/>
      <c r="H68" s="159"/>
      <c r="I68" s="2638"/>
      <c r="J68" s="2222"/>
      <c r="K68" s="2222"/>
      <c r="L68" s="2227"/>
      <c r="M68" s="2449">
        <f>F58*1000/J59</f>
        <v>21518.072289156626</v>
      </c>
      <c r="N68" s="1397"/>
      <c r="O68" s="2442"/>
      <c r="P68" s="325"/>
      <c r="Q68" s="2432" t="s">
        <v>999</v>
      </c>
    </row>
    <row r="69" spans="1:17" ht="12.75">
      <c r="A69" s="1165" t="s">
        <v>604</v>
      </c>
      <c r="B69" s="1169"/>
      <c r="C69" s="1137"/>
      <c r="D69" s="1126"/>
      <c r="E69" s="1137"/>
      <c r="F69" s="1137"/>
      <c r="G69" s="1139"/>
      <c r="H69" s="157"/>
      <c r="I69" s="2638"/>
      <c r="J69" s="2222"/>
      <c r="K69" s="2222"/>
      <c r="L69" s="2227"/>
      <c r="M69" s="2449">
        <f>Motpart!H20*1000/J59</f>
        <v>1186.7469879518073</v>
      </c>
      <c r="N69" s="1397"/>
      <c r="O69" s="2442"/>
      <c r="P69" s="325"/>
      <c r="Q69" s="2432" t="s">
        <v>1000</v>
      </c>
    </row>
    <row r="70" spans="1:17" ht="12.75">
      <c r="A70" s="1165" t="s">
        <v>605</v>
      </c>
      <c r="B70" s="1164"/>
      <c r="C70" s="1126"/>
      <c r="D70" s="1126"/>
      <c r="E70" s="1126"/>
      <c r="F70" s="1126"/>
      <c r="G70" s="1136"/>
      <c r="H70" s="1378"/>
      <c r="I70" s="1379"/>
      <c r="J70" s="1658"/>
      <c r="K70" s="1180"/>
      <c r="L70" s="1180"/>
      <c r="M70" s="2449">
        <f>((Motpart!D20+Motpart!E20+Motpart!F20+Motpart!J20)-(Motpart!D20+Motpart!E20+Motpart!F20+Motpart!J20)*0.06)*1000/J59</f>
        <v>28769.096385542169</v>
      </c>
      <c r="N70" s="1397"/>
      <c r="O70" s="2442"/>
      <c r="P70" s="325"/>
      <c r="Q70" s="2432" t="s">
        <v>1001</v>
      </c>
    </row>
    <row r="71" spans="1:17" ht="13.5" thickBot="1">
      <c r="A71" s="1173"/>
      <c r="B71" s="1174"/>
      <c r="C71" s="2028" t="str">
        <f>IF(ABS(C67)&lt;100,"",IF(C58=0,"C58",IF(ABS(C67/C58)&gt;0.01,"C67")))</f>
        <v/>
      </c>
      <c r="D71" s="2029"/>
      <c r="E71" s="2029" t="str">
        <f>IF(ABS(E67)&lt;100,"",IF(E58=0,"E58",IF(ABS(E67/E58)&gt;0.01,"E67")))</f>
        <v/>
      </c>
      <c r="F71" s="2031"/>
      <c r="G71" s="2030" t="str">
        <f>IF(ABS(G67)&lt;100,"",IF(G58=0,"G58",IF(ABS(G67/G58)&gt;0.01,"G67")))</f>
        <v/>
      </c>
      <c r="H71" s="160"/>
      <c r="I71" s="1179"/>
      <c r="J71" s="1659"/>
      <c r="K71" s="1177"/>
      <c r="L71" s="1177"/>
      <c r="M71" s="665"/>
      <c r="N71" s="1397"/>
      <c r="O71" s="2442"/>
      <c r="P71" s="325"/>
      <c r="Q71" s="2434" t="s">
        <v>529</v>
      </c>
    </row>
    <row r="72" spans="1:17" ht="12.75">
      <c r="A72" s="1149" t="s">
        <v>427</v>
      </c>
      <c r="B72" s="1160" t="s">
        <v>576</v>
      </c>
      <c r="C72" s="88">
        <f>Drift!P57</f>
        <v>3664</v>
      </c>
      <c r="D72" s="89">
        <f>SUM(Motpart!D21:L21)</f>
        <v>1030</v>
      </c>
      <c r="E72" s="89">
        <f>Drift!W57</f>
        <v>893</v>
      </c>
      <c r="F72" s="89">
        <f>Motpart!Y21</f>
        <v>577</v>
      </c>
      <c r="G72" s="138">
        <f>Drift!V57</f>
        <v>187</v>
      </c>
      <c r="H72" s="157"/>
      <c r="I72" s="1556" t="s">
        <v>981</v>
      </c>
      <c r="J72" s="1657">
        <v>332330</v>
      </c>
      <c r="K72" s="1543"/>
      <c r="L72" s="1541"/>
      <c r="M72" s="2450">
        <f>SUM(M73:M75,M77:M79)</f>
        <v>6506.0240963855422</v>
      </c>
      <c r="N72" s="1397"/>
      <c r="O72" s="2442"/>
      <c r="P72" s="325"/>
      <c r="Q72" s="2432" t="s">
        <v>989</v>
      </c>
    </row>
    <row r="73" spans="1:17" ht="12.75">
      <c r="A73" s="1144" t="s">
        <v>428</v>
      </c>
      <c r="B73" s="1161" t="s">
        <v>526</v>
      </c>
      <c r="C73" s="286">
        <v>1190</v>
      </c>
      <c r="D73" s="1137"/>
      <c r="E73" s="265">
        <v>87</v>
      </c>
      <c r="F73" s="1129"/>
      <c r="G73" s="285">
        <v>82</v>
      </c>
      <c r="H73" s="175" t="s">
        <v>637</v>
      </c>
      <c r="I73" s="883"/>
      <c r="J73" s="2454">
        <v>332</v>
      </c>
      <c r="K73" s="1538"/>
      <c r="L73" s="1538"/>
      <c r="M73" s="2449">
        <f t="shared" ref="M73:M78" si="3">(C73-E73)*1000/$J$73</f>
        <v>3322.2891566265062</v>
      </c>
      <c r="N73" s="1397"/>
      <c r="O73" s="2442"/>
      <c r="P73" s="325"/>
      <c r="Q73" s="2432" t="s">
        <v>990</v>
      </c>
    </row>
    <row r="74" spans="1:17" ht="12.75">
      <c r="A74" s="1144" t="s">
        <v>429</v>
      </c>
      <c r="B74" s="1161" t="s">
        <v>934</v>
      </c>
      <c r="C74" s="286">
        <v>84</v>
      </c>
      <c r="D74" s="1137"/>
      <c r="E74" s="265">
        <v>16</v>
      </c>
      <c r="F74" s="1129"/>
      <c r="G74" s="285">
        <v>5</v>
      </c>
      <c r="H74" s="174" t="s">
        <v>638</v>
      </c>
      <c r="I74" s="883"/>
      <c r="J74" s="1535"/>
      <c r="K74" s="1180"/>
      <c r="L74" s="1180"/>
      <c r="M74" s="2449">
        <f t="shared" si="3"/>
        <v>204.81927710843374</v>
      </c>
      <c r="N74" s="1397"/>
      <c r="O74" s="2442"/>
      <c r="P74" s="325"/>
      <c r="Q74" s="2432" t="s">
        <v>991</v>
      </c>
    </row>
    <row r="75" spans="1:17" ht="12.75">
      <c r="A75" s="1144" t="s">
        <v>430</v>
      </c>
      <c r="B75" s="1161" t="s">
        <v>546</v>
      </c>
      <c r="C75" s="286">
        <v>42</v>
      </c>
      <c r="D75" s="1137"/>
      <c r="E75" s="265">
        <v>4</v>
      </c>
      <c r="F75" s="1129"/>
      <c r="G75" s="285">
        <v>1</v>
      </c>
      <c r="H75" s="1555"/>
      <c r="I75" s="883"/>
      <c r="J75" s="1303"/>
      <c r="K75" s="1176"/>
      <c r="L75" s="1176"/>
      <c r="M75" s="2449">
        <f t="shared" si="3"/>
        <v>114.4578313253012</v>
      </c>
      <c r="N75" s="1397"/>
      <c r="O75" s="2442"/>
      <c r="P75" s="325"/>
      <c r="Q75" s="2432" t="s">
        <v>992</v>
      </c>
    </row>
    <row r="76" spans="1:17" ht="12.75">
      <c r="A76" s="1144" t="s">
        <v>431</v>
      </c>
      <c r="B76" s="1161" t="s">
        <v>524</v>
      </c>
      <c r="C76" s="286">
        <v>268</v>
      </c>
      <c r="D76" s="1137"/>
      <c r="E76" s="265">
        <v>6</v>
      </c>
      <c r="F76" s="1129"/>
      <c r="G76" s="285">
        <v>1</v>
      </c>
      <c r="H76" s="1555" t="s">
        <v>639</v>
      </c>
      <c r="I76" s="883"/>
      <c r="J76" s="1535"/>
      <c r="K76" s="1538"/>
      <c r="L76" s="1538"/>
      <c r="M76" s="2449">
        <f t="shared" si="3"/>
        <v>789.15662650602405</v>
      </c>
      <c r="N76" s="1397"/>
      <c r="O76" s="2442"/>
      <c r="P76" s="325"/>
      <c r="Q76" s="2432" t="s">
        <v>993</v>
      </c>
    </row>
    <row r="77" spans="1:17" ht="12.75">
      <c r="A77" s="1144" t="s">
        <v>432</v>
      </c>
      <c r="B77" s="1162" t="s">
        <v>812</v>
      </c>
      <c r="C77" s="286">
        <v>58</v>
      </c>
      <c r="D77" s="1137"/>
      <c r="E77" s="265">
        <v>1</v>
      </c>
      <c r="F77" s="1129"/>
      <c r="G77" s="285">
        <v>0</v>
      </c>
      <c r="H77" s="1555" t="s">
        <v>640</v>
      </c>
      <c r="I77" s="883"/>
      <c r="J77" s="1535"/>
      <c r="K77" s="1538"/>
      <c r="L77" s="1538"/>
      <c r="M77" s="2449">
        <f t="shared" si="3"/>
        <v>171.68674698795181</v>
      </c>
      <c r="N77" s="1397"/>
      <c r="O77" s="2442"/>
      <c r="P77" s="325"/>
      <c r="Q77" s="2432" t="s">
        <v>994</v>
      </c>
    </row>
    <row r="78" spans="1:17" ht="12.75">
      <c r="A78" s="1144" t="s">
        <v>433</v>
      </c>
      <c r="B78" s="1163" t="s">
        <v>569</v>
      </c>
      <c r="C78" s="286">
        <v>283</v>
      </c>
      <c r="D78" s="1137"/>
      <c r="E78" s="265">
        <v>4</v>
      </c>
      <c r="F78" s="1129"/>
      <c r="G78" s="285">
        <v>4</v>
      </c>
      <c r="H78" s="1555" t="s">
        <v>641</v>
      </c>
      <c r="I78" s="883"/>
      <c r="J78" s="1535"/>
      <c r="K78" s="1538"/>
      <c r="L78" s="1538"/>
      <c r="M78" s="2449">
        <f t="shared" si="3"/>
        <v>840.36144578313258</v>
      </c>
      <c r="N78" s="1397"/>
      <c r="O78" s="2442"/>
      <c r="P78" s="325"/>
      <c r="Q78" s="2432" t="s">
        <v>995</v>
      </c>
    </row>
    <row r="79" spans="1:17" ht="12.75">
      <c r="A79" s="1144" t="s">
        <v>434</v>
      </c>
      <c r="B79" s="1161" t="s">
        <v>472</v>
      </c>
      <c r="C79" s="286">
        <v>629</v>
      </c>
      <c r="D79" s="1137"/>
      <c r="E79" s="265">
        <v>182</v>
      </c>
      <c r="F79" s="1129"/>
      <c r="G79" s="285">
        <v>94</v>
      </c>
      <c r="H79" s="175" t="s">
        <v>642</v>
      </c>
      <c r="I79" s="2633" t="str">
        <f>IF(SUM(E79-G79+100)&lt;Motpart!AA21,"I Motparten är statsbidragen "&amp;""&amp;(Motpart!AA21)&amp;" tkr. Alla bidrag från staten o statliga myndigheter, inklusive de från Migrationsverket, ska ingå under Övrigt som extern intäkt. De externa intäkterna på Övrigt-raden är dock bara "&amp;""&amp;(ROUND(E79-G79,0))&amp;" tkr. ","")</f>
        <v/>
      </c>
      <c r="J79" s="2279"/>
      <c r="K79" s="2213"/>
      <c r="L79" s="2221"/>
      <c r="M79" s="661">
        <f>(C79+C80-G79)*1000/$J$73</f>
        <v>1852.4096385542168</v>
      </c>
      <c r="N79" s="1397"/>
      <c r="O79" s="2442"/>
      <c r="P79" s="325"/>
      <c r="Q79" s="2432" t="s">
        <v>996</v>
      </c>
    </row>
    <row r="80" spans="1:17" ht="12.75">
      <c r="A80" s="1144" t="s">
        <v>435</v>
      </c>
      <c r="B80" s="1175" t="s">
        <v>483</v>
      </c>
      <c r="C80" s="286">
        <v>80</v>
      </c>
      <c r="D80" s="1124"/>
      <c r="E80" s="1137"/>
      <c r="F80" s="1137"/>
      <c r="G80" s="1139"/>
      <c r="H80" s="174"/>
      <c r="I80" s="2639"/>
      <c r="J80" s="2279"/>
      <c r="K80" s="2213"/>
      <c r="L80" s="2221"/>
      <c r="M80" s="661">
        <f>((M72*J73/1000+D72-F72-(Motpart!D21+Motpart!E21+Motpart!F21+Motpart!J21)*0.06))/J73*1000+M76</f>
        <v>8612.469879518072</v>
      </c>
      <c r="N80" s="1397"/>
      <c r="O80" s="2442"/>
      <c r="P80" s="325"/>
      <c r="Q80" s="2432" t="s">
        <v>997</v>
      </c>
    </row>
    <row r="81" spans="1:17" ht="12.75">
      <c r="A81" s="1165" t="s">
        <v>606</v>
      </c>
      <c r="B81" s="1164"/>
      <c r="C81" s="1137"/>
      <c r="D81" s="1126"/>
      <c r="E81" s="1137"/>
      <c r="F81" s="1137"/>
      <c r="G81" s="1139"/>
      <c r="H81" s="159"/>
      <c r="I81" s="2639"/>
      <c r="J81" s="2279"/>
      <c r="K81" s="2213"/>
      <c r="L81" s="2221"/>
      <c r="M81" s="2449">
        <f>(Motpart!G21+Motpart!K21)*1000/J73</f>
        <v>2174.6987951807228</v>
      </c>
      <c r="N81" s="1397"/>
      <c r="O81" s="2442"/>
      <c r="P81" s="325"/>
      <c r="Q81" s="2432" t="s">
        <v>998</v>
      </c>
    </row>
    <row r="82" spans="1:17" ht="12.75">
      <c r="A82" s="1165" t="s">
        <v>607</v>
      </c>
      <c r="B82" s="1164"/>
      <c r="C82" s="1137"/>
      <c r="D82" s="1126"/>
      <c r="E82" s="1137"/>
      <c r="F82" s="1137"/>
      <c r="G82" s="1139"/>
      <c r="H82" s="157"/>
      <c r="I82" s="2639"/>
      <c r="J82" s="2279"/>
      <c r="K82" s="2213"/>
      <c r="L82" s="2221"/>
      <c r="M82" s="2449">
        <f>F72*1000/J73</f>
        <v>1737.9518072289156</v>
      </c>
      <c r="N82" s="1397"/>
      <c r="O82" s="2442"/>
      <c r="P82" s="325"/>
      <c r="Q82" s="2432" t="s">
        <v>999</v>
      </c>
    </row>
    <row r="83" spans="1:17" ht="12.75">
      <c r="A83" s="1165" t="s">
        <v>608</v>
      </c>
      <c r="B83" s="1169"/>
      <c r="C83" s="1137"/>
      <c r="D83" s="1126"/>
      <c r="E83" s="1137"/>
      <c r="F83" s="1137"/>
      <c r="G83" s="1139"/>
      <c r="H83" s="161"/>
      <c r="I83" s="2639"/>
      <c r="J83" s="2279"/>
      <c r="K83" s="2213"/>
      <c r="L83" s="2221"/>
      <c r="M83" s="661">
        <f>Motpart!H21*1000/J73</f>
        <v>132.53012048192772</v>
      </c>
      <c r="N83" s="1397"/>
      <c r="O83" s="2442"/>
      <c r="P83" s="325"/>
      <c r="Q83" s="2432" t="s">
        <v>1000</v>
      </c>
    </row>
    <row r="84" spans="1:17" ht="12.75">
      <c r="A84" s="1144" t="s">
        <v>609</v>
      </c>
      <c r="B84" s="1164"/>
      <c r="C84" s="1126"/>
      <c r="D84" s="1126"/>
      <c r="E84" s="1126"/>
      <c r="F84" s="1126"/>
      <c r="G84" s="1136"/>
      <c r="H84" s="1378"/>
      <c r="I84" s="1379"/>
      <c r="J84" s="1658"/>
      <c r="K84" s="1180"/>
      <c r="L84" s="1180"/>
      <c r="M84" s="661">
        <f>((Motpart!D21+Motpart!E21+Motpart!F21+Motpart!J21)-(Motpart!D21+Motpart!E21+Motpart!F21+Motpart!J21)*0.06)*1000/J73</f>
        <v>738.97590361445782</v>
      </c>
      <c r="N84" s="1397"/>
      <c r="O84" s="2442"/>
      <c r="P84" s="325"/>
      <c r="Q84" s="2432" t="s">
        <v>1002</v>
      </c>
    </row>
    <row r="85" spans="1:17" ht="13.5" thickBot="1">
      <c r="A85" s="1167"/>
      <c r="B85" s="1174"/>
      <c r="C85" s="2028" t="str">
        <f>IF(ABS(C81)&lt;100,"",IF(C72=0,"C72",IF(ABS(C81/C72)&gt;0.01,"C81")))</f>
        <v/>
      </c>
      <c r="D85" s="2029"/>
      <c r="E85" s="2029" t="str">
        <f>IF(ABS(E81)&lt;100,"",IF(E72=0,"E72",IF(ABS(E81/E72)&gt;0.01,"E81")))</f>
        <v/>
      </c>
      <c r="F85" s="2029"/>
      <c r="G85" s="2030" t="str">
        <f>IF(ABS(G81)&lt;100,"",IF(G72=0,"G72",IF(ABS(G81/G72)&gt;0.01,"G81")))</f>
        <v/>
      </c>
      <c r="H85" s="160"/>
      <c r="I85" s="1179"/>
      <c r="J85" s="1659"/>
      <c r="K85" s="1177"/>
      <c r="L85" s="1180"/>
      <c r="M85" s="1398"/>
      <c r="N85" s="1397"/>
      <c r="O85" s="2442"/>
      <c r="P85" s="325"/>
      <c r="Q85" s="2434" t="s">
        <v>530</v>
      </c>
    </row>
    <row r="86" spans="1:17" ht="12.75" customHeight="1">
      <c r="A86" s="1149" t="s">
        <v>436</v>
      </c>
      <c r="B86" s="1160" t="s">
        <v>578</v>
      </c>
      <c r="C86" s="173">
        <f>Drift!P60</f>
        <v>1495</v>
      </c>
      <c r="D86" s="89">
        <f>SUM(Motpart!D22:L22)</f>
        <v>447</v>
      </c>
      <c r="E86" s="172">
        <f>Drift!W60</f>
        <v>240</v>
      </c>
      <c r="F86" s="89">
        <f>Motpart!Y22</f>
        <v>50</v>
      </c>
      <c r="G86" s="139">
        <f>Drift!V60</f>
        <v>78</v>
      </c>
      <c r="H86" s="162"/>
      <c r="I86" s="1182" t="s">
        <v>570</v>
      </c>
      <c r="J86" s="1657">
        <v>5928038</v>
      </c>
      <c r="K86" s="1183"/>
      <c r="L86" s="1183"/>
      <c r="M86" s="2450">
        <f>SUM(M87:M91)</f>
        <v>163.12415654520916</v>
      </c>
      <c r="N86" s="1397"/>
      <c r="O86" s="2442"/>
      <c r="P86" s="325"/>
      <c r="Q86" s="2432" t="s">
        <v>1003</v>
      </c>
    </row>
    <row r="87" spans="1:17" ht="12.75" customHeight="1">
      <c r="A87" s="1144" t="s">
        <v>437</v>
      </c>
      <c r="B87" s="1161" t="s">
        <v>526</v>
      </c>
      <c r="C87" s="286">
        <v>595</v>
      </c>
      <c r="D87" s="1137"/>
      <c r="E87" s="265">
        <v>20</v>
      </c>
      <c r="F87" s="1129"/>
      <c r="G87" s="285">
        <v>17</v>
      </c>
      <c r="H87" s="161"/>
      <c r="I87" s="1184"/>
      <c r="J87" s="2454">
        <v>5928</v>
      </c>
      <c r="K87" s="1180"/>
      <c r="L87" s="1180"/>
      <c r="M87" s="2449">
        <f>(C87-E87)*1000/$J$87</f>
        <v>96.997300944669362</v>
      </c>
      <c r="N87" s="1397"/>
      <c r="O87" s="2442"/>
      <c r="P87" s="325"/>
      <c r="Q87" s="2432" t="s">
        <v>1004</v>
      </c>
    </row>
    <row r="88" spans="1:17" ht="12.75" customHeight="1">
      <c r="A88" s="1144" t="s">
        <v>438</v>
      </c>
      <c r="B88" s="1161" t="s">
        <v>934</v>
      </c>
      <c r="C88" s="286">
        <v>32</v>
      </c>
      <c r="D88" s="1137"/>
      <c r="E88" s="265">
        <v>1</v>
      </c>
      <c r="F88" s="1129"/>
      <c r="G88" s="285">
        <v>1</v>
      </c>
      <c r="H88" s="161"/>
      <c r="I88" s="1184"/>
      <c r="J88" s="1660"/>
      <c r="K88" s="1180"/>
      <c r="L88" s="1180"/>
      <c r="M88" s="2449">
        <f>(C88-E88)*1000/$J$87</f>
        <v>5.2294197031039138</v>
      </c>
      <c r="N88" s="1397"/>
      <c r="O88" s="2442"/>
      <c r="P88" s="325"/>
      <c r="Q88" s="2432" t="s">
        <v>1005</v>
      </c>
    </row>
    <row r="89" spans="1:17" ht="15.75" customHeight="1">
      <c r="A89" s="1144" t="s">
        <v>439</v>
      </c>
      <c r="B89" s="1171" t="s">
        <v>812</v>
      </c>
      <c r="C89" s="286">
        <v>6</v>
      </c>
      <c r="D89" s="1137"/>
      <c r="E89" s="265">
        <v>0</v>
      </c>
      <c r="F89" s="1129"/>
      <c r="G89" s="285">
        <v>0</v>
      </c>
      <c r="H89" s="161"/>
      <c r="I89" s="1185"/>
      <c r="J89" s="1661"/>
      <c r="K89" s="1186"/>
      <c r="L89" s="1186"/>
      <c r="M89" s="2449">
        <f>(C89-E89)*1000/$J$87</f>
        <v>1.0121457489878543</v>
      </c>
      <c r="N89" s="1397"/>
      <c r="O89" s="2442"/>
      <c r="P89" s="325"/>
      <c r="Q89" s="2432" t="s">
        <v>1006</v>
      </c>
    </row>
    <row r="90" spans="1:17" ht="12.75" customHeight="1">
      <c r="A90" s="1144" t="s">
        <v>440</v>
      </c>
      <c r="B90" s="1163" t="s">
        <v>569</v>
      </c>
      <c r="C90" s="286">
        <v>131</v>
      </c>
      <c r="D90" s="1137"/>
      <c r="E90" s="265">
        <v>1</v>
      </c>
      <c r="F90" s="1129"/>
      <c r="G90" s="285">
        <v>1</v>
      </c>
      <c r="H90" s="161"/>
      <c r="I90" s="2640" t="str">
        <f>IF(SUM(E91-G91+100)&lt;Motpart!AA22,"I Motparten är statsbidragen "&amp;""&amp;(Motpart!AA22)&amp;" tkr. Alla bidrag från staten o statliga myndigheter, inklusive de från Migrationsverket, ska ingå under Övrigt som extern intäkt. De externa intäkterna på Övrigt-raden är dock bara "&amp;""&amp;(ROUND(E91-G91,0))&amp;" tkr. ","")</f>
        <v/>
      </c>
      <c r="J90" s="2458"/>
      <c r="K90" s="2200"/>
      <c r="L90" s="2201"/>
      <c r="M90" s="2449">
        <f>(C90-E90)*1000/$J$87</f>
        <v>21.92982456140351</v>
      </c>
      <c r="N90" s="1397"/>
      <c r="O90" s="2442"/>
      <c r="P90" s="325"/>
      <c r="Q90" s="2432" t="s">
        <v>1007</v>
      </c>
    </row>
    <row r="91" spans="1:17" ht="12.75" customHeight="1">
      <c r="A91" s="1144" t="s">
        <v>441</v>
      </c>
      <c r="B91" s="1161" t="s">
        <v>472</v>
      </c>
      <c r="C91" s="286">
        <v>245</v>
      </c>
      <c r="D91" s="1137"/>
      <c r="E91" s="265">
        <v>152</v>
      </c>
      <c r="F91" s="1129"/>
      <c r="G91" s="285">
        <v>59</v>
      </c>
      <c r="H91" s="161"/>
      <c r="I91" s="2639"/>
      <c r="J91" s="2458"/>
      <c r="K91" s="2200"/>
      <c r="L91" s="2201"/>
      <c r="M91" s="2449">
        <f>(C91+C92-G91)*1000/J87</f>
        <v>37.955465587044536</v>
      </c>
      <c r="N91" s="1397"/>
      <c r="O91" s="2442"/>
      <c r="P91" s="325"/>
      <c r="Q91" s="2432" t="s">
        <v>1008</v>
      </c>
    </row>
    <row r="92" spans="1:17" ht="12.75" customHeight="1">
      <c r="A92" s="1144" t="s">
        <v>442</v>
      </c>
      <c r="B92" s="1175" t="s">
        <v>525</v>
      </c>
      <c r="C92" s="286">
        <v>39</v>
      </c>
      <c r="D92" s="1124"/>
      <c r="E92" s="1137"/>
      <c r="F92" s="1137"/>
      <c r="G92" s="1139"/>
      <c r="H92" s="161"/>
      <c r="I92" s="2639"/>
      <c r="J92" s="2458"/>
      <c r="K92" s="2200"/>
      <c r="L92" s="2201"/>
      <c r="M92" s="2451"/>
      <c r="N92" s="1397"/>
      <c r="O92" s="2442"/>
      <c r="P92" s="325"/>
      <c r="Q92" s="2435"/>
    </row>
    <row r="93" spans="1:17" ht="12.75" customHeight="1">
      <c r="A93" s="1144"/>
      <c r="B93" s="1175"/>
      <c r="C93" s="1137"/>
      <c r="D93" s="1126"/>
      <c r="E93" s="1137"/>
      <c r="F93" s="1137"/>
      <c r="G93" s="1139"/>
      <c r="H93" s="159"/>
      <c r="I93" s="2639"/>
      <c r="J93" s="2458"/>
      <c r="K93" s="2200"/>
      <c r="L93" s="2201"/>
      <c r="M93" s="2451"/>
      <c r="N93" s="1397"/>
      <c r="O93" s="2442"/>
      <c r="P93" s="325"/>
      <c r="Q93" s="2432" t="s">
        <v>531</v>
      </c>
    </row>
    <row r="94" spans="1:17" ht="16.5" customHeight="1" thickBot="1">
      <c r="A94" s="1167"/>
      <c r="B94" s="1168"/>
      <c r="C94" s="2028" t="str">
        <f>IF(ABS(C93)&lt;100,"",IF(C86=0,"C86",IF(ABS(C93/C86)&gt;0.01,"C93")))</f>
        <v/>
      </c>
      <c r="D94" s="2029"/>
      <c r="E94" s="2029" t="str">
        <f>IF(ABS(E93)&lt;100,"",IF(E86=0,"E86",IF(ABS(E93/E86)&gt;0.01,"E93")))</f>
        <v/>
      </c>
      <c r="F94" s="2029"/>
      <c r="G94" s="2030" t="str">
        <f>IF(ABS(G93)&lt;100,"",IF(G86=0,"G86",IF(ABS(G93/G86)&gt;0.01,"G93")))</f>
        <v/>
      </c>
      <c r="H94" s="176"/>
      <c r="I94" s="2641"/>
      <c r="J94" s="2459"/>
      <c r="K94" s="2223"/>
      <c r="L94" s="2224"/>
      <c r="M94" s="2452"/>
      <c r="N94" s="1397"/>
      <c r="O94" s="2442"/>
      <c r="P94" s="325"/>
      <c r="Q94" s="2434"/>
    </row>
    <row r="95" spans="1:17" ht="12.75" customHeight="1">
      <c r="A95" s="1149" t="s">
        <v>443</v>
      </c>
      <c r="B95" s="1160" t="s">
        <v>579</v>
      </c>
      <c r="C95" s="88">
        <f>Drift!P61</f>
        <v>5139</v>
      </c>
      <c r="D95" s="1141">
        <f>SUM(Motpart!D23:L23)</f>
        <v>1830</v>
      </c>
      <c r="E95" s="172">
        <f>Drift!W61</f>
        <v>2223</v>
      </c>
      <c r="F95" s="89">
        <f>Motpart!Y23</f>
        <v>263</v>
      </c>
      <c r="G95" s="139">
        <f>Drift!V61</f>
        <v>345</v>
      </c>
      <c r="H95" s="162"/>
      <c r="I95" s="1182" t="s">
        <v>570</v>
      </c>
      <c r="J95" s="1657">
        <v>5928038</v>
      </c>
      <c r="K95" s="1183"/>
      <c r="L95" s="1183"/>
      <c r="M95" s="2450">
        <f>SUM(M96:M100)</f>
        <v>489.20377867746288</v>
      </c>
      <c r="N95" s="1397"/>
      <c r="O95" s="2442"/>
      <c r="P95" s="325"/>
      <c r="Q95" s="2433" t="s">
        <v>1003</v>
      </c>
    </row>
    <row r="96" spans="1:17" ht="12.75" customHeight="1">
      <c r="A96" s="1144" t="s">
        <v>444</v>
      </c>
      <c r="B96" s="1161" t="s">
        <v>526</v>
      </c>
      <c r="C96" s="286">
        <v>1612</v>
      </c>
      <c r="D96" s="1137"/>
      <c r="E96" s="265">
        <v>152</v>
      </c>
      <c r="F96" s="1129"/>
      <c r="G96" s="285">
        <v>99</v>
      </c>
      <c r="H96" s="161"/>
      <c r="I96" s="1184"/>
      <c r="J96" s="2454">
        <v>5928</v>
      </c>
      <c r="K96" s="1180"/>
      <c r="L96" s="1180"/>
      <c r="M96" s="2449">
        <f>(C96-E96)*1000/$J$96</f>
        <v>246.28879892037787</v>
      </c>
      <c r="N96" s="1397"/>
      <c r="O96" s="2442"/>
      <c r="P96" s="325"/>
      <c r="Q96" s="2432" t="s">
        <v>1004</v>
      </c>
    </row>
    <row r="97" spans="1:17" ht="12.75" customHeight="1">
      <c r="A97" s="1144" t="s">
        <v>445</v>
      </c>
      <c r="B97" s="1161" t="s">
        <v>934</v>
      </c>
      <c r="C97" s="286">
        <v>129</v>
      </c>
      <c r="D97" s="1137"/>
      <c r="E97" s="265">
        <v>14</v>
      </c>
      <c r="F97" s="1129"/>
      <c r="G97" s="285">
        <v>6</v>
      </c>
      <c r="H97" s="159"/>
      <c r="I97" s="1184"/>
      <c r="J97" s="1660"/>
      <c r="K97" s="1180"/>
      <c r="L97" s="1180"/>
      <c r="M97" s="2449">
        <f>(C97-E97)*1000/$J$96</f>
        <v>19.399460188933872</v>
      </c>
      <c r="N97" s="1397"/>
      <c r="O97" s="2442"/>
      <c r="P97" s="325"/>
      <c r="Q97" s="2432" t="s">
        <v>1005</v>
      </c>
    </row>
    <row r="98" spans="1:17" ht="14.25" customHeight="1">
      <c r="A98" s="1144" t="s">
        <v>446</v>
      </c>
      <c r="B98" s="1162" t="s">
        <v>812</v>
      </c>
      <c r="C98" s="286">
        <v>9</v>
      </c>
      <c r="D98" s="1137"/>
      <c r="E98" s="265">
        <v>0</v>
      </c>
      <c r="F98" s="1129"/>
      <c r="G98" s="285">
        <v>0</v>
      </c>
      <c r="H98" s="157"/>
      <c r="I98" s="1185"/>
      <c r="J98" s="1661"/>
      <c r="K98" s="1186"/>
      <c r="L98" s="1186"/>
      <c r="M98" s="2449">
        <f>(C98-E98)*1000/$J$96</f>
        <v>1.5182186234817814</v>
      </c>
      <c r="N98" s="1397"/>
      <c r="O98" s="2442"/>
      <c r="P98" s="325"/>
      <c r="Q98" s="2432" t="s">
        <v>1006</v>
      </c>
    </row>
    <row r="99" spans="1:17" ht="15" customHeight="1">
      <c r="A99" s="1144" t="s">
        <v>447</v>
      </c>
      <c r="B99" s="1163" t="s">
        <v>569</v>
      </c>
      <c r="C99" s="286">
        <v>405</v>
      </c>
      <c r="D99" s="1137"/>
      <c r="E99" s="265">
        <v>20</v>
      </c>
      <c r="F99" s="1129"/>
      <c r="G99" s="285">
        <v>17</v>
      </c>
      <c r="H99" s="161"/>
      <c r="I99" s="2642" t="str">
        <f>IF(SUM(E100-G100+100)&lt;Motpart!AA23,"I Motparten är statsbidragen "&amp;""&amp;(Motpart!AA23)&amp;" tkr. Alla bidrag från staten o statliga myndigheter, inklusive de från Migrationsverket, ska ingå under Övrigt som extern intäkt. De externa intäkterna på Övrigt-raden är dock bara "&amp;""&amp;(ROUND(E100-G100,0))&amp;" tkr. ","")</f>
        <v/>
      </c>
      <c r="J99" s="2225"/>
      <c r="K99" s="2225"/>
      <c r="L99" s="2226"/>
      <c r="M99" s="2449">
        <f>(C99-E99)*1000/$J$96</f>
        <v>64.946018893387318</v>
      </c>
      <c r="N99" s="1397"/>
      <c r="O99" s="2442"/>
      <c r="P99" s="325"/>
      <c r="Q99" s="2432" t="s">
        <v>1007</v>
      </c>
    </row>
    <row r="100" spans="1:17" ht="12.75" customHeight="1">
      <c r="A100" s="1144" t="s">
        <v>448</v>
      </c>
      <c r="B100" s="1161" t="s">
        <v>472</v>
      </c>
      <c r="C100" s="286">
        <v>1047</v>
      </c>
      <c r="D100" s="1137"/>
      <c r="E100" s="265">
        <v>1697</v>
      </c>
      <c r="F100" s="1129"/>
      <c r="G100" s="285">
        <v>223</v>
      </c>
      <c r="H100" s="159"/>
      <c r="I100" s="2636"/>
      <c r="J100" s="2225"/>
      <c r="K100" s="2225"/>
      <c r="L100" s="2226"/>
      <c r="M100" s="2449">
        <f>(C100+C101-G100)*1000/J96</f>
        <v>157.05128205128204</v>
      </c>
      <c r="N100" s="1397"/>
      <c r="O100" s="2442"/>
      <c r="P100" s="325"/>
      <c r="Q100" s="2432" t="s">
        <v>1008</v>
      </c>
    </row>
    <row r="101" spans="1:17" ht="19.5" customHeight="1">
      <c r="A101" s="1144" t="s">
        <v>449</v>
      </c>
      <c r="B101" s="1161" t="s">
        <v>525</v>
      </c>
      <c r="C101" s="286">
        <v>107</v>
      </c>
      <c r="D101" s="1124"/>
      <c r="E101" s="1137"/>
      <c r="F101" s="1137"/>
      <c r="G101" s="1139"/>
      <c r="H101" s="159"/>
      <c r="I101" s="2636"/>
      <c r="J101" s="2225"/>
      <c r="K101" s="2225"/>
      <c r="L101" s="2226"/>
      <c r="M101" s="2451">
        <f>(((M95*J96/1000)+D95-F95+((M86*J87/1000)+D86-F86)))/(J87)*1000</f>
        <v>983.63697705802963</v>
      </c>
      <c r="N101" s="1397"/>
      <c r="O101" s="2442"/>
      <c r="P101" s="325"/>
      <c r="Q101" s="2466" t="s">
        <v>1009</v>
      </c>
    </row>
    <row r="102" spans="1:17" ht="15" customHeight="1">
      <c r="A102" s="2022"/>
      <c r="B102" s="2023"/>
      <c r="C102" s="1137"/>
      <c r="D102" s="1126"/>
      <c r="E102" s="1137"/>
      <c r="F102" s="1137"/>
      <c r="G102" s="1139"/>
      <c r="H102" s="1460"/>
      <c r="I102" s="2636"/>
      <c r="J102" s="2458"/>
      <c r="K102" s="2200"/>
      <c r="L102" s="2201"/>
      <c r="M102" s="2451"/>
      <c r="N102" s="1397"/>
      <c r="O102" s="2442"/>
      <c r="P102" s="325"/>
      <c r="Q102" s="2432" t="s">
        <v>532</v>
      </c>
    </row>
    <row r="103" spans="1:17" ht="12.75" customHeight="1" thickBot="1">
      <c r="A103" s="2024"/>
      <c r="B103" s="2025"/>
      <c r="C103" s="2463" t="str">
        <f>IF(ABS(C102)&lt;100,"",IF(C95=0,"C95",IF(ABS(C102/C95)&gt;0.01,"C102")))</f>
        <v/>
      </c>
      <c r="D103" s="2027"/>
      <c r="E103" s="2464" t="str">
        <f>IF(ABS(E102)&lt;100,"",IF(E95=0,"E95",IF(ABS(E102/E95)&gt;0.01,"E102")))</f>
        <v/>
      </c>
      <c r="F103" s="2027"/>
      <c r="G103" s="2465" t="str">
        <f>IF(ABS(G102)&lt;100,"",IF(G95=0,"G95",IF(ABS(G102/G95)&gt;0.01,"G102")))</f>
        <v/>
      </c>
      <c r="H103" s="2026"/>
      <c r="I103" s="2202"/>
      <c r="J103" s="2460"/>
      <c r="K103" s="2202"/>
      <c r="L103" s="2203"/>
      <c r="M103" s="2453"/>
      <c r="N103" s="2443"/>
      <c r="O103" s="2443"/>
      <c r="P103" s="2444"/>
      <c r="Q103" s="2436"/>
    </row>
    <row r="104" spans="1:17" ht="13.5" thickTop="1">
      <c r="A104" s="150"/>
      <c r="B104" s="277"/>
      <c r="C104" s="278"/>
      <c r="D104" s="278"/>
      <c r="E104" s="278"/>
      <c r="F104" s="278"/>
      <c r="G104" s="278"/>
      <c r="H104" s="279"/>
      <c r="I104" s="278"/>
      <c r="J104" s="278"/>
      <c r="K104" s="278"/>
      <c r="L104" s="236"/>
      <c r="M104" s="280"/>
      <c r="N104" s="280"/>
      <c r="O104" s="280"/>
      <c r="P104" s="281"/>
      <c r="Q104" s="282"/>
    </row>
  </sheetData>
  <sheetProtection password="CBFD" sheet="1" objects="1" scenarios="1"/>
  <customSheetViews>
    <customSheetView guid="{27C9E95B-0E2B-454F-B637-1CECC9579A10}" showGridLines="0" hiddenRows="1" hiddenColumns="1" showRuler="0">
      <pane ySplit="7" topLeftCell="A8" activePane="bottomLeft" state="frozen"/>
      <selection pane="bottomLeft" activeCell="G72" sqref="G72"/>
      <pageMargins left="0.70866141732283472" right="0.70866141732283472" top="0.74803149606299213" bottom="0.74803149606299213" header="0.31496062992125984" footer="0.31496062992125984"/>
      <pageSetup paperSize="9" scale="96" orientation="landscape" r:id="rId1"/>
      <headerFooter alignWithMargins="0"/>
    </customSheetView>
    <customSheetView guid="{99FBDEB7-DD08-4F57-81F4-3C180403E153}" showGridLines="0" hiddenRows="1">
      <pane ySplit="7" topLeftCell="A9" activePane="bottomLeft" state="frozen"/>
      <selection pane="bottomLeft" activeCell="H2" sqref="H2"/>
      <pageMargins left="0.70866141732283472" right="0.70866141732283472" top="0.74803149606299213" bottom="0.74803149606299213" header="0.31496062992125984" footer="0.31496062992125984"/>
      <pageSetup paperSize="9" scale="96" orientation="landscape" r:id="rId2"/>
    </customSheetView>
    <customSheetView guid="{97D6DB71-3F4C-4C5F-8C5B-51E3EBF78932}" showPageBreaks="1" showGridLines="0" hiddenRows="1">
      <pane ySplit="7" topLeftCell="A8" activePane="bottomLeft" state="frozen"/>
      <selection pane="bottomLeft" activeCell="E93" sqref="E93"/>
      <pageMargins left="0.70866141732283472" right="0.70866141732283472" top="0.74803149606299213" bottom="0.74803149606299213" header="0.31496062992125984" footer="0.31496062992125984"/>
      <pageSetup paperSize="9" scale="96" orientation="landscape" r:id="rId3"/>
    </customSheetView>
  </customSheetViews>
  <mergeCells count="13">
    <mergeCell ref="I99:I102"/>
    <mergeCell ref="I38:I42"/>
    <mergeCell ref="I51:I55"/>
    <mergeCell ref="I65:I69"/>
    <mergeCell ref="I79:I83"/>
    <mergeCell ref="I90:I94"/>
    <mergeCell ref="IO6:IO7"/>
    <mergeCell ref="Q4:Q7"/>
    <mergeCell ref="M4:M6"/>
    <mergeCell ref="D5:D7"/>
    <mergeCell ref="F5:F7"/>
    <mergeCell ref="G5:G7"/>
    <mergeCell ref="I4:L5"/>
  </mergeCells>
  <phoneticPr fontId="92" type="noConversion"/>
  <conditionalFormatting sqref="G32:G38 G45:G51 G59:G65 G73:G79 G87:G91 G96:G100">
    <cfRule type="expression" dxfId="54" priority="83" stopIfTrue="1">
      <formula>G32&gt;E32</formula>
    </cfRule>
  </conditionalFormatting>
  <conditionalFormatting sqref="G11 G19 G27 G32:G38 G45:G51 G59:G65">
    <cfRule type="expression" dxfId="53" priority="82" stopIfTrue="1">
      <formula>G11&gt;E11</formula>
    </cfRule>
  </conditionalFormatting>
  <conditionalFormatting sqref="G46:G51">
    <cfRule type="expression" dxfId="52" priority="71" stopIfTrue="1">
      <formula>G46&gt;E46</formula>
    </cfRule>
  </conditionalFormatting>
  <conditionalFormatting sqref="G27">
    <cfRule type="expression" dxfId="51" priority="12" stopIfTrue="1">
      <formula>G27&gt;G24</formula>
    </cfRule>
    <cfRule type="expression" dxfId="50" priority="46" stopIfTrue="1">
      <formula>G27&gt;E27</formula>
    </cfRule>
  </conditionalFormatting>
  <conditionalFormatting sqref="G19">
    <cfRule type="expression" dxfId="49" priority="20" stopIfTrue="1">
      <formula>G19&gt;G16</formula>
    </cfRule>
    <cfRule type="expression" dxfId="48" priority="45" stopIfTrue="1">
      <formula>G19&gt;E19</formula>
    </cfRule>
  </conditionalFormatting>
  <conditionalFormatting sqref="C40">
    <cfRule type="expression" dxfId="47" priority="43" stopIfTrue="1">
      <formula>ABS(C40/C31)&gt;0.03</formula>
    </cfRule>
  </conditionalFormatting>
  <conditionalFormatting sqref="E40">
    <cfRule type="expression" dxfId="46" priority="42" stopIfTrue="1">
      <formula>ABS(E40/E31)&gt;0.03</formula>
    </cfRule>
  </conditionalFormatting>
  <conditionalFormatting sqref="C103">
    <cfRule type="expression" dxfId="45" priority="28" stopIfTrue="1">
      <formula>ABS(C103/C95)&gt;0.03</formula>
    </cfRule>
  </conditionalFormatting>
  <conditionalFormatting sqref="E103">
    <cfRule type="expression" dxfId="44" priority="27" stopIfTrue="1">
      <formula>ABS(E103/E95)&gt;0.03</formula>
    </cfRule>
  </conditionalFormatting>
  <conditionalFormatting sqref="G103">
    <cfRule type="expression" dxfId="43" priority="26" stopIfTrue="1">
      <formula>ABS(G103/G95)&gt;0.03</formula>
    </cfRule>
  </conditionalFormatting>
  <conditionalFormatting sqref="C11 E11 E13 G11 G19 E21 E19 C19 C27 E27 G27 C32:C38 E32:E38 G32:G38 C45:C52 E45:E51 G45:G51 C59:C66 E59:E65 G59:G65 C73:C80 E73:E79 G73:G79 C87:C92 E87:E91 G87:G91 C96:C101 E96:E100 G96:G100">
    <cfRule type="cellIs" dxfId="42" priority="24" stopIfTrue="1" operator="lessThan">
      <formula>-500</formula>
    </cfRule>
  </conditionalFormatting>
  <conditionalFormatting sqref="C19">
    <cfRule type="expression" dxfId="41" priority="22" stopIfTrue="1">
      <formula>C19&gt;C16</formula>
    </cfRule>
  </conditionalFormatting>
  <conditionalFormatting sqref="E19">
    <cfRule type="expression" dxfId="40" priority="21" stopIfTrue="1">
      <formula>E19&gt;E16</formula>
    </cfRule>
  </conditionalFormatting>
  <conditionalFormatting sqref="C11">
    <cfRule type="expression" dxfId="39" priority="19" stopIfTrue="1">
      <formula>C11&gt;C8</formula>
    </cfRule>
  </conditionalFormatting>
  <conditionalFormatting sqref="E11">
    <cfRule type="expression" dxfId="38" priority="18" stopIfTrue="1">
      <formula>E11&gt;E8</formula>
    </cfRule>
  </conditionalFormatting>
  <conditionalFormatting sqref="G11">
    <cfRule type="expression" dxfId="37" priority="17" stopIfTrue="1">
      <formula>G11&gt;G8</formula>
    </cfRule>
  </conditionalFormatting>
  <conditionalFormatting sqref="E13">
    <cfRule type="expression" dxfId="36" priority="16" stopIfTrue="1">
      <formula>E13&gt;E12</formula>
    </cfRule>
  </conditionalFormatting>
  <conditionalFormatting sqref="E21">
    <cfRule type="expression" dxfId="35" priority="15" stopIfTrue="1">
      <formula>E21&gt;E20</formula>
    </cfRule>
  </conditionalFormatting>
  <conditionalFormatting sqref="C27">
    <cfRule type="expression" dxfId="34" priority="14" stopIfTrue="1">
      <formula>C27&gt;C24</formula>
    </cfRule>
  </conditionalFormatting>
  <conditionalFormatting sqref="E27">
    <cfRule type="expression" dxfId="33" priority="13" stopIfTrue="1">
      <formula>E27&gt;E24</formula>
    </cfRule>
  </conditionalFormatting>
  <conditionalFormatting sqref="C39">
    <cfRule type="cellIs" dxfId="32" priority="1" stopIfTrue="1" operator="lessThan">
      <formula>-500</formula>
    </cfRule>
  </conditionalFormatting>
  <dataValidations disablePrompts="1" count="2">
    <dataValidation type="decimal" operator="lessThan" allowBlank="1" showInputMessage="1" showErrorMessage="1" error="Beloppen ska vara i 1000 tal kronor" sqref="C65489:C65490 G65517:K65517 L65533 C65480:C65482 C65464:C65465 E65464:F65465 E65472:F65473 C65472:C65473 E65480:F65482 E65489:F65490">
      <formula1>99999999</formula1>
    </dataValidation>
    <dataValidation type="decimal" operator="lessThan" allowBlank="1" showInputMessage="1" showErrorMessage="1" error="Beloppet ska vara i 1000 tal kronor" sqref="C11 G96:G100 E96:E100 E11 G87:G91 E87:E91 C87:C92 G73:G79 E73:E79 C73:C80 G59:G65 E59:E65 C59:C66 G45:G51 E45:E51 C45:C52 G32:G38 E32:E38 C32:C39 G27 E27 C27 C19 E21 E19 G19 G11 E13 C96:C101">
      <formula1>99999999</formula1>
    </dataValidation>
  </dataValidations>
  <pageMargins left="0.47" right="0.47" top="0.74803149606299213" bottom="0.74803149606299213" header="0.31" footer="0.31496062992125984"/>
  <pageSetup paperSize="9" scale="96" orientation="landscape" r:id="rId4"/>
  <extLst>
    <ext xmlns:x14="http://schemas.microsoft.com/office/spreadsheetml/2009/9/main" uri="{78C0D931-6437-407d-A8EE-F0AAD7539E65}">
      <x14:conditionalFormattings>
        <x14:conditionalFormatting xmlns:xm="http://schemas.microsoft.com/office/excel/2006/main">
          <x14:cfRule type="expression" priority="8" id="{28489C6D-3605-44EB-AF30-2D3BD554AD4E}">
            <xm:f>SUM(E51-G51+100)&lt;Motpart!AA19</xm:f>
            <x14:dxf>
              <font>
                <b val="0"/>
                <i val="0"/>
                <color auto="1"/>
              </font>
              <fill>
                <patternFill>
                  <bgColor theme="9" tint="0.59996337778862885"/>
                </patternFill>
              </fill>
            </x14:dxf>
          </x14:cfRule>
          <xm:sqref>I51:I55</xm:sqref>
        </x14:conditionalFormatting>
        <x14:conditionalFormatting xmlns:xm="http://schemas.microsoft.com/office/excel/2006/main">
          <x14:cfRule type="expression" priority="7" id="{468A7900-2D84-423B-9B3F-94D8EAA45899}">
            <xm:f>SUM(E65-G65+100)&lt;Motpart!AA20</xm:f>
            <x14:dxf>
              <font>
                <b val="0"/>
                <i val="0"/>
                <color auto="1"/>
              </font>
              <fill>
                <patternFill>
                  <bgColor theme="9" tint="0.59996337778862885"/>
                </patternFill>
              </fill>
            </x14:dxf>
          </x14:cfRule>
          <xm:sqref>I65:I69</xm:sqref>
        </x14:conditionalFormatting>
        <x14:conditionalFormatting xmlns:xm="http://schemas.microsoft.com/office/excel/2006/main">
          <x14:cfRule type="expression" priority="6" id="{4F84AA19-49AA-46E8-9ADE-79F22FCE6F07}">
            <xm:f>SUM(E79-G79+100)&lt;Motpart!AA21</xm:f>
            <x14:dxf>
              <font>
                <b val="0"/>
                <i val="0"/>
                <color auto="1"/>
              </font>
              <fill>
                <patternFill>
                  <bgColor theme="9" tint="0.59996337778862885"/>
                </patternFill>
              </fill>
            </x14:dxf>
          </x14:cfRule>
          <xm:sqref>I79:I83</xm:sqref>
        </x14:conditionalFormatting>
        <x14:conditionalFormatting xmlns:xm="http://schemas.microsoft.com/office/excel/2006/main">
          <x14:cfRule type="expression" priority="5" id="{FE6AF082-1113-4046-BE7C-F09FCD0440EC}">
            <xm:f>SUM(E91-G91+100)&lt;Motpart!AA22</xm:f>
            <x14:dxf>
              <font>
                <b val="0"/>
                <i val="0"/>
                <color auto="1"/>
              </font>
              <fill>
                <patternFill>
                  <bgColor theme="9" tint="0.59996337778862885"/>
                </patternFill>
              </fill>
            </x14:dxf>
          </x14:cfRule>
          <xm:sqref>I90:I94</xm:sqref>
        </x14:conditionalFormatting>
        <x14:conditionalFormatting xmlns:xm="http://schemas.microsoft.com/office/excel/2006/main">
          <x14:cfRule type="expression" priority="3" id="{AA617564-E5DF-4D7E-8EA7-BE3A8CD251A2}">
            <xm:f>SUM(E100-G100+100)&lt;Motpart!AA23</xm:f>
            <x14:dxf>
              <font>
                <color auto="1"/>
              </font>
              <fill>
                <patternFill>
                  <bgColor theme="9" tint="0.59996337778862885"/>
                </patternFill>
              </fill>
            </x14:dxf>
          </x14:cfRule>
          <xm:sqref>I99:I101</xm:sqref>
        </x14:conditionalFormatting>
        <x14:conditionalFormatting xmlns:xm="http://schemas.microsoft.com/office/excel/2006/main">
          <x14:cfRule type="expression" priority="2" id="{917F4404-C110-4D85-A7BD-AEA4F7FA6FA8}">
            <xm:f>SUM(E38-G38+100)&lt;Motpart!AA18</xm:f>
            <x14:dxf>
              <fill>
                <patternFill>
                  <bgColor theme="9" tint="0.59996337778862885"/>
                </patternFill>
              </fill>
            </x14:dxf>
          </x14:cfRule>
          <xm:sqref>I38:I42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12</vt:i4>
      </vt:variant>
      <vt:variant>
        <vt:lpstr>Namngivna områden</vt:lpstr>
      </vt:variant>
      <vt:variant>
        <vt:i4>82</vt:i4>
      </vt:variant>
    </vt:vector>
  </HeadingPairs>
  <TitlesOfParts>
    <vt:vector size="94" baseType="lpstr">
      <vt:lpstr>Kn Information</vt:lpstr>
      <vt:lpstr>RR</vt:lpstr>
      <vt:lpstr>BR</vt:lpstr>
      <vt:lpstr>Verks int o kostn</vt:lpstr>
      <vt:lpstr>Skatter, bidrag o fin poster</vt:lpstr>
      <vt:lpstr>Investeringar</vt:lpstr>
      <vt:lpstr>Drift</vt:lpstr>
      <vt:lpstr>Motpart</vt:lpstr>
      <vt:lpstr>Pedagogisk verksamhet</vt:lpstr>
      <vt:lpstr>Äldre o personer funktionsn</vt:lpstr>
      <vt:lpstr>IFO</vt:lpstr>
      <vt:lpstr>Felkontroll</vt:lpstr>
      <vt:lpstr>'Skatter, bidrag o fin poster'!_GoBack</vt:lpstr>
      <vt:lpstr>Affärsverksamhet</vt:lpstr>
      <vt:lpstr>Balanskravsutredningen</vt:lpstr>
      <vt:lpstr>Barn_o_ungdomsvård</vt:lpstr>
      <vt:lpstr>Barnomsorg</vt:lpstr>
      <vt:lpstr>Block_1</vt:lpstr>
      <vt:lpstr>Block_2</vt:lpstr>
      <vt:lpstr>Block_3</vt:lpstr>
      <vt:lpstr>Block_6</vt:lpstr>
      <vt:lpstr>BR</vt:lpstr>
      <vt:lpstr>Drift</vt:lpstr>
      <vt:lpstr>EKchef</vt:lpstr>
      <vt:lpstr>Ekcheftel</vt:lpstr>
      <vt:lpstr>Epost1RS</vt:lpstr>
      <vt:lpstr>Epost2RS</vt:lpstr>
      <vt:lpstr>Epostaldre</vt:lpstr>
      <vt:lpstr>EpostAO</vt:lpstr>
      <vt:lpstr>EpostEkchef</vt:lpstr>
      <vt:lpstr>Epostforskola</vt:lpstr>
      <vt:lpstr>Epostgrund</vt:lpstr>
      <vt:lpstr>Epostgymn</vt:lpstr>
      <vt:lpstr>Eposthandik</vt:lpstr>
      <vt:lpstr>Epostifo</vt:lpstr>
      <vt:lpstr>EpostPV</vt:lpstr>
      <vt:lpstr>epostpvchef</vt:lpstr>
      <vt:lpstr>epostvochef</vt:lpstr>
      <vt:lpstr>Epostvux</vt:lpstr>
      <vt:lpstr>Extraordinära_RR</vt:lpstr>
      <vt:lpstr>Familjerätt</vt:lpstr>
      <vt:lpstr>Funktionsnedsättning</vt:lpstr>
      <vt:lpstr>Förändring_anläggningstillgångar</vt:lpstr>
      <vt:lpstr>inv7_15</vt:lpstr>
      <vt:lpstr>invanare</vt:lpstr>
      <vt:lpstr>Investeringar</vt:lpstr>
      <vt:lpstr>Invånare</vt:lpstr>
      <vt:lpstr>Jämförelsestörande_poster</vt:lpstr>
      <vt:lpstr>Kontaktpers1RS</vt:lpstr>
      <vt:lpstr>Kontaktpers2RS</vt:lpstr>
      <vt:lpstr>Kontaktpersaldre</vt:lpstr>
      <vt:lpstr>KontaktpersAO</vt:lpstr>
      <vt:lpstr>Kontaktpersforskola</vt:lpstr>
      <vt:lpstr>Kontaktpersgrund</vt:lpstr>
      <vt:lpstr>Kontaktpersgymn</vt:lpstr>
      <vt:lpstr>Kontaktpershandik</vt:lpstr>
      <vt:lpstr>Kontaktpersifo</vt:lpstr>
      <vt:lpstr>KontaktpersPV</vt:lpstr>
      <vt:lpstr>Kontaktpersvux</vt:lpstr>
      <vt:lpstr>Kontakttel1RS</vt:lpstr>
      <vt:lpstr>Kontakttel2RS</vt:lpstr>
      <vt:lpstr>Kontakttelaldre</vt:lpstr>
      <vt:lpstr>KontakttelAO</vt:lpstr>
      <vt:lpstr>Kontakttelforskola</vt:lpstr>
      <vt:lpstr>Kontakttelgrund</vt:lpstr>
      <vt:lpstr>Kontakttelgymn</vt:lpstr>
      <vt:lpstr>Kontakttelhandik</vt:lpstr>
      <vt:lpstr>Kontakttelifo</vt:lpstr>
      <vt:lpstr>Kontakttelpv</vt:lpstr>
      <vt:lpstr>Kontakttelpvchef</vt:lpstr>
      <vt:lpstr>Kontakttelvux</vt:lpstr>
      <vt:lpstr>Kontakttevochef</vt:lpstr>
      <vt:lpstr>LSS</vt:lpstr>
      <vt:lpstr>Pvchef</vt:lpstr>
      <vt:lpstr>Skatter_bidrag_finpost</vt:lpstr>
      <vt:lpstr>Spec_VoO</vt:lpstr>
      <vt:lpstr>Tillägg_1_Invest</vt:lpstr>
      <vt:lpstr>Tillägg_2_Invest</vt:lpstr>
      <vt:lpstr>Utbildning</vt:lpstr>
      <vt:lpstr>Drift!Utskriftsområde</vt:lpstr>
      <vt:lpstr>Investeringar!Utskriftsområde</vt:lpstr>
      <vt:lpstr>'Kn Information'!Utskriftsområde</vt:lpstr>
      <vt:lpstr>Motpart!Utskriftsområde</vt:lpstr>
      <vt:lpstr>RR!Utskriftsområde</vt:lpstr>
      <vt:lpstr>'Äldre o personer funktionsn'!Utskriftsområde</vt:lpstr>
      <vt:lpstr>Drift!Utskriftsrubriker</vt:lpstr>
      <vt:lpstr>Motpart!Utskriftsrubriker</vt:lpstr>
      <vt:lpstr>Vht_int</vt:lpstr>
      <vt:lpstr>Vht_kostn</vt:lpstr>
      <vt:lpstr>VOchef</vt:lpstr>
      <vt:lpstr>Vuxna_missb.</vt:lpstr>
      <vt:lpstr>ÄF_inkl_IFO</vt:lpstr>
      <vt:lpstr>Äldre</vt:lpstr>
      <vt:lpstr>Övr._o_ek.bistånd</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Wizell</dc:creator>
  <cp:lastModifiedBy>Glanzelius Marie NR/OEM-Ö</cp:lastModifiedBy>
  <cp:lastPrinted>2017-01-24T13:58:32Z</cp:lastPrinted>
  <dcterms:created xsi:type="dcterms:W3CDTF">2008-10-17T09:37:32Z</dcterms:created>
  <dcterms:modified xsi:type="dcterms:W3CDTF">2019-08-26T13:37:55Z</dcterms:modified>
</cp:coreProperties>
</file>