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RS\RS2020\Rikstotal\20210831\"/>
    </mc:Choice>
  </mc:AlternateContent>
  <bookViews>
    <workbookView xWindow="0" yWindow="2805" windowWidth="12285" windowHeight="2190" tabRatio="806"/>
  </bookViews>
  <sheets>
    <sheet name="Kn Information" sheetId="2" r:id="rId1"/>
    <sheet name="RR" sheetId="17" r:id="rId2"/>
    <sheet name="BR" sheetId="4" r:id="rId3"/>
    <sheet name="Verks int o kostn" sheetId="19" r:id="rId4"/>
    <sheet name="Skatter, bidrag o fin poster" sheetId="20" r:id="rId5"/>
    <sheet name="Investeringar" sheetId="7" r:id="rId6"/>
    <sheet name="Drift" sheetId="8" r:id="rId7"/>
    <sheet name="Motpart" sheetId="9" r:id="rId8"/>
    <sheet name="Pedagogisk verksamhet" sheetId="10" r:id="rId9"/>
    <sheet name="Äldre o personer funktionsn" sheetId="11" r:id="rId10"/>
    <sheet name="IFO" sheetId="12" r:id="rId11"/>
  </sheets>
  <definedNames>
    <definedName name="_GoBack" localSheetId="4">'Skatter, bidrag o fin poster'!$C$9</definedName>
    <definedName name="_HSL1">#REF!</definedName>
    <definedName name="_HSL2">#REF!</definedName>
    <definedName name="Affärsverksamhet">Drift!$Z$91</definedName>
    <definedName name="Balanskravsutredningen">RR!$G$30</definedName>
    <definedName name="Barn_o_ungdomsvård">IFO!$P$22</definedName>
    <definedName name="Barnomsorg">Drift!$Z$44</definedName>
    <definedName name="Bidrag_o_transfer.">Motpart!$N$47</definedName>
    <definedName name="Block_1">Drift!$Z$11</definedName>
    <definedName name="Block_2">Drift!$Z$18</definedName>
    <definedName name="Block_3">Drift!$Z$31</definedName>
    <definedName name="Block_6">Drift!$Z$86</definedName>
    <definedName name="BR">BR!$A$88</definedName>
    <definedName name="Datum">"2015-10-16"</definedName>
    <definedName name="Datumföre">"2016-10-17"</definedName>
    <definedName name="Drift">Drift!$A$117</definedName>
    <definedName name="EKchef">'Kn Information'!$B$16</definedName>
    <definedName name="Ekcheftel">'Kn Information'!$C$16</definedName>
    <definedName name="Epost1RS">'Kn Information'!$D$14</definedName>
    <definedName name="Epost2RS">'Kn Information'!$D$15</definedName>
    <definedName name="Epostaldre">'Kn Information'!$D$31</definedName>
    <definedName name="EpostAO">'Kn Information'!$D$32</definedName>
    <definedName name="EpostEkchef">'Kn Information'!$D$16</definedName>
    <definedName name="Epostforskola">'Kn Information'!$D$22</definedName>
    <definedName name="Epostgrund">'Kn Information'!$D$23</definedName>
    <definedName name="Epostgymn">'Kn Information'!$D$24</definedName>
    <definedName name="Eposthandik">'Kn Information'!$D$33</definedName>
    <definedName name="Epostifo">'Kn Information'!$D$34</definedName>
    <definedName name="EpostPV">'Kn Information'!$D$21</definedName>
    <definedName name="epostpvchef">'Kn Information'!$D$26</definedName>
    <definedName name="epostvochef">'Kn Information'!$D$35</definedName>
    <definedName name="Epostvux">'Kn Information'!$D$25</definedName>
    <definedName name="Extraordinära_RR">RR!$G$17</definedName>
    <definedName name="Familjerätt">IFO!$P$33</definedName>
    <definedName name="Fritidshem">'Pedagogisk verksamhet'!$R$17</definedName>
    <definedName name="Funktionsnedsättning">'Äldre o personer funktionsn'!$T$22</definedName>
    <definedName name="Förskola">'Pedagogisk verksamhet'!$R$9</definedName>
    <definedName name="Förskoleklass">'Pedagogisk verksamhet'!$R$25</definedName>
    <definedName name="Förändring_anläggningstillgångar">Investeringar!$I$16</definedName>
    <definedName name="Grundskola">'Pedagogisk verksamhet'!$R$32</definedName>
    <definedName name="Grundsärskola">'Pedagogisk verksamhet'!$R$45</definedName>
    <definedName name="Grundvux">'Pedagogisk verksamhet'!$R$87</definedName>
    <definedName name="Gymnasieskola">'Pedagogisk verksamhet'!$R$59</definedName>
    <definedName name="Gymnasiesärskola">'Pedagogisk verksamhet'!$R$73</definedName>
    <definedName name="Gymnvux">'Pedagogisk verksamhet'!$R$96</definedName>
    <definedName name="inv19_64">1</definedName>
    <definedName name="inv7_15">'Kn Information'!$B$5</definedName>
    <definedName name="invanare">'Kn Information'!$B$4</definedName>
    <definedName name="Investeringar">Investeringar!$G$68</definedName>
    <definedName name="Invånare">'Kn Information'!$B$4</definedName>
    <definedName name="Jämförelsestörande_RR">RR!$G$23</definedName>
    <definedName name="Kontaktpers1RS">'Kn Information'!$B$14</definedName>
    <definedName name="Kontaktpers2RS">'Kn Information'!$B$15</definedName>
    <definedName name="Kontaktpersaldre">'Kn Information'!$B$32</definedName>
    <definedName name="KontaktpersAO">'Kn Information'!$B$31</definedName>
    <definedName name="Kontaktpersforskola">'Kn Information'!$B$22</definedName>
    <definedName name="Kontaktpersgrund">'Kn Information'!$B$23</definedName>
    <definedName name="Kontaktpersgymn">'Kn Information'!$B$24</definedName>
    <definedName name="Kontaktpershandik">'Kn Information'!$B$33</definedName>
    <definedName name="Kontaktpersifo">'Kn Information'!$B$34</definedName>
    <definedName name="KontaktpersPV">'Kn Information'!$B$21</definedName>
    <definedName name="Kontaktpersvux">'Kn Information'!$B$25</definedName>
    <definedName name="Kontakttel1RS">'Kn Information'!$C$14</definedName>
    <definedName name="Kontakttel2RS">'Kn Information'!$C$15</definedName>
    <definedName name="Kontakttelaldre">'Kn Information'!$C$32</definedName>
    <definedName name="KontakttelAO">'Kn Information'!$C$31</definedName>
    <definedName name="Kontakttelforskola">'Kn Information'!$C$22</definedName>
    <definedName name="Kontakttelgrund">'Kn Information'!$C$23</definedName>
    <definedName name="Kontakttelgymn">'Kn Information'!$C$24</definedName>
    <definedName name="Kontakttelhandik">'Kn Information'!$C$33</definedName>
    <definedName name="Kontakttelifo">'Kn Information'!$C$34</definedName>
    <definedName name="Kontakttelpv">'Kn Information'!$C$21</definedName>
    <definedName name="Kontakttelpvchef">'Kn Information'!$C$26</definedName>
    <definedName name="Kontakttelvux">'Kn Information'!$C$25</definedName>
    <definedName name="Kontakttevochef">'Kn Information'!$C$35</definedName>
    <definedName name="Kontrollblad_1">#REF!</definedName>
    <definedName name="Kontrollblad_10">#REF!</definedName>
    <definedName name="Kontrollblad_11">#REF!</definedName>
    <definedName name="Kontrollblad_12">#REF!</definedName>
    <definedName name="Kontrollblad_13">#REF!</definedName>
    <definedName name="Kontrollblad_14">#REF!</definedName>
    <definedName name="Kontrollblad_15">#REF!</definedName>
    <definedName name="Kontrollblad_16">#REF!</definedName>
    <definedName name="Kontrollblad_17">#REF!</definedName>
    <definedName name="Kontrollblad_18">#REF!</definedName>
    <definedName name="Kontrollblad_19">#REF!</definedName>
    <definedName name="Kontrollblad_2">#REF!</definedName>
    <definedName name="Kontrollblad_3">#REF!</definedName>
    <definedName name="Kontrollblad_4">#REF!</definedName>
    <definedName name="Kontrollblad_5">#REF!</definedName>
    <definedName name="Kontrollblad_6">#REF!</definedName>
    <definedName name="Kontrollblad_7">#REF!</definedName>
    <definedName name="Kontrollblad_8">#REF!</definedName>
    <definedName name="Kontrollblad_9">#REF!</definedName>
    <definedName name="Köp_huvudvht">Motpart!$C$47</definedName>
    <definedName name="LSS">'Äldre o personer funktionsn'!$T$32</definedName>
    <definedName name="Pvchef">'Kn Information'!$B$26</definedName>
    <definedName name="Skatter_bidrag_finpost">'Skatter, bidrag o fin poster'!$H$35</definedName>
    <definedName name="solver_cvg" localSheetId="5" hidden="1">0.0001</definedName>
    <definedName name="solver_drv" localSheetId="5" hidden="1">1</definedName>
    <definedName name="solver_est" localSheetId="5" hidden="1">1</definedName>
    <definedName name="solver_itr" localSheetId="5" hidden="1">100</definedName>
    <definedName name="solver_lin" localSheetId="5" hidden="1">2</definedName>
    <definedName name="solver_neg" localSheetId="5" hidden="1">2</definedName>
    <definedName name="solver_num" localSheetId="5" hidden="1">0</definedName>
    <definedName name="solver_nwt" localSheetId="5" hidden="1">1</definedName>
    <definedName name="solver_opt" localSheetId="5" hidden="1">Investeringar!$D$22</definedName>
    <definedName name="solver_pre" localSheetId="5" hidden="1">0.000001</definedName>
    <definedName name="solver_scl" localSheetId="5" hidden="1">2</definedName>
    <definedName name="solver_sho" localSheetId="5" hidden="1">2</definedName>
    <definedName name="solver_tim" localSheetId="5" hidden="1">100</definedName>
    <definedName name="solver_tol" localSheetId="5" hidden="1">0.05</definedName>
    <definedName name="solver_typ" localSheetId="5" hidden="1">1</definedName>
    <definedName name="solver_val" localSheetId="5" hidden="1">0</definedName>
    <definedName name="Spec_intäkter">Motpart!$Y$47</definedName>
    <definedName name="Spec_VoO">'Äldre o personer funktionsn'!$R$46</definedName>
    <definedName name="Tillägg_1_Invest">Investeringar!$G$81</definedName>
    <definedName name="Tillägg_2_Invest">Investeringar!$G$97</definedName>
    <definedName name="Utbildning">Drift!$Z$52</definedName>
    <definedName name="_xlnm.Print_Area" localSheetId="6">Drift!$A$1:$AH$126</definedName>
    <definedName name="_xlnm.Print_Area" localSheetId="5">Investeringar!$A$1:$M$104</definedName>
    <definedName name="_xlnm.Print_Area" localSheetId="0">'Kn Information'!$A$1:$E$50</definedName>
    <definedName name="_xlnm.Print_Area" localSheetId="7">Motpart!$A$1:$AD$51</definedName>
    <definedName name="_xlnm.Print_Area" localSheetId="1">RR!$A$1:$K$56</definedName>
    <definedName name="_xlnm.Print_Area" localSheetId="9">'Äldre o personer funktionsn'!$A$1:$U$59</definedName>
    <definedName name="_xlnm.Print_Titles" localSheetId="6">Drift!$A:$B,Drift!$1:$10</definedName>
    <definedName name="_xlnm.Print_Titles" localSheetId="7">Motpart!$A:$B,Motpart!$1:$8</definedName>
    <definedName name="Vht_int">'Verks int o kostn'!$F$34</definedName>
    <definedName name="Vht_kostn">'Verks int o kostn'!$F$77</definedName>
    <definedName name="VOchef">'Kn Information'!$B$35</definedName>
    <definedName name="Vuxna_missb.">IFO!$P$13</definedName>
    <definedName name="Z_27C9E95B_0E2B_454F_B637_1CECC9579A10_.wvu.Cols" localSheetId="6" hidden="1">Drift!$AG:$IV</definedName>
    <definedName name="Z_27C9E95B_0E2B_454F_B637_1CECC9579A10_.wvu.Cols" localSheetId="10" hidden="1">IFO!#REF!</definedName>
    <definedName name="Z_27C9E95B_0E2B_454F_B637_1CECC9579A10_.wvu.Cols" localSheetId="5" hidden="1">Investeringar!$M:$IV</definedName>
    <definedName name="Z_27C9E95B_0E2B_454F_B637_1CECC9579A10_.wvu.Cols" localSheetId="0" hidden="1">'Kn Information'!$F:$IV</definedName>
    <definedName name="Z_27C9E95B_0E2B_454F_B637_1CECC9579A10_.wvu.Cols" localSheetId="7" hidden="1">Motpart!$AE:$IV</definedName>
    <definedName name="Z_27C9E95B_0E2B_454F_B637_1CECC9579A10_.wvu.Cols" localSheetId="8" hidden="1">'Pedagogisk verksamhet'!$H:$H,'Pedagogisk verksamhet'!$Y:$IV</definedName>
    <definedName name="Z_27C9E95B_0E2B_454F_B637_1CECC9579A10_.wvu.Cols" localSheetId="1" hidden="1">RR!$L:$IV</definedName>
    <definedName name="Z_27C9E95B_0E2B_454F_B637_1CECC9579A10_.wvu.Cols" localSheetId="4" hidden="1">'Skatter, bidrag o fin poster'!$U:$IV</definedName>
    <definedName name="Z_27C9E95B_0E2B_454F_B637_1CECC9579A10_.wvu.Cols" localSheetId="9" hidden="1">'Äldre o personer funktionsn'!$V:$IV</definedName>
    <definedName name="Z_27C9E95B_0E2B_454F_B637_1CECC9579A10_.wvu.Rows" localSheetId="2" hidden="1">BR!$94:$65536,BR!#REF!,BR!$89:$89</definedName>
    <definedName name="Z_27C9E95B_0E2B_454F_B637_1CECC9579A10_.wvu.Rows" localSheetId="6" hidden="1">Drift!$303:$65536,Drift!$127:$302</definedName>
    <definedName name="Z_27C9E95B_0E2B_454F_B637_1CECC9579A10_.wvu.Rows" localSheetId="10" hidden="1">IFO!$39:$65536,IFO!$38:$38</definedName>
    <definedName name="Z_27C9E95B_0E2B_454F_B637_1CECC9579A10_.wvu.Rows" localSheetId="5" hidden="1">Investeringar!$118:$65536,Investeringar!$105:$114</definedName>
    <definedName name="Z_27C9E95B_0E2B_454F_B637_1CECC9579A10_.wvu.Rows" localSheetId="0" hidden="1">'Kn Information'!$51:$65536</definedName>
    <definedName name="Z_27C9E95B_0E2B_454F_B637_1CECC9579A10_.wvu.Rows" localSheetId="7" hidden="1">Motpart!$53:$65536</definedName>
    <definedName name="Z_27C9E95B_0E2B_454F_B637_1CECC9579A10_.wvu.Rows" localSheetId="8" hidden="1">'Pedagogisk verksamhet'!$105:$65536</definedName>
    <definedName name="Z_27C9E95B_0E2B_454F_B637_1CECC9579A10_.wvu.Rows" localSheetId="1" hidden="1">RR!$66:$65544,RR!$58:$58</definedName>
    <definedName name="Z_27C9E95B_0E2B_454F_B637_1CECC9579A10_.wvu.Rows" localSheetId="4" hidden="1">'Skatter, bidrag o fin poster'!$45:$65536,'Skatter, bidrag o fin poster'!$44:$44</definedName>
    <definedName name="Z_27C9E95B_0E2B_454F_B637_1CECC9579A10_.wvu.Rows" localSheetId="3" hidden="1">'Verks int o kostn'!#REF!,'Verks int o kostn'!#REF!</definedName>
    <definedName name="Z_27C9E95B_0E2B_454F_B637_1CECC9579A10_.wvu.Rows" localSheetId="9" hidden="1">'Äldre o personer funktionsn'!$61:$65536</definedName>
    <definedName name="Z_97D6DB71_3F4C_4C5F_8C5B_51E3EBF78932_.wvu.Cols" localSheetId="2" hidden="1">BR!#REF!</definedName>
    <definedName name="Z_97D6DB71_3F4C_4C5F_8C5B_51E3EBF78932_.wvu.Cols" localSheetId="6" hidden="1">Drift!#REF!</definedName>
    <definedName name="Z_97D6DB71_3F4C_4C5F_8C5B_51E3EBF78932_.wvu.Cols" localSheetId="10" hidden="1">IFO!#REF!</definedName>
    <definedName name="Z_97D6DB71_3F4C_4C5F_8C5B_51E3EBF78932_.wvu.Cols" localSheetId="5" hidden="1">Investeringar!#REF!</definedName>
    <definedName name="Z_97D6DB71_3F4C_4C5F_8C5B_51E3EBF78932_.wvu.Cols" localSheetId="0" hidden="1">'Kn Information'!#REF!</definedName>
    <definedName name="Z_97D6DB71_3F4C_4C5F_8C5B_51E3EBF78932_.wvu.Cols" localSheetId="7" hidden="1">Motpart!#REF!</definedName>
    <definedName name="Z_97D6DB71_3F4C_4C5F_8C5B_51E3EBF78932_.wvu.Cols" localSheetId="1" hidden="1">RR!#REF!</definedName>
    <definedName name="Z_97D6DB71_3F4C_4C5F_8C5B_51E3EBF78932_.wvu.Cols" localSheetId="4" hidden="1">'Skatter, bidrag o fin poster'!#REF!</definedName>
    <definedName name="Z_97D6DB71_3F4C_4C5F_8C5B_51E3EBF78932_.wvu.Cols" localSheetId="3" hidden="1">'Verks int o kostn'!#REF!</definedName>
    <definedName name="Z_97D6DB71_3F4C_4C5F_8C5B_51E3EBF78932_.wvu.Cols" localSheetId="9" hidden="1">'Äldre o personer funktionsn'!#REF!</definedName>
    <definedName name="Z_97D6DB71_3F4C_4C5F_8C5B_51E3EBF78932_.wvu.PrintTitles" localSheetId="6" hidden="1">Drift!$A:$B,Drift!$1:$10</definedName>
    <definedName name="Z_97D6DB71_3F4C_4C5F_8C5B_51E3EBF78932_.wvu.Rows" localSheetId="2" hidden="1">BR!#REF!,BR!#REF!,BR!$89:$89</definedName>
    <definedName name="Z_97D6DB71_3F4C_4C5F_8C5B_51E3EBF78932_.wvu.Rows" localSheetId="6" hidden="1">Drift!#REF!,Drift!$127:$302</definedName>
    <definedName name="Z_97D6DB71_3F4C_4C5F_8C5B_51E3EBF78932_.wvu.Rows" localSheetId="10" hidden="1">IFO!#REF!,IFO!$38:$38</definedName>
    <definedName name="Z_97D6DB71_3F4C_4C5F_8C5B_51E3EBF78932_.wvu.Rows" localSheetId="5" hidden="1">Investeringar!#REF!,Investeringar!$105:$114</definedName>
    <definedName name="Z_97D6DB71_3F4C_4C5F_8C5B_51E3EBF78932_.wvu.Rows" localSheetId="0" hidden="1">'Kn Information'!#REF!</definedName>
    <definedName name="Z_97D6DB71_3F4C_4C5F_8C5B_51E3EBF78932_.wvu.Rows" localSheetId="7" hidden="1">Motpart!#REF!</definedName>
    <definedName name="Z_97D6DB71_3F4C_4C5F_8C5B_51E3EBF78932_.wvu.Rows" localSheetId="8" hidden="1">'Pedagogisk verksamhet'!#REF!</definedName>
    <definedName name="Z_97D6DB71_3F4C_4C5F_8C5B_51E3EBF78932_.wvu.Rows" localSheetId="1" hidden="1">RR!#REF!,RR!$58:$58</definedName>
    <definedName name="Z_97D6DB71_3F4C_4C5F_8C5B_51E3EBF78932_.wvu.Rows" localSheetId="4" hidden="1">'Skatter, bidrag o fin poster'!#REF!,'Skatter, bidrag o fin poster'!$44:$44</definedName>
    <definedName name="Z_97D6DB71_3F4C_4C5F_8C5B_51E3EBF78932_.wvu.Rows" localSheetId="3" hidden="1">'Verks int o kostn'!#REF!</definedName>
    <definedName name="Z_97D6DB71_3F4C_4C5F_8C5B_51E3EBF78932_.wvu.Rows" localSheetId="9" hidden="1">'Äldre o personer funktionsn'!#REF!</definedName>
    <definedName name="Z_99FBDEB7_DD08_4F57_81F4_3C180403E153_.wvu.Cols" localSheetId="2" hidden="1">BR!#REF!</definedName>
    <definedName name="Z_99FBDEB7_DD08_4F57_81F4_3C180403E153_.wvu.Cols" localSheetId="6" hidden="1">Drift!#REF!</definedName>
    <definedName name="Z_99FBDEB7_DD08_4F57_81F4_3C180403E153_.wvu.Cols" localSheetId="10" hidden="1">IFO!#REF!</definedName>
    <definedName name="Z_99FBDEB7_DD08_4F57_81F4_3C180403E153_.wvu.Cols" localSheetId="5" hidden="1">Investeringar!#REF!</definedName>
    <definedName name="Z_99FBDEB7_DD08_4F57_81F4_3C180403E153_.wvu.Cols" localSheetId="0" hidden="1">'Kn Information'!#REF!</definedName>
    <definedName name="Z_99FBDEB7_DD08_4F57_81F4_3C180403E153_.wvu.Cols" localSheetId="7" hidden="1">Motpart!#REF!</definedName>
    <definedName name="Z_99FBDEB7_DD08_4F57_81F4_3C180403E153_.wvu.Cols" localSheetId="1" hidden="1">RR!#REF!</definedName>
    <definedName name="Z_99FBDEB7_DD08_4F57_81F4_3C180403E153_.wvu.Cols" localSheetId="4" hidden="1">'Skatter, bidrag o fin poster'!#REF!</definedName>
    <definedName name="Z_99FBDEB7_DD08_4F57_81F4_3C180403E153_.wvu.Cols" localSheetId="3" hidden="1">'Verks int o kostn'!#REF!</definedName>
    <definedName name="Z_99FBDEB7_DD08_4F57_81F4_3C180403E153_.wvu.Cols" localSheetId="9" hidden="1">'Äldre o personer funktionsn'!#REF!</definedName>
    <definedName name="Z_99FBDEB7_DD08_4F57_81F4_3C180403E153_.wvu.Rows" localSheetId="2" hidden="1">BR!#REF!,BR!#REF!,BR!$89:$89</definedName>
    <definedName name="Z_99FBDEB7_DD08_4F57_81F4_3C180403E153_.wvu.Rows" localSheetId="6" hidden="1">Drift!#REF!,Drift!$127:$302</definedName>
    <definedName name="Z_99FBDEB7_DD08_4F57_81F4_3C180403E153_.wvu.Rows" localSheetId="10" hidden="1">IFO!#REF!,IFO!$38:$38</definedName>
    <definedName name="Z_99FBDEB7_DD08_4F57_81F4_3C180403E153_.wvu.Rows" localSheetId="5" hidden="1">Investeringar!#REF!,Investeringar!$105:$114</definedName>
    <definedName name="Z_99FBDEB7_DD08_4F57_81F4_3C180403E153_.wvu.Rows" localSheetId="0" hidden="1">'Kn Information'!#REF!</definedName>
    <definedName name="Z_99FBDEB7_DD08_4F57_81F4_3C180403E153_.wvu.Rows" localSheetId="7" hidden="1">Motpart!#REF!</definedName>
    <definedName name="Z_99FBDEB7_DD08_4F57_81F4_3C180403E153_.wvu.Rows" localSheetId="8" hidden="1">'Pedagogisk verksamhet'!#REF!</definedName>
    <definedName name="Z_99FBDEB7_DD08_4F57_81F4_3C180403E153_.wvu.Rows" localSheetId="1" hidden="1">RR!#REF!,RR!$58:$58</definedName>
    <definedName name="Z_99FBDEB7_DD08_4F57_81F4_3C180403E153_.wvu.Rows" localSheetId="4" hidden="1">'Skatter, bidrag o fin poster'!#REF!,'Skatter, bidrag o fin poster'!$44:$44</definedName>
    <definedName name="Z_99FBDEB7_DD08_4F57_81F4_3C180403E153_.wvu.Rows" localSheetId="3" hidden="1">'Verks int o kostn'!#REF!</definedName>
    <definedName name="Z_99FBDEB7_DD08_4F57_81F4_3C180403E153_.wvu.Rows" localSheetId="9" hidden="1">'Äldre o personer funktionsn'!#REF!</definedName>
    <definedName name="Z_FA98FB86_76DB_4A0E_BD94_632DC6B7BC81_.wvu.Cols" localSheetId="6" hidden="1">Drift!$AG:$IV</definedName>
    <definedName name="Z_FA98FB86_76DB_4A0E_BD94_632DC6B7BC81_.wvu.Cols" localSheetId="10" hidden="1">IFO!#REF!</definedName>
    <definedName name="Z_FA98FB86_76DB_4A0E_BD94_632DC6B7BC81_.wvu.Cols" localSheetId="5" hidden="1">Investeringar!$M:$IV</definedName>
    <definedName name="Z_FA98FB86_76DB_4A0E_BD94_632DC6B7BC81_.wvu.Cols" localSheetId="0" hidden="1">'Kn Information'!$F:$IV</definedName>
    <definedName name="Z_FA98FB86_76DB_4A0E_BD94_632DC6B7BC81_.wvu.Cols" localSheetId="7" hidden="1">Motpart!$AE:$IV</definedName>
    <definedName name="Z_FA98FB86_76DB_4A0E_BD94_632DC6B7BC81_.wvu.Cols" localSheetId="8" hidden="1">'Pedagogisk verksamhet'!$H:$H,'Pedagogisk verksamhet'!$Y:$IV</definedName>
    <definedName name="Z_FA98FB86_76DB_4A0E_BD94_632DC6B7BC81_.wvu.Cols" localSheetId="1" hidden="1">RR!$L:$IV</definedName>
    <definedName name="Z_FA98FB86_76DB_4A0E_BD94_632DC6B7BC81_.wvu.Cols" localSheetId="4" hidden="1">'Skatter, bidrag o fin poster'!$U:$IV</definedName>
    <definedName name="Z_FA98FB86_76DB_4A0E_BD94_632DC6B7BC81_.wvu.Cols" localSheetId="9" hidden="1">'Äldre o personer funktionsn'!$V:$IV</definedName>
    <definedName name="Z_FA98FB86_76DB_4A0E_BD94_632DC6B7BC81_.wvu.Rows" localSheetId="2" hidden="1">BR!$94:$65536,BR!#REF!,BR!$89:$89</definedName>
    <definedName name="Z_FA98FB86_76DB_4A0E_BD94_632DC6B7BC81_.wvu.Rows" localSheetId="6" hidden="1">Drift!$303:$65536,Drift!$127:$302</definedName>
    <definedName name="Z_FA98FB86_76DB_4A0E_BD94_632DC6B7BC81_.wvu.Rows" localSheetId="10" hidden="1">IFO!$39:$65536,IFO!$38:$38</definedName>
    <definedName name="Z_FA98FB86_76DB_4A0E_BD94_632DC6B7BC81_.wvu.Rows" localSheetId="5" hidden="1">Investeringar!$118:$65536,Investeringar!$105:$114</definedName>
    <definedName name="Z_FA98FB86_76DB_4A0E_BD94_632DC6B7BC81_.wvu.Rows" localSheetId="0" hidden="1">'Kn Information'!$51:$65536</definedName>
    <definedName name="Z_FA98FB86_76DB_4A0E_BD94_632DC6B7BC81_.wvu.Rows" localSheetId="7" hidden="1">Motpart!$53:$65536</definedName>
    <definedName name="Z_FA98FB86_76DB_4A0E_BD94_632DC6B7BC81_.wvu.Rows" localSheetId="8" hidden="1">'Pedagogisk verksamhet'!$105:$65536</definedName>
    <definedName name="Z_FA98FB86_76DB_4A0E_BD94_632DC6B7BC81_.wvu.Rows" localSheetId="1" hidden="1">RR!$66:$65544,RR!$58:$58</definedName>
    <definedName name="Z_FA98FB86_76DB_4A0E_BD94_632DC6B7BC81_.wvu.Rows" localSheetId="4" hidden="1">'Skatter, bidrag o fin poster'!$45:$65536,'Skatter, bidrag o fin poster'!$44:$44</definedName>
    <definedName name="Z_FA98FB86_76DB_4A0E_BD94_632DC6B7BC81_.wvu.Rows" localSheetId="3" hidden="1">'Verks int o kostn'!#REF!</definedName>
    <definedName name="Z_FA98FB86_76DB_4A0E_BD94_632DC6B7BC81_.wvu.Rows" localSheetId="9" hidden="1">'Äldre o personer funktionsn'!$61:$65536</definedName>
    <definedName name="År">2020</definedName>
    <definedName name="ÄF_inkl_IFO">Drift!$Z$72</definedName>
    <definedName name="Äldre">'Äldre o personer funktionsn'!$T$12</definedName>
    <definedName name="Övr._o_ek.bistånd">IFO!$P$30</definedName>
  </definedNames>
  <calcPr calcId="162913"/>
  <customWorkbookViews>
    <customWorkbookView name="Håkan Wilén - Personlig vy" guid="{FA98FB86-76DB-4A0E-BD94-632DC6B7BC81}" mergeInterval="0" personalView="1" maximized="1" xWindow="1" yWindow="1" windowWidth="1680" windowHeight="829" tabRatio="806" activeSheetId="3"/>
    <customWorkbookView name="scbelie - Personlig vy" guid="{97D6DB71-3F4C-4C5F-8C5B-51E3EBF78932}" mergeInterval="0" personalView="1" maximized="1" xWindow="1" yWindow="1" windowWidth="1676" windowHeight="829" tabRatio="806" activeSheetId="11"/>
    <customWorkbookView name="scbingj - Personlig vy" guid="{99FBDEB7-DD08-4F57-81F4-3C180403E153}" mergeInterval="0" personalView="1" maximized="1" xWindow="1" yWindow="1" windowWidth="1916" windowHeight="839" tabRatio="806" activeSheetId="10"/>
    <customWorkbookView name="SCB - Personlig vy" guid="{27C9E95B-0E2B-454F-B637-1CECC9579A10}" mergeInterval="0" personalView="1" maximized="1" windowWidth="1916" windowHeight="881" tabRatio="806" activeSheetId="4"/>
  </customWorkbookViews>
</workbook>
</file>

<file path=xl/calcChain.xml><?xml version="1.0" encoding="utf-8"?>
<calcChain xmlns="http://schemas.openxmlformats.org/spreadsheetml/2006/main">
  <c r="I34" i="12" l="1"/>
  <c r="I33" i="12"/>
  <c r="I32" i="12"/>
  <c r="I31" i="12"/>
  <c r="I30" i="12"/>
  <c r="I29" i="12"/>
  <c r="I26" i="12"/>
  <c r="I25" i="12"/>
  <c r="I24" i="12"/>
  <c r="I23" i="12"/>
  <c r="I22" i="12"/>
  <c r="I21" i="12"/>
  <c r="I18" i="12"/>
  <c r="I17" i="12"/>
  <c r="I16" i="12"/>
  <c r="I15" i="12"/>
  <c r="I14" i="12"/>
  <c r="I13" i="12"/>
  <c r="I12" i="12"/>
  <c r="J1" i="12"/>
  <c r="A1" i="12"/>
  <c r="M35" i="11"/>
  <c r="M34" i="11"/>
  <c r="M33" i="11"/>
  <c r="M32" i="11"/>
  <c r="M31" i="11"/>
  <c r="M27" i="11"/>
  <c r="M26" i="11"/>
  <c r="M25" i="11"/>
  <c r="M24" i="11"/>
  <c r="M23" i="11"/>
  <c r="M22" i="11"/>
  <c r="M21" i="11"/>
  <c r="M17" i="11"/>
  <c r="M16" i="11"/>
  <c r="M15" i="11"/>
  <c r="M14" i="11"/>
  <c r="M13" i="11"/>
  <c r="M12" i="11"/>
  <c r="P1" i="11"/>
  <c r="A1" i="11"/>
  <c r="M99" i="10"/>
  <c r="M98" i="10"/>
  <c r="M97" i="10"/>
  <c r="M96" i="10"/>
  <c r="M91" i="10"/>
  <c r="M90" i="10"/>
  <c r="M9" i="10"/>
  <c r="M89" i="10"/>
  <c r="M88" i="10"/>
  <c r="M87" i="10"/>
  <c r="M84" i="10"/>
  <c r="M83" i="10"/>
  <c r="M82" i="10"/>
  <c r="M81" i="10"/>
  <c r="M80" i="10"/>
  <c r="M8" i="10"/>
  <c r="M79" i="10"/>
  <c r="M78" i="10"/>
  <c r="M77" i="10"/>
  <c r="M76" i="10"/>
  <c r="M75" i="10"/>
  <c r="M74" i="10"/>
  <c r="M73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2" i="10"/>
  <c r="M41" i="10"/>
  <c r="M40" i="10"/>
  <c r="M39" i="10"/>
  <c r="M38" i="10"/>
  <c r="M37" i="10"/>
  <c r="M36" i="10"/>
  <c r="M35" i="10"/>
  <c r="M34" i="10"/>
  <c r="M33" i="10"/>
  <c r="M32" i="10"/>
  <c r="M30" i="10"/>
  <c r="M29" i="10"/>
  <c r="M28" i="10"/>
  <c r="M27" i="10"/>
  <c r="M25" i="10"/>
  <c r="M24" i="10"/>
  <c r="M22" i="10"/>
  <c r="M21" i="10"/>
  <c r="M20" i="10"/>
  <c r="M19" i="10"/>
  <c r="M17" i="10"/>
  <c r="M16" i="10"/>
  <c r="M14" i="10"/>
  <c r="M13" i="10"/>
  <c r="M12" i="10"/>
  <c r="M11" i="10"/>
  <c r="M100" i="10"/>
  <c r="J1" i="10"/>
  <c r="A1" i="10"/>
  <c r="AA1" i="9"/>
  <c r="K1" i="9"/>
  <c r="S1" i="9"/>
  <c r="C1" i="9"/>
  <c r="Z1" i="8"/>
  <c r="J1" i="8"/>
  <c r="R1" i="8"/>
  <c r="C1" i="8"/>
  <c r="H1" i="7"/>
  <c r="A1" i="7"/>
  <c r="T1" i="20"/>
  <c r="A1" i="20"/>
  <c r="J1" i="19"/>
  <c r="A1" i="19"/>
  <c r="F1" i="4"/>
  <c r="A1" i="4"/>
  <c r="G1" i="17"/>
  <c r="A1" i="17"/>
  <c r="J17" i="17" l="1"/>
  <c r="J31" i="19" l="1"/>
  <c r="J29" i="19"/>
  <c r="N49" i="4" l="1"/>
  <c r="M48" i="4"/>
  <c r="M47" i="4"/>
  <c r="F50" i="4"/>
  <c r="F47" i="4"/>
  <c r="F45" i="4"/>
  <c r="E57" i="4" l="1"/>
  <c r="D57" i="4"/>
  <c r="D49" i="4"/>
  <c r="M49" i="4" l="1"/>
  <c r="F49" i="4"/>
  <c r="J7" i="7" l="1"/>
  <c r="F21" i="4" l="1"/>
  <c r="L67" i="4" l="1"/>
  <c r="L68" i="4"/>
  <c r="F84" i="4" l="1"/>
  <c r="L60" i="4" l="1"/>
  <c r="P125" i="8" l="1"/>
  <c r="C52" i="19" l="1"/>
  <c r="D53" i="19"/>
  <c r="C46" i="19"/>
  <c r="B35" i="17" l="1"/>
  <c r="B34" i="17"/>
  <c r="G42" i="11" l="1"/>
  <c r="G41" i="11"/>
  <c r="AC41" i="9"/>
  <c r="AB41" i="9"/>
  <c r="AA41" i="9"/>
  <c r="Z41" i="9"/>
  <c r="Y41" i="9"/>
  <c r="I17" i="17" l="1"/>
  <c r="F30" i="4"/>
  <c r="R15" i="20" l="1"/>
  <c r="R16" i="20"/>
  <c r="D39" i="20" l="1"/>
  <c r="K30" i="20"/>
  <c r="D28" i="20"/>
  <c r="C12" i="17" s="1"/>
  <c r="K16" i="20"/>
  <c r="D14" i="20"/>
  <c r="C11" i="17" s="1"/>
  <c r="C11" i="20"/>
  <c r="C10" i="20"/>
  <c r="C9" i="20"/>
  <c r="R8" i="20"/>
  <c r="K31" i="20" l="1"/>
  <c r="K17" i="20"/>
  <c r="E12" i="10" l="1"/>
  <c r="C26" i="10"/>
  <c r="C18" i="10"/>
  <c r="C10" i="10"/>
  <c r="J8" i="7" l="1"/>
  <c r="J10" i="7"/>
  <c r="J9" i="7"/>
  <c r="D76" i="19" l="1"/>
  <c r="D71" i="19"/>
  <c r="N67" i="19"/>
  <c r="N60" i="19"/>
  <c r="D58" i="19"/>
  <c r="N49" i="19"/>
  <c r="N48" i="19"/>
  <c r="N45" i="19"/>
  <c r="D44" i="19"/>
  <c r="N38" i="19"/>
  <c r="M38" i="19"/>
  <c r="L36" i="19"/>
  <c r="D35" i="19"/>
  <c r="D30" i="19"/>
  <c r="D25" i="19"/>
  <c r="N21" i="19"/>
  <c r="D16" i="19"/>
  <c r="N16" i="19" s="1"/>
  <c r="N13" i="19"/>
  <c r="D12" i="19"/>
  <c r="N8" i="19"/>
  <c r="N6" i="19"/>
  <c r="M6" i="19"/>
  <c r="L4" i="19"/>
  <c r="N44" i="19" l="1"/>
  <c r="N12" i="19"/>
  <c r="N25" i="19"/>
  <c r="N58" i="19"/>
  <c r="N71" i="19"/>
  <c r="N30" i="19"/>
  <c r="D75" i="19"/>
  <c r="D34" i="19"/>
  <c r="R23" i="11" l="1"/>
  <c r="W122" i="8" l="1"/>
  <c r="I55" i="17" l="1"/>
  <c r="J51" i="17"/>
  <c r="I51" i="17"/>
  <c r="B43" i="17"/>
  <c r="B39" i="17"/>
  <c r="B38" i="17"/>
  <c r="B37" i="17"/>
  <c r="B36" i="17"/>
  <c r="B33" i="17"/>
  <c r="B32" i="17"/>
  <c r="B31" i="17"/>
  <c r="J14" i="17"/>
  <c r="I14" i="17"/>
  <c r="D10" i="17"/>
  <c r="C10" i="17"/>
  <c r="J9" i="17"/>
  <c r="I9" i="17"/>
  <c r="J8" i="17"/>
  <c r="I8" i="17"/>
  <c r="J7" i="17"/>
  <c r="I7" i="17"/>
  <c r="D11" i="17" l="1"/>
  <c r="J11" i="17" s="1"/>
  <c r="I10" i="17"/>
  <c r="I11" i="17"/>
  <c r="J10" i="17"/>
  <c r="F19" i="4" l="1"/>
  <c r="R14" i="11" l="1"/>
  <c r="R36" i="11"/>
  <c r="Q36" i="11" l="1"/>
  <c r="I38" i="10" l="1"/>
  <c r="A5" i="2" l="1"/>
  <c r="A4" i="2"/>
  <c r="I99" i="10" l="1"/>
  <c r="I90" i="10"/>
  <c r="I79" i="10"/>
  <c r="I65" i="10"/>
  <c r="I51" i="10"/>
  <c r="F67" i="4" l="1"/>
  <c r="D32" i="12"/>
  <c r="D30" i="12"/>
  <c r="D29" i="12"/>
  <c r="D21" i="12"/>
  <c r="D12" i="12"/>
  <c r="D31" i="11"/>
  <c r="D21" i="11"/>
  <c r="D12" i="11"/>
  <c r="F85" i="4"/>
  <c r="L58" i="4"/>
  <c r="L59" i="4"/>
  <c r="L61" i="4"/>
  <c r="F54" i="4"/>
  <c r="F52" i="4"/>
  <c r="N57" i="4"/>
  <c r="J65" i="4"/>
  <c r="K55" i="4"/>
  <c r="F55" i="4"/>
  <c r="J55" i="4"/>
  <c r="F51" i="4"/>
  <c r="F9" i="4"/>
  <c r="D35" i="12"/>
  <c r="E35" i="12"/>
  <c r="D26" i="12"/>
  <c r="E26" i="12"/>
  <c r="D27" i="12"/>
  <c r="E27" i="12"/>
  <c r="D19" i="12"/>
  <c r="E19" i="12"/>
  <c r="D18" i="12"/>
  <c r="E18" i="12"/>
  <c r="M70" i="4"/>
  <c r="E32" i="12"/>
  <c r="E30" i="12"/>
  <c r="E29" i="12"/>
  <c r="E21" i="12"/>
  <c r="E12" i="12"/>
  <c r="L25" i="11"/>
  <c r="L26" i="11"/>
  <c r="K25" i="11"/>
  <c r="O25" i="11" s="1"/>
  <c r="K26" i="11"/>
  <c r="O26" i="11" s="1"/>
  <c r="L33" i="11"/>
  <c r="L34" i="11"/>
  <c r="L35" i="11"/>
  <c r="L36" i="11"/>
  <c r="L32" i="11"/>
  <c r="L23" i="11"/>
  <c r="L24" i="11"/>
  <c r="L27" i="11"/>
  <c r="L28" i="11"/>
  <c r="L14" i="11"/>
  <c r="L15" i="11"/>
  <c r="L16" i="11"/>
  <c r="L17" i="11"/>
  <c r="L18" i="11"/>
  <c r="L13" i="11"/>
  <c r="L22" i="11"/>
  <c r="D37" i="11"/>
  <c r="D29" i="11"/>
  <c r="D19" i="11"/>
  <c r="H15" i="7"/>
  <c r="G15" i="7"/>
  <c r="D98" i="7"/>
  <c r="C98" i="7"/>
  <c r="E98" i="7" s="1"/>
  <c r="E32" i="4"/>
  <c r="N32" i="4" s="1"/>
  <c r="D30" i="4"/>
  <c r="D26" i="4"/>
  <c r="F26" i="4" s="1"/>
  <c r="M78" i="4"/>
  <c r="M76" i="4"/>
  <c r="AB110" i="8"/>
  <c r="J8" i="12"/>
  <c r="I8" i="12"/>
  <c r="K4" i="12"/>
  <c r="O4" i="11"/>
  <c r="N8" i="11"/>
  <c r="M8" i="11"/>
  <c r="AC4" i="8"/>
  <c r="AG38" i="8"/>
  <c r="AG62" i="8"/>
  <c r="AF38" i="8"/>
  <c r="AE5" i="8"/>
  <c r="AB5" i="8"/>
  <c r="AA5" i="8"/>
  <c r="AE4" i="8"/>
  <c r="B85" i="4"/>
  <c r="Z5" i="8"/>
  <c r="M74" i="4"/>
  <c r="D75" i="4"/>
  <c r="I31" i="11"/>
  <c r="I21" i="11"/>
  <c r="M6" i="12"/>
  <c r="F12" i="12"/>
  <c r="G12" i="12"/>
  <c r="G13" i="12"/>
  <c r="H13" i="12" s="1"/>
  <c r="H14" i="12"/>
  <c r="H15" i="12"/>
  <c r="K15" i="12" s="1"/>
  <c r="H16" i="12"/>
  <c r="K16" i="12" s="1"/>
  <c r="H17" i="12"/>
  <c r="K17" i="12" s="1"/>
  <c r="C18" i="12"/>
  <c r="F18" i="12"/>
  <c r="G18" i="12"/>
  <c r="C19" i="12"/>
  <c r="F19" i="12"/>
  <c r="F21" i="12"/>
  <c r="G21" i="12"/>
  <c r="G22" i="12"/>
  <c r="H22" i="12" s="1"/>
  <c r="K22" i="12"/>
  <c r="H23" i="12"/>
  <c r="K23" i="12"/>
  <c r="H24" i="12"/>
  <c r="K24" i="12"/>
  <c r="H25" i="12"/>
  <c r="K25" i="12"/>
  <c r="C26" i="12"/>
  <c r="F26" i="12"/>
  <c r="G26" i="12"/>
  <c r="C27" i="12"/>
  <c r="F27" i="12"/>
  <c r="F29" i="12"/>
  <c r="F30" i="12"/>
  <c r="F32" i="12"/>
  <c r="G32" i="12"/>
  <c r="H33" i="12"/>
  <c r="K33" i="12" s="1"/>
  <c r="H34" i="12"/>
  <c r="C35" i="12"/>
  <c r="F35" i="12"/>
  <c r="G35" i="12"/>
  <c r="Q6" i="11"/>
  <c r="E12" i="11"/>
  <c r="C49" i="11"/>
  <c r="F12" i="11"/>
  <c r="G12" i="11"/>
  <c r="H12" i="11"/>
  <c r="I12" i="11"/>
  <c r="J12" i="11"/>
  <c r="K13" i="11"/>
  <c r="K14" i="11"/>
  <c r="K15" i="11"/>
  <c r="O15" i="11" s="1"/>
  <c r="K16" i="11"/>
  <c r="K17" i="11"/>
  <c r="K18" i="11"/>
  <c r="C19" i="11"/>
  <c r="E19" i="11"/>
  <c r="F19" i="11"/>
  <c r="G19" i="11"/>
  <c r="H19" i="11"/>
  <c r="I19" i="11"/>
  <c r="J19" i="11"/>
  <c r="E21" i="11"/>
  <c r="C53" i="11"/>
  <c r="F21" i="11"/>
  <c r="G21" i="11"/>
  <c r="H21" i="11"/>
  <c r="J21" i="11"/>
  <c r="K22" i="11"/>
  <c r="K23" i="11"/>
  <c r="K24" i="11"/>
  <c r="K27" i="11"/>
  <c r="K28" i="11"/>
  <c r="C29" i="11"/>
  <c r="E29" i="11"/>
  <c r="F29" i="11"/>
  <c r="G29" i="11"/>
  <c r="H29" i="11"/>
  <c r="I29" i="11"/>
  <c r="J29" i="11"/>
  <c r="E31" i="11"/>
  <c r="F31" i="11"/>
  <c r="G31" i="11"/>
  <c r="H31" i="11"/>
  <c r="J31" i="11"/>
  <c r="K32" i="11"/>
  <c r="K33" i="11"/>
  <c r="O33" i="11"/>
  <c r="K34" i="11"/>
  <c r="O34" i="11" s="1"/>
  <c r="K35" i="11"/>
  <c r="O35" i="11"/>
  <c r="K36" i="11"/>
  <c r="C37" i="11"/>
  <c r="E37" i="11"/>
  <c r="F37" i="11"/>
  <c r="G37" i="11"/>
  <c r="H37" i="11"/>
  <c r="I37" i="11"/>
  <c r="J37" i="11"/>
  <c r="E49" i="11"/>
  <c r="F49" i="11"/>
  <c r="G49" i="11"/>
  <c r="H49" i="11"/>
  <c r="I49" i="11"/>
  <c r="J49" i="11"/>
  <c r="L49" i="11"/>
  <c r="M49" i="11"/>
  <c r="C50" i="11"/>
  <c r="C51" i="11"/>
  <c r="C52" i="11"/>
  <c r="E53" i="11"/>
  <c r="F53" i="11"/>
  <c r="G53" i="11"/>
  <c r="H53" i="11"/>
  <c r="I53" i="11"/>
  <c r="J53" i="11"/>
  <c r="L53" i="11"/>
  <c r="M53" i="11"/>
  <c r="C54" i="11"/>
  <c r="C55" i="11"/>
  <c r="C56" i="11"/>
  <c r="E57" i="11"/>
  <c r="F57" i="11"/>
  <c r="G57" i="11"/>
  <c r="H57" i="11"/>
  <c r="I57" i="11"/>
  <c r="J57" i="11"/>
  <c r="L57" i="11"/>
  <c r="M57" i="11"/>
  <c r="C58" i="11"/>
  <c r="M7" i="10"/>
  <c r="D8" i="10"/>
  <c r="F8" i="10"/>
  <c r="G8" i="10"/>
  <c r="D16" i="10"/>
  <c r="F16" i="10"/>
  <c r="G16" i="10"/>
  <c r="E20" i="10"/>
  <c r="D24" i="10"/>
  <c r="F24" i="10"/>
  <c r="G24" i="10"/>
  <c r="D31" i="10"/>
  <c r="F31" i="10"/>
  <c r="G31" i="10"/>
  <c r="G40" i="10" s="1"/>
  <c r="G43" i="10" s="1"/>
  <c r="D44" i="10"/>
  <c r="F44" i="10"/>
  <c r="G44" i="10"/>
  <c r="G53" i="10" s="1"/>
  <c r="G57" i="10" s="1"/>
  <c r="D58" i="10"/>
  <c r="F58" i="10"/>
  <c r="G58" i="10"/>
  <c r="G67" i="10" s="1"/>
  <c r="G71" i="10" s="1"/>
  <c r="D72" i="10"/>
  <c r="F72" i="10"/>
  <c r="G72" i="10"/>
  <c r="G81" i="10" s="1"/>
  <c r="G85" i="10" s="1"/>
  <c r="D86" i="10"/>
  <c r="F86" i="10"/>
  <c r="G86" i="10"/>
  <c r="G93" i="10" s="1"/>
  <c r="G94" i="10" s="1"/>
  <c r="D95" i="10"/>
  <c r="F95" i="10"/>
  <c r="G95" i="10"/>
  <c r="G102" i="10" s="1"/>
  <c r="G103" i="10" s="1"/>
  <c r="C13" i="9"/>
  <c r="M13" i="9" s="1"/>
  <c r="N13" i="9"/>
  <c r="X13" i="9" s="1"/>
  <c r="C14" i="9"/>
  <c r="M14" i="9" s="1"/>
  <c r="N14" i="9"/>
  <c r="X14" i="9" s="1"/>
  <c r="C15" i="9"/>
  <c r="M15" i="9" s="1"/>
  <c r="N15" i="9"/>
  <c r="X15" i="9" s="1"/>
  <c r="C16" i="9"/>
  <c r="M16" i="9" s="1"/>
  <c r="N16" i="9"/>
  <c r="X16" i="9" s="1"/>
  <c r="C17" i="9"/>
  <c r="M17" i="9" s="1"/>
  <c r="N17" i="9"/>
  <c r="X17" i="9" s="1"/>
  <c r="C18" i="9"/>
  <c r="M18" i="9" s="1"/>
  <c r="N18" i="9"/>
  <c r="X18" i="9" s="1"/>
  <c r="C19" i="9"/>
  <c r="M19" i="9" s="1"/>
  <c r="N19" i="9"/>
  <c r="X19" i="9" s="1"/>
  <c r="C20" i="9"/>
  <c r="M20" i="9" s="1"/>
  <c r="N20" i="9"/>
  <c r="X20" i="9" s="1"/>
  <c r="C21" i="9"/>
  <c r="M21" i="9" s="1"/>
  <c r="N21" i="9"/>
  <c r="X21" i="9" s="1"/>
  <c r="C22" i="9"/>
  <c r="M22" i="9" s="1"/>
  <c r="N22" i="9"/>
  <c r="X22" i="9" s="1"/>
  <c r="C23" i="9"/>
  <c r="M23" i="9" s="1"/>
  <c r="N23" i="9"/>
  <c r="X23" i="9" s="1"/>
  <c r="C24" i="9"/>
  <c r="M24" i="9" s="1"/>
  <c r="N24" i="9"/>
  <c r="X24" i="9" s="1"/>
  <c r="C25" i="9"/>
  <c r="M25" i="9" s="1"/>
  <c r="N25" i="9"/>
  <c r="X25" i="9" s="1"/>
  <c r="C26" i="9"/>
  <c r="M26" i="9" s="1"/>
  <c r="N26" i="9"/>
  <c r="X26" i="9" s="1"/>
  <c r="C27" i="9"/>
  <c r="M27" i="9" s="1"/>
  <c r="N27" i="9"/>
  <c r="X27" i="9" s="1"/>
  <c r="C28" i="9"/>
  <c r="M28" i="9" s="1"/>
  <c r="N28" i="9"/>
  <c r="X28" i="9" s="1"/>
  <c r="C29" i="9"/>
  <c r="M29" i="9" s="1"/>
  <c r="N29" i="9"/>
  <c r="X29" i="9" s="1"/>
  <c r="C30" i="9"/>
  <c r="M30" i="9" s="1"/>
  <c r="N30" i="9"/>
  <c r="X30" i="9" s="1"/>
  <c r="C31" i="9"/>
  <c r="M31" i="9" s="1"/>
  <c r="N31" i="9"/>
  <c r="M32" i="9"/>
  <c r="X32" i="9"/>
  <c r="C33" i="9"/>
  <c r="N33" i="9"/>
  <c r="X33" i="9" s="1"/>
  <c r="M34" i="9"/>
  <c r="X34" i="9"/>
  <c r="C35" i="9"/>
  <c r="M35" i="9" s="1"/>
  <c r="N35" i="9"/>
  <c r="C36" i="9"/>
  <c r="M36" i="9" s="1"/>
  <c r="N36" i="9"/>
  <c r="X36" i="9" s="1"/>
  <c r="C37" i="9"/>
  <c r="M37" i="9" s="1"/>
  <c r="N37" i="9"/>
  <c r="X37" i="9" s="1"/>
  <c r="C39" i="9"/>
  <c r="M39" i="9" s="1"/>
  <c r="N39" i="9"/>
  <c r="X39" i="9" s="1"/>
  <c r="D40" i="9"/>
  <c r="E40" i="9"/>
  <c r="F40" i="9"/>
  <c r="G40" i="9"/>
  <c r="H40" i="9"/>
  <c r="I40" i="9"/>
  <c r="J40" i="9"/>
  <c r="K40" i="9"/>
  <c r="L40" i="9"/>
  <c r="O40" i="9"/>
  <c r="P40" i="9"/>
  <c r="Q40" i="9"/>
  <c r="R40" i="9"/>
  <c r="S40" i="9"/>
  <c r="T40" i="9"/>
  <c r="U40" i="9"/>
  <c r="V40" i="9"/>
  <c r="W40" i="9"/>
  <c r="Y40" i="9"/>
  <c r="Z40" i="9"/>
  <c r="AA40" i="9"/>
  <c r="AB40" i="9"/>
  <c r="AC40" i="9"/>
  <c r="AC42" i="9" s="1"/>
  <c r="W13" i="8"/>
  <c r="AH13" i="8" s="1"/>
  <c r="W14" i="8"/>
  <c r="AH14" i="8" s="1"/>
  <c r="W15" i="8"/>
  <c r="AH15" i="8" s="1"/>
  <c r="W16" i="8"/>
  <c r="AH16" i="8" s="1"/>
  <c r="C17" i="8"/>
  <c r="D17" i="8"/>
  <c r="E17" i="8"/>
  <c r="F17" i="8"/>
  <c r="C9" i="9" s="1"/>
  <c r="M9" i="9" s="1"/>
  <c r="G17" i="8"/>
  <c r="H17" i="8"/>
  <c r="I17" i="8"/>
  <c r="J17" i="8"/>
  <c r="L17" i="8"/>
  <c r="M17" i="8"/>
  <c r="N17" i="8"/>
  <c r="R17" i="8"/>
  <c r="S17" i="8"/>
  <c r="T17" i="8"/>
  <c r="V17" i="8"/>
  <c r="W19" i="8"/>
  <c r="AH19" i="8" s="1"/>
  <c r="W20" i="8"/>
  <c r="AH20" i="8" s="1"/>
  <c r="W21" i="8"/>
  <c r="AH21" i="8" s="1"/>
  <c r="W22" i="8"/>
  <c r="AH22" i="8" s="1"/>
  <c r="W23" i="8"/>
  <c r="AH23" i="8" s="1"/>
  <c r="W24" i="8"/>
  <c r="AH24" i="8" s="1"/>
  <c r="W25" i="8"/>
  <c r="AH25" i="8" s="1"/>
  <c r="W26" i="8"/>
  <c r="AH26" i="8" s="1"/>
  <c r="W27" i="8"/>
  <c r="AH27" i="8" s="1"/>
  <c r="W28" i="8"/>
  <c r="AH28" i="8" s="1"/>
  <c r="W29" i="8"/>
  <c r="AH29" i="8" s="1"/>
  <c r="C30" i="8"/>
  <c r="D30" i="8"/>
  <c r="E30" i="8"/>
  <c r="F30" i="8"/>
  <c r="C10" i="9" s="1"/>
  <c r="M10" i="9" s="1"/>
  <c r="G30" i="8"/>
  <c r="H30" i="8"/>
  <c r="N10" i="9" s="1"/>
  <c r="X10" i="9" s="1"/>
  <c r="I30" i="8"/>
  <c r="J30" i="8"/>
  <c r="L30" i="8"/>
  <c r="M30" i="8"/>
  <c r="N30" i="8"/>
  <c r="R30" i="8"/>
  <c r="S30" i="8"/>
  <c r="T30" i="8"/>
  <c r="V30" i="8"/>
  <c r="W33" i="8"/>
  <c r="AH33" i="8" s="1"/>
  <c r="W34" i="8"/>
  <c r="AH34" i="8" s="1"/>
  <c r="W35" i="8"/>
  <c r="AH35" i="8" s="1"/>
  <c r="W36" i="8"/>
  <c r="AH36" i="8" s="1"/>
  <c r="C37" i="8"/>
  <c r="D37" i="8"/>
  <c r="E37" i="8"/>
  <c r="F37" i="8"/>
  <c r="C11" i="9" s="1"/>
  <c r="M11" i="9" s="1"/>
  <c r="G37" i="8"/>
  <c r="H37" i="8"/>
  <c r="I37" i="8"/>
  <c r="J37" i="8"/>
  <c r="L37" i="8"/>
  <c r="M37" i="8"/>
  <c r="N37" i="8"/>
  <c r="R37" i="8"/>
  <c r="S37" i="8"/>
  <c r="T37" i="8"/>
  <c r="V37" i="8"/>
  <c r="W39" i="8"/>
  <c r="AH39" i="8" s="1"/>
  <c r="W40" i="8"/>
  <c r="AH40" i="8" s="1"/>
  <c r="W41" i="8"/>
  <c r="AH41" i="8" s="1"/>
  <c r="C42" i="8"/>
  <c r="D42" i="8"/>
  <c r="D43" i="8" s="1"/>
  <c r="E42" i="8"/>
  <c r="F42" i="8"/>
  <c r="C12" i="9" s="1"/>
  <c r="M12" i="9" s="1"/>
  <c r="G42" i="8"/>
  <c r="G43" i="8" s="1"/>
  <c r="H42" i="8"/>
  <c r="N12" i="9" s="1"/>
  <c r="X12" i="9" s="1"/>
  <c r="I42" i="8"/>
  <c r="J42" i="8"/>
  <c r="L42" i="8"/>
  <c r="M42" i="8"/>
  <c r="M43" i="8" s="1"/>
  <c r="N42" i="8"/>
  <c r="R42" i="8"/>
  <c r="S42" i="8"/>
  <c r="T42" i="8"/>
  <c r="V42" i="8"/>
  <c r="W46" i="8"/>
  <c r="AH46" i="8" s="1"/>
  <c r="W47" i="8"/>
  <c r="AH47" i="8" s="1"/>
  <c r="W48" i="8"/>
  <c r="AH48" i="8" s="1"/>
  <c r="W49" i="8"/>
  <c r="AH49" i="8" s="1"/>
  <c r="W50" i="8"/>
  <c r="AH50" i="8" s="1"/>
  <c r="C51" i="8"/>
  <c r="D51" i="8"/>
  <c r="E51" i="8"/>
  <c r="F51" i="8"/>
  <c r="G51" i="8"/>
  <c r="H51" i="8"/>
  <c r="I51" i="8"/>
  <c r="J51" i="8"/>
  <c r="L51" i="8"/>
  <c r="M51" i="8"/>
  <c r="N51" i="8"/>
  <c r="R51" i="8"/>
  <c r="AE49" i="8" s="1"/>
  <c r="S51" i="8"/>
  <c r="T51" i="8"/>
  <c r="V51" i="8"/>
  <c r="W53" i="8"/>
  <c r="AH53" i="8" s="1"/>
  <c r="W54" i="8"/>
  <c r="AH54" i="8" s="1"/>
  <c r="W55" i="8"/>
  <c r="AH55" i="8" s="1"/>
  <c r="W56" i="8"/>
  <c r="AH56" i="8" s="1"/>
  <c r="W57" i="8"/>
  <c r="AH57" i="8" s="1"/>
  <c r="C58" i="8"/>
  <c r="C67" i="8" s="1"/>
  <c r="D58" i="8"/>
  <c r="D67" i="8" s="1"/>
  <c r="E58" i="8"/>
  <c r="E67" i="8" s="1"/>
  <c r="F58" i="8"/>
  <c r="F67" i="8" s="1"/>
  <c r="G58" i="8"/>
  <c r="G67" i="8" s="1"/>
  <c r="H58" i="8"/>
  <c r="H67" i="8" s="1"/>
  <c r="I58" i="8"/>
  <c r="I67" i="8" s="1"/>
  <c r="J58" i="8"/>
  <c r="J67" i="8" s="1"/>
  <c r="L58" i="8"/>
  <c r="L67" i="8" s="1"/>
  <c r="M58" i="8"/>
  <c r="M67" i="8" s="1"/>
  <c r="M68" i="8" s="1"/>
  <c r="N58" i="8"/>
  <c r="N67" i="8" s="1"/>
  <c r="R58" i="8"/>
  <c r="R67" i="8" s="1"/>
  <c r="S58" i="8"/>
  <c r="S67" i="8" s="1"/>
  <c r="T58" i="8"/>
  <c r="T67" i="8" s="1"/>
  <c r="V58" i="8"/>
  <c r="V67" i="8" s="1"/>
  <c r="W60" i="8"/>
  <c r="E86" i="10" s="1"/>
  <c r="W61" i="8"/>
  <c r="AH61" i="8" s="1"/>
  <c r="W63" i="8"/>
  <c r="AH63" i="8" s="1"/>
  <c r="W64" i="8"/>
  <c r="AH64" i="8" s="1"/>
  <c r="W65" i="8"/>
  <c r="AH65" i="8" s="1"/>
  <c r="W66" i="8"/>
  <c r="AH66" i="8" s="1"/>
  <c r="W70" i="8"/>
  <c r="AH70" i="8" s="1"/>
  <c r="W71" i="8"/>
  <c r="AH71" i="8" s="1"/>
  <c r="W73" i="8"/>
  <c r="AH73" i="8" s="1"/>
  <c r="W74" i="8"/>
  <c r="AH74" i="8" s="1"/>
  <c r="W75" i="8"/>
  <c r="W76" i="8"/>
  <c r="AH76" i="8" s="1"/>
  <c r="C77" i="8"/>
  <c r="D77" i="8"/>
  <c r="E77" i="8"/>
  <c r="E85" i="8"/>
  <c r="F77" i="8"/>
  <c r="G77" i="8"/>
  <c r="H77" i="8"/>
  <c r="I77" i="8"/>
  <c r="J77" i="8"/>
  <c r="L77" i="8"/>
  <c r="M77" i="8"/>
  <c r="N77" i="8"/>
  <c r="N85" i="8" s="1"/>
  <c r="R77" i="8"/>
  <c r="S77" i="8"/>
  <c r="T77" i="8"/>
  <c r="V77" i="8"/>
  <c r="W79" i="8"/>
  <c r="AH79" i="8" s="1"/>
  <c r="W80" i="8"/>
  <c r="AH80" i="8" s="1"/>
  <c r="W81" i="8"/>
  <c r="AH81" i="8" s="1"/>
  <c r="W82" i="8"/>
  <c r="AH82" i="8" s="1"/>
  <c r="C83" i="8"/>
  <c r="D83" i="8"/>
  <c r="E83" i="8"/>
  <c r="F83" i="8"/>
  <c r="G83" i="8"/>
  <c r="H83" i="8"/>
  <c r="I83" i="8"/>
  <c r="J83" i="8"/>
  <c r="L83" i="8"/>
  <c r="M83" i="8"/>
  <c r="N83" i="8"/>
  <c r="R83" i="8"/>
  <c r="S83" i="8"/>
  <c r="T83" i="8"/>
  <c r="V83" i="8"/>
  <c r="W84" i="8"/>
  <c r="AH84" i="8" s="1"/>
  <c r="W87" i="8"/>
  <c r="AH87" i="8" s="1"/>
  <c r="W88" i="8"/>
  <c r="C89" i="8"/>
  <c r="D89" i="8"/>
  <c r="E89" i="8"/>
  <c r="F89" i="8"/>
  <c r="G89" i="8"/>
  <c r="H89" i="8"/>
  <c r="I89" i="8"/>
  <c r="J89" i="8"/>
  <c r="L89" i="8"/>
  <c r="M89" i="8"/>
  <c r="N89" i="8"/>
  <c r="R89" i="8"/>
  <c r="S89" i="8"/>
  <c r="T89" i="8"/>
  <c r="V89" i="8"/>
  <c r="W93" i="8"/>
  <c r="AH93" i="8" s="1"/>
  <c r="W94" i="8"/>
  <c r="AH94" i="8" s="1"/>
  <c r="W95" i="8"/>
  <c r="W96" i="8"/>
  <c r="AH96" i="8" s="1"/>
  <c r="C97" i="8"/>
  <c r="D97" i="8"/>
  <c r="E97" i="8"/>
  <c r="F97" i="8"/>
  <c r="G97" i="8"/>
  <c r="H97" i="8"/>
  <c r="I97" i="8"/>
  <c r="J97" i="8"/>
  <c r="L97" i="8"/>
  <c r="M97" i="8"/>
  <c r="N97" i="8"/>
  <c r="R97" i="8"/>
  <c r="S97" i="8"/>
  <c r="T97" i="8"/>
  <c r="V97" i="8"/>
  <c r="V109" i="8" s="1"/>
  <c r="W99" i="8"/>
  <c r="AH99" i="8" s="1"/>
  <c r="W100" i="8"/>
  <c r="AH100" i="8" s="1"/>
  <c r="W101" i="8"/>
  <c r="AH101" i="8" s="1"/>
  <c r="C102" i="8"/>
  <c r="D102" i="8"/>
  <c r="E102" i="8"/>
  <c r="F102" i="8"/>
  <c r="G102" i="8"/>
  <c r="H102" i="8"/>
  <c r="I102" i="8"/>
  <c r="J102" i="8"/>
  <c r="L102" i="8"/>
  <c r="M102" i="8"/>
  <c r="N102" i="8"/>
  <c r="R102" i="8"/>
  <c r="S102" i="8"/>
  <c r="T102" i="8"/>
  <c r="V102" i="8"/>
  <c r="W104" i="8"/>
  <c r="AH104" i="8" s="1"/>
  <c r="W105" i="8"/>
  <c r="AH105" i="8" s="1"/>
  <c r="W106" i="8"/>
  <c r="AH106" i="8" s="1"/>
  <c r="W107" i="8"/>
  <c r="AH107" i="8" s="1"/>
  <c r="C108" i="8"/>
  <c r="D108" i="8"/>
  <c r="D109" i="8" s="1"/>
  <c r="E108" i="8"/>
  <c r="F108" i="8"/>
  <c r="G108" i="8"/>
  <c r="H108" i="8"/>
  <c r="I108" i="8"/>
  <c r="J108" i="8"/>
  <c r="L108" i="8"/>
  <c r="M108" i="8"/>
  <c r="M109" i="8" s="1"/>
  <c r="N108" i="8"/>
  <c r="R108" i="8"/>
  <c r="R109" i="8" s="1"/>
  <c r="S108" i="8"/>
  <c r="T108" i="8"/>
  <c r="T109" i="8" s="1"/>
  <c r="V108" i="8"/>
  <c r="P111" i="8"/>
  <c r="W111" i="8"/>
  <c r="P112" i="8"/>
  <c r="M114" i="8"/>
  <c r="C15" i="7"/>
  <c r="D15" i="7"/>
  <c r="F15" i="7"/>
  <c r="C33" i="7"/>
  <c r="D33" i="7"/>
  <c r="E33" i="7"/>
  <c r="F33" i="7"/>
  <c r="C40" i="7"/>
  <c r="C41" i="7" s="1"/>
  <c r="D40" i="7"/>
  <c r="D41" i="7"/>
  <c r="E40" i="7"/>
  <c r="E41" i="7" s="1"/>
  <c r="F40" i="7"/>
  <c r="F41" i="7" s="1"/>
  <c r="C47" i="7"/>
  <c r="D47" i="7"/>
  <c r="E47" i="7"/>
  <c r="F47" i="7"/>
  <c r="C54" i="7"/>
  <c r="D54" i="7"/>
  <c r="E54" i="7"/>
  <c r="F54" i="7"/>
  <c r="C58" i="7"/>
  <c r="D58" i="7"/>
  <c r="E58" i="7"/>
  <c r="F58" i="7"/>
  <c r="C63" i="7"/>
  <c r="D63" i="7"/>
  <c r="E63" i="7"/>
  <c r="F63" i="7"/>
  <c r="D12" i="4"/>
  <c r="M12" i="4" s="1"/>
  <c r="N12" i="4"/>
  <c r="D17" i="4"/>
  <c r="E15" i="7" s="1"/>
  <c r="N17" i="4"/>
  <c r="E18" i="4"/>
  <c r="M19" i="4"/>
  <c r="N19" i="4"/>
  <c r="F31" i="4"/>
  <c r="M57" i="4"/>
  <c r="F62" i="4"/>
  <c r="F63" i="4"/>
  <c r="F64" i="4"/>
  <c r="D67" i="4"/>
  <c r="N67" i="4"/>
  <c r="N76" i="4"/>
  <c r="M77" i="4"/>
  <c r="N77" i="4"/>
  <c r="N78" i="4"/>
  <c r="M79" i="4"/>
  <c r="N79" i="4"/>
  <c r="M80" i="4"/>
  <c r="N80" i="4"/>
  <c r="D81" i="4"/>
  <c r="E81" i="4"/>
  <c r="S85" i="8"/>
  <c r="I43" i="8"/>
  <c r="N11" i="9"/>
  <c r="X11" i="9" s="1"/>
  <c r="T43" i="8"/>
  <c r="E43" i="8"/>
  <c r="N9" i="9"/>
  <c r="X9" i="9" s="1"/>
  <c r="W102" i="8"/>
  <c r="H43" i="8"/>
  <c r="M33" i="9"/>
  <c r="M95" i="10"/>
  <c r="K34" i="12"/>
  <c r="F64" i="7"/>
  <c r="F49" i="7"/>
  <c r="D49" i="7"/>
  <c r="G19" i="12"/>
  <c r="H26" i="12"/>
  <c r="K26" i="12" s="1"/>
  <c r="E44" i="10"/>
  <c r="E53" i="10" s="1"/>
  <c r="E57" i="10" s="1"/>
  <c r="E95" i="10"/>
  <c r="E102" i="10" s="1"/>
  <c r="E103" i="10" s="1"/>
  <c r="AH60" i="8"/>
  <c r="E58" i="10"/>
  <c r="E67" i="10" s="1"/>
  <c r="E71" i="10" s="1"/>
  <c r="C82" i="7"/>
  <c r="E68" i="4"/>
  <c r="M67" i="4"/>
  <c r="M72" i="10" l="1"/>
  <c r="G31" i="12"/>
  <c r="S68" i="8"/>
  <c r="F109" i="8"/>
  <c r="C38" i="9" s="1"/>
  <c r="V43" i="8"/>
  <c r="N43" i="8"/>
  <c r="E49" i="7"/>
  <c r="C49" i="7"/>
  <c r="E33" i="4"/>
  <c r="F12" i="4"/>
  <c r="M17" i="4"/>
  <c r="E24" i="10"/>
  <c r="F43" i="8"/>
  <c r="H85" i="8"/>
  <c r="AE80" i="8" s="1"/>
  <c r="L85" i="8"/>
  <c r="G85" i="8"/>
  <c r="F68" i="8"/>
  <c r="E72" i="10"/>
  <c r="E81" i="10" s="1"/>
  <c r="E85" i="10" s="1"/>
  <c r="H109" i="8"/>
  <c r="N38" i="9" s="1"/>
  <c r="X38" i="9" s="1"/>
  <c r="L68" i="8"/>
  <c r="AE48" i="8"/>
  <c r="G68" i="8"/>
  <c r="G90" i="8" s="1"/>
  <c r="G110" i="8" s="1"/>
  <c r="G113" i="8" s="1"/>
  <c r="T85" i="8"/>
  <c r="R68" i="8"/>
  <c r="C43" i="8"/>
  <c r="W42" i="8"/>
  <c r="AH42" i="8" s="1"/>
  <c r="G109" i="8"/>
  <c r="E8" i="10"/>
  <c r="W17" i="8"/>
  <c r="AH17" i="8" s="1"/>
  <c r="E16" i="10"/>
  <c r="X35" i="9"/>
  <c r="W108" i="8"/>
  <c r="J109" i="8"/>
  <c r="R85" i="8"/>
  <c r="J85" i="8"/>
  <c r="J68" i="8"/>
  <c r="D68" i="8"/>
  <c r="S43" i="8"/>
  <c r="S90" i="8" s="1"/>
  <c r="L43" i="8"/>
  <c r="D31" i="12"/>
  <c r="E93" i="10"/>
  <c r="E94" i="10" s="1"/>
  <c r="E31" i="12"/>
  <c r="O13" i="11"/>
  <c r="O14" i="11"/>
  <c r="W77" i="8"/>
  <c r="AH77" i="8" s="1"/>
  <c r="O17" i="11"/>
  <c r="O16" i="11"/>
  <c r="I12" i="17"/>
  <c r="C13" i="17"/>
  <c r="I48" i="17"/>
  <c r="D12" i="17"/>
  <c r="I47" i="17"/>
  <c r="I53" i="17"/>
  <c r="I52" i="17"/>
  <c r="C85" i="8"/>
  <c r="L56" i="4"/>
  <c r="L57" i="4"/>
  <c r="M71" i="4"/>
  <c r="D68" i="4"/>
  <c r="F17" i="4"/>
  <c r="F31" i="12"/>
  <c r="C64" i="7"/>
  <c r="C66" i="7" s="1"/>
  <c r="O27" i="11"/>
  <c r="O23" i="11"/>
  <c r="O32" i="11"/>
  <c r="M86" i="10"/>
  <c r="M101" i="10" s="1"/>
  <c r="K14" i="12"/>
  <c r="K13" i="12"/>
  <c r="M44" i="10"/>
  <c r="W51" i="8"/>
  <c r="AH51" i="8" s="1"/>
  <c r="M58" i="10"/>
  <c r="O22" i="11"/>
  <c r="O24" i="11"/>
  <c r="E68" i="8"/>
  <c r="E90" i="8" s="1"/>
  <c r="W58" i="8"/>
  <c r="W67" i="8" s="1"/>
  <c r="AH67" i="8" s="1"/>
  <c r="E31" i="10"/>
  <c r="E40" i="10" s="1"/>
  <c r="E43" i="10" s="1"/>
  <c r="M31" i="10"/>
  <c r="I85" i="8"/>
  <c r="AH75" i="8"/>
  <c r="F85" i="8"/>
  <c r="AE79" i="8" s="1"/>
  <c r="Z42" i="9"/>
  <c r="AA42" i="9"/>
  <c r="X31" i="9"/>
  <c r="X40" i="9" s="1"/>
  <c r="G27" i="12"/>
  <c r="M81" i="4"/>
  <c r="I117" i="8"/>
  <c r="N81" i="4"/>
  <c r="D32" i="4"/>
  <c r="M32" i="4" s="1"/>
  <c r="L109" i="8"/>
  <c r="I68" i="8"/>
  <c r="Y42" i="9"/>
  <c r="H18" i="12"/>
  <c r="K18" i="12" s="1"/>
  <c r="S109" i="8"/>
  <c r="D85" i="8"/>
  <c r="D90" i="8" s="1"/>
  <c r="D110" i="8" s="1"/>
  <c r="D113" i="8" s="1"/>
  <c r="V68" i="8"/>
  <c r="N68" i="8"/>
  <c r="N90" i="8" s="1"/>
  <c r="W37" i="8"/>
  <c r="AH37" i="8" s="1"/>
  <c r="AH43" i="8" s="1"/>
  <c r="AB42" i="9"/>
  <c r="D18" i="4"/>
  <c r="E64" i="7"/>
  <c r="E66" i="7" s="1"/>
  <c r="E109" i="8"/>
  <c r="V85" i="8"/>
  <c r="T68" i="8"/>
  <c r="T90" i="8" s="1"/>
  <c r="T110" i="8" s="1"/>
  <c r="T113" i="8" s="1"/>
  <c r="H68" i="8"/>
  <c r="H90" i="8" s="1"/>
  <c r="H110" i="8" s="1"/>
  <c r="H113" i="8" s="1"/>
  <c r="C68" i="8"/>
  <c r="R43" i="8"/>
  <c r="R90" i="8" s="1"/>
  <c r="R110" i="8" s="1"/>
  <c r="R113" i="8" s="1"/>
  <c r="J43" i="8"/>
  <c r="C109" i="8"/>
  <c r="M85" i="8"/>
  <c r="M90" i="8" s="1"/>
  <c r="M110" i="8" s="1"/>
  <c r="M113" i="8" s="1"/>
  <c r="C40" i="9"/>
  <c r="M38" i="9"/>
  <c r="M40" i="9" s="1"/>
  <c r="F66" i="7"/>
  <c r="N40" i="9"/>
  <c r="D64" i="7"/>
  <c r="D66" i="7" s="1"/>
  <c r="N109" i="8"/>
  <c r="AH88" i="8"/>
  <c r="W89" i="8"/>
  <c r="AH89" i="8" s="1"/>
  <c r="I90" i="8"/>
  <c r="I109" i="8"/>
  <c r="L90" i="8"/>
  <c r="AH95" i="8"/>
  <c r="AH97" i="8" s="1"/>
  <c r="W97" i="8"/>
  <c r="W43" i="8"/>
  <c r="C57" i="11"/>
  <c r="W83" i="8"/>
  <c r="AH108" i="8"/>
  <c r="AH102" i="8"/>
  <c r="W30" i="8"/>
  <c r="L110" i="8" l="1"/>
  <c r="I54" i="17"/>
  <c r="C16" i="17"/>
  <c r="I49" i="17" s="1"/>
  <c r="I13" i="17"/>
  <c r="E110" i="8"/>
  <c r="E113" i="8" s="1"/>
  <c r="S110" i="8"/>
  <c r="S113" i="8" s="1"/>
  <c r="J90" i="8"/>
  <c r="J110" i="8" s="1"/>
  <c r="J113" i="8" s="1"/>
  <c r="V90" i="8"/>
  <c r="V110" i="8" s="1"/>
  <c r="F90" i="8"/>
  <c r="F110" i="8" s="1"/>
  <c r="F113" i="8" s="1"/>
  <c r="C90" i="8"/>
  <c r="C110" i="8" s="1"/>
  <c r="C113" i="8" s="1"/>
  <c r="N110" i="8"/>
  <c r="N113" i="8" s="1"/>
  <c r="I119" i="8" s="1"/>
  <c r="I120" i="8" s="1"/>
  <c r="W109" i="8"/>
  <c r="AH109" i="8" s="1"/>
  <c r="W68" i="8"/>
  <c r="J12" i="17"/>
  <c r="D13" i="17"/>
  <c r="J47" i="17"/>
  <c r="J48" i="17"/>
  <c r="X41" i="9"/>
  <c r="AH58" i="8"/>
  <c r="AH68" i="8" s="1"/>
  <c r="D33" i="4"/>
  <c r="AH83" i="8"/>
  <c r="AH85" i="8" s="1"/>
  <c r="W85" i="8"/>
  <c r="W90" i="8" s="1"/>
  <c r="I110" i="8"/>
  <c r="I113" i="8" s="1"/>
  <c r="AH30" i="8"/>
  <c r="L113" i="8"/>
  <c r="P116" i="8" l="1"/>
  <c r="I16" i="17"/>
  <c r="C18" i="17"/>
  <c r="C30" i="17" s="1"/>
  <c r="D16" i="17"/>
  <c r="J16" i="17" s="1"/>
  <c r="J13" i="17"/>
  <c r="W110" i="8"/>
  <c r="AE92" i="8"/>
  <c r="AH90" i="8"/>
  <c r="AH110" i="8" s="1"/>
  <c r="P82" i="8"/>
  <c r="P40" i="8"/>
  <c r="P28" i="8"/>
  <c r="P84" i="8"/>
  <c r="P101" i="8"/>
  <c r="P64" i="8"/>
  <c r="P74" i="8"/>
  <c r="P26" i="8"/>
  <c r="P81" i="8"/>
  <c r="P80" i="8"/>
  <c r="P27" i="8"/>
  <c r="P21" i="8"/>
  <c r="P15" i="8"/>
  <c r="P79" i="8"/>
  <c r="P94" i="8"/>
  <c r="P47" i="8"/>
  <c r="C8" i="10" s="1"/>
  <c r="P71" i="8"/>
  <c r="P65" i="8"/>
  <c r="P95" i="8"/>
  <c r="P24" i="8"/>
  <c r="P29" i="8"/>
  <c r="P76" i="8"/>
  <c r="P105" i="8"/>
  <c r="P50" i="8"/>
  <c r="P23" i="8"/>
  <c r="P63" i="8"/>
  <c r="P16" i="8"/>
  <c r="P49" i="8"/>
  <c r="O83" i="8"/>
  <c r="P20" i="8"/>
  <c r="P96" i="8"/>
  <c r="P36" i="8"/>
  <c r="P14" i="8"/>
  <c r="P100" i="8"/>
  <c r="P107" i="8"/>
  <c r="P41" i="8"/>
  <c r="P34" i="8"/>
  <c r="P66" i="8"/>
  <c r="P35" i="8"/>
  <c r="P25" i="8"/>
  <c r="P48" i="8"/>
  <c r="P88" i="8"/>
  <c r="Z88" i="8" s="1"/>
  <c r="P22" i="8"/>
  <c r="P106" i="8"/>
  <c r="V112" i="8"/>
  <c r="P60" i="8" l="1"/>
  <c r="D92" i="10"/>
  <c r="P57" i="8"/>
  <c r="D80" i="10"/>
  <c r="P56" i="8"/>
  <c r="D66" i="10"/>
  <c r="P61" i="8"/>
  <c r="D101" i="10"/>
  <c r="P55" i="8"/>
  <c r="D52" i="10"/>
  <c r="P54" i="8"/>
  <c r="J49" i="17"/>
  <c r="D18" i="17"/>
  <c r="E41" i="4" s="1"/>
  <c r="D41" i="4"/>
  <c r="D43" i="4" s="1"/>
  <c r="M43" i="4" s="1"/>
  <c r="I19" i="17"/>
  <c r="I50" i="17"/>
  <c r="C36" i="17"/>
  <c r="C39" i="17" s="1"/>
  <c r="C43" i="17" s="1"/>
  <c r="I30" i="17"/>
  <c r="J19" i="17"/>
  <c r="P75" i="8"/>
  <c r="M72" i="4"/>
  <c r="AA88" i="8"/>
  <c r="P87" i="8"/>
  <c r="Z87" i="8" s="1"/>
  <c r="O89" i="8"/>
  <c r="Z80" i="8"/>
  <c r="AA80" i="8"/>
  <c r="AC80" i="8" s="1"/>
  <c r="C21" i="12"/>
  <c r="P53" i="8"/>
  <c r="O58" i="8"/>
  <c r="O67" i="8" s="1"/>
  <c r="P13" i="8"/>
  <c r="O17" i="8"/>
  <c r="O108" i="8"/>
  <c r="P104" i="8"/>
  <c r="P39" i="8"/>
  <c r="O42" i="8"/>
  <c r="P42" i="8" s="1"/>
  <c r="C16" i="10"/>
  <c r="O97" i="8"/>
  <c r="P93" i="8"/>
  <c r="AA81" i="8"/>
  <c r="Z81" i="8"/>
  <c r="C29" i="12"/>
  <c r="C44" i="10"/>
  <c r="C53" i="10" s="1"/>
  <c r="C32" i="12"/>
  <c r="Z84" i="8"/>
  <c r="AA84" i="8"/>
  <c r="AC84" i="8" s="1"/>
  <c r="C31" i="10"/>
  <c r="C40" i="10" s="1"/>
  <c r="Z79" i="8"/>
  <c r="AA79" i="8"/>
  <c r="AC79" i="8" s="1"/>
  <c r="P83" i="8"/>
  <c r="C12" i="12"/>
  <c r="P99" i="8"/>
  <c r="O102" i="8"/>
  <c r="Z36" i="8"/>
  <c r="AA36" i="8"/>
  <c r="P73" i="8"/>
  <c r="O77" i="8"/>
  <c r="O85" i="8" s="1"/>
  <c r="P46" i="8"/>
  <c r="O51" i="8"/>
  <c r="C86" i="10"/>
  <c r="C93" i="10" s="1"/>
  <c r="O30" i="8"/>
  <c r="P19" i="8"/>
  <c r="Z82" i="8"/>
  <c r="AA82" i="8"/>
  <c r="AC82" i="8" s="1"/>
  <c r="C30" i="12"/>
  <c r="W112" i="8"/>
  <c r="W113" i="8" s="1"/>
  <c r="V113" i="8"/>
  <c r="W116" i="8" s="1"/>
  <c r="P33" i="8"/>
  <c r="O37" i="8"/>
  <c r="Z76" i="8"/>
  <c r="AA76" i="8"/>
  <c r="AC76" i="8" s="1"/>
  <c r="C58" i="10"/>
  <c r="C67" i="10" s="1"/>
  <c r="C21" i="11"/>
  <c r="AA74" i="8"/>
  <c r="AC74" i="8" s="1"/>
  <c r="Z74" i="8"/>
  <c r="P70" i="8"/>
  <c r="M73" i="4" l="1"/>
  <c r="J50" i="17"/>
  <c r="C95" i="10"/>
  <c r="C102" i="10" s="1"/>
  <c r="C103" i="10" s="1"/>
  <c r="C72" i="10"/>
  <c r="C81" i="10" s="1"/>
  <c r="C85" i="10" s="1"/>
  <c r="I43" i="17"/>
  <c r="I39" i="17"/>
  <c r="C71" i="10"/>
  <c r="C94" i="10"/>
  <c r="C57" i="10"/>
  <c r="C43" i="10"/>
  <c r="AC88" i="8"/>
  <c r="AA75" i="8"/>
  <c r="C31" i="11"/>
  <c r="Z75" i="8"/>
  <c r="O43" i="8"/>
  <c r="O68" i="8"/>
  <c r="H30" i="12"/>
  <c r="K30" i="12" s="1"/>
  <c r="P30" i="8"/>
  <c r="P51" i="8"/>
  <c r="Z73" i="8"/>
  <c r="AA73" i="8"/>
  <c r="P77" i="8"/>
  <c r="P85" i="8" s="1"/>
  <c r="C12" i="11"/>
  <c r="AC36" i="8"/>
  <c r="H29" i="12"/>
  <c r="K29" i="12" s="1"/>
  <c r="P97" i="8"/>
  <c r="AA87" i="8"/>
  <c r="P89" i="8"/>
  <c r="P37" i="8"/>
  <c r="P102" i="8"/>
  <c r="C31" i="12"/>
  <c r="H12" i="12"/>
  <c r="K12" i="12" s="1"/>
  <c r="O109" i="8"/>
  <c r="Z42" i="8"/>
  <c r="AA42" i="8"/>
  <c r="P17" i="8"/>
  <c r="P58" i="8"/>
  <c r="C24" i="10"/>
  <c r="K21" i="11"/>
  <c r="L21" i="11"/>
  <c r="W121" i="8"/>
  <c r="C9" i="10"/>
  <c r="AA83" i="8"/>
  <c r="Z83" i="8"/>
  <c r="H32" i="12"/>
  <c r="AC81" i="8"/>
  <c r="C17" i="10"/>
  <c r="P108" i="8"/>
  <c r="H21" i="12"/>
  <c r="K21" i="12" s="1"/>
  <c r="M18" i="10" l="1"/>
  <c r="M23" i="10"/>
  <c r="AC83" i="8"/>
  <c r="AE84" i="8"/>
  <c r="AE86" i="8"/>
  <c r="AE83" i="8"/>
  <c r="M15" i="10"/>
  <c r="M10" i="10"/>
  <c r="AC78" i="8"/>
  <c r="AC75" i="8"/>
  <c r="K32" i="12"/>
  <c r="L31" i="11"/>
  <c r="AC87" i="8"/>
  <c r="K31" i="11"/>
  <c r="O31" i="11" s="1"/>
  <c r="O90" i="8"/>
  <c r="O110" i="8" s="1"/>
  <c r="O113" i="8" s="1"/>
  <c r="P117" i="8" s="1"/>
  <c r="E43" i="4"/>
  <c r="E69" i="4" s="1"/>
  <c r="Z89" i="8"/>
  <c r="AA89" i="8"/>
  <c r="C25" i="10"/>
  <c r="K12" i="11"/>
  <c r="L12" i="11"/>
  <c r="AC42" i="8"/>
  <c r="Z37" i="8"/>
  <c r="P43" i="8"/>
  <c r="P109" i="8"/>
  <c r="Z77" i="8"/>
  <c r="Z30" i="8"/>
  <c r="AA30" i="8"/>
  <c r="Z17" i="8"/>
  <c r="H31" i="12"/>
  <c r="K31" i="12" s="1"/>
  <c r="AE72" i="8"/>
  <c r="AC73" i="8"/>
  <c r="P67" i="8"/>
  <c r="P68" i="8" s="1"/>
  <c r="Z51" i="8"/>
  <c r="M26" i="10" l="1"/>
  <c r="N73" i="4"/>
  <c r="N72" i="4"/>
  <c r="N43" i="4"/>
  <c r="AA37" i="8"/>
  <c r="AA77" i="8"/>
  <c r="AE74" i="8"/>
  <c r="Z67" i="8"/>
  <c r="AA67" i="8"/>
  <c r="AA17" i="8"/>
  <c r="AC89" i="8"/>
  <c r="AE30" i="8"/>
  <c r="AE31" i="8"/>
  <c r="AC30" i="8"/>
  <c r="AA51" i="8"/>
  <c r="P90" i="8"/>
  <c r="AA109" i="8"/>
  <c r="Z109" i="8"/>
  <c r="AC37" i="8" l="1"/>
  <c r="P110" i="8"/>
  <c r="Z90" i="8"/>
  <c r="Z110" i="8" s="1"/>
  <c r="AC17" i="8"/>
  <c r="AA90" i="8"/>
  <c r="AE85" i="8" s="1"/>
  <c r="AC77" i="8"/>
  <c r="AE78" i="8"/>
  <c r="AE77" i="8"/>
  <c r="AC67" i="8"/>
  <c r="AE67" i="8"/>
  <c r="AE68" i="8"/>
  <c r="AE51" i="8"/>
  <c r="AE52" i="8"/>
  <c r="AC51" i="8"/>
  <c r="AE109" i="8"/>
  <c r="AE110" i="8"/>
  <c r="AC109" i="8"/>
  <c r="P124" i="8" l="1"/>
  <c r="P113" i="8"/>
  <c r="AC90" i="8"/>
  <c r="AE90" i="8"/>
  <c r="AE91" i="8"/>
  <c r="AA110" i="8"/>
  <c r="AE93" i="8"/>
  <c r="P303" i="8" l="1"/>
  <c r="D69" i="4"/>
</calcChain>
</file>

<file path=xl/sharedStrings.xml><?xml version="1.0" encoding="utf-8"?>
<sst xmlns="http://schemas.openxmlformats.org/spreadsheetml/2006/main" count="1590" uniqueCount="1223">
  <si>
    <t>i kommunens koncernföretag</t>
  </si>
  <si>
    <t>hos kommunens koncernföretag</t>
  </si>
  <si>
    <t xml:space="preserve">Kortfristiga skulder till koncernföretag </t>
  </si>
  <si>
    <t>Lev.skulder till kommunens koncernf.</t>
  </si>
  <si>
    <t>135</t>
  </si>
  <si>
    <t>Förvaltningsavgifter</t>
  </si>
  <si>
    <t>139</t>
  </si>
  <si>
    <t>13 (ej 139)</t>
  </si>
  <si>
    <t>10-13 (ej 139)</t>
  </si>
  <si>
    <t>FINANSIELLA INTÄKTER ENL RR</t>
  </si>
  <si>
    <t>FINANSIELLA KOSTNADER ENL RR</t>
  </si>
  <si>
    <t xml:space="preserve">Obligationer, förlagsbevis m.m. samt certifikat </t>
  </si>
  <si>
    <t>Personalens källskatt</t>
  </si>
  <si>
    <t>298</t>
  </si>
  <si>
    <t>Förutbetalda skatteintäkter</t>
  </si>
  <si>
    <t>Verksamhetsblock/-områden</t>
  </si>
  <si>
    <t>EGENTLIG VERKSAMHET</t>
  </si>
  <si>
    <t>Politisk verksamhet, totalt</t>
  </si>
  <si>
    <t>Parker</t>
  </si>
  <si>
    <t>Räddningstjänst</t>
  </si>
  <si>
    <t>Övrig utbildning</t>
  </si>
  <si>
    <t>Utbildning, totalt</t>
  </si>
  <si>
    <t>SUMMA EGENTLIG VERKSAMHET</t>
  </si>
  <si>
    <t>Hamnverksamhet</t>
  </si>
  <si>
    <t>Kommersiell verksamhet</t>
  </si>
  <si>
    <t>Bostadsverksamhet</t>
  </si>
  <si>
    <t>Näringsliv och bostäder, totalt</t>
  </si>
  <si>
    <t>Sjötrafik</t>
  </si>
  <si>
    <t>Kommunikationer, totalt</t>
  </si>
  <si>
    <t>Fjärrvärmeförsörjning</t>
  </si>
  <si>
    <t>Vattenförsörjning och avloppshantering</t>
  </si>
  <si>
    <t>Avfallshantering</t>
  </si>
  <si>
    <t>SUMMA AFFÄRSVERKSAMHET</t>
  </si>
  <si>
    <t>Gemensamma lokaler</t>
  </si>
  <si>
    <t>Gemensamma verksamheter</t>
  </si>
  <si>
    <t>TOTALSUMMA</t>
  </si>
  <si>
    <t>Personalkostnader</t>
  </si>
  <si>
    <t xml:space="preserve">Externa varor, tjänster och bidrag  </t>
  </si>
  <si>
    <t>Lokal- och anläggningskostnader</t>
  </si>
  <si>
    <t>Externa intäkter</t>
  </si>
  <si>
    <t xml:space="preserve">Interna </t>
  </si>
  <si>
    <t>BRUTTO-</t>
  </si>
  <si>
    <t>intäkter</t>
  </si>
  <si>
    <t>KOSTNAD</t>
  </si>
  <si>
    <t>kostnad</t>
  </si>
  <si>
    <t>[45]</t>
  </si>
  <si>
    <t>[601]</t>
  </si>
  <si>
    <t>[341]</t>
  </si>
  <si>
    <t>Block 1. POLITISK VERKSAMHET</t>
  </si>
  <si>
    <t>Nämnd- och styrelseverksamhet</t>
  </si>
  <si>
    <t>Kommentarer politisk verksamhet:</t>
  </si>
  <si>
    <t>Stöd till politiska partier</t>
  </si>
  <si>
    <t>Revision</t>
  </si>
  <si>
    <t xml:space="preserve">Övrig politisk verksamhet </t>
  </si>
  <si>
    <t>POLITISK VERKSAMHET, TOTALT</t>
  </si>
  <si>
    <t>Block 2. INFRASTRUKTUR, SKYDD mm</t>
  </si>
  <si>
    <t>Fysisk o.teknisk planering, bostadsförbättr.</t>
  </si>
  <si>
    <t>Näringslivsfrämjande åtgärder</t>
  </si>
  <si>
    <t>Konsument- och energirådgivning</t>
  </si>
  <si>
    <t>Turistverksamhet</t>
  </si>
  <si>
    <t>Beskrivning av nyckeltalen</t>
  </si>
  <si>
    <t>Miljö- och hälsoskydd, myndighetsutövning</t>
  </si>
  <si>
    <t>Miljö- hälsa och hållbar utveckling</t>
  </si>
  <si>
    <t>Alkoholtillstånd m.m.</t>
  </si>
  <si>
    <t xml:space="preserve">Totalförsvar och samhällsskydd  </t>
  </si>
  <si>
    <t>INFRASTRUKTUR, SKYDD mm TOTALT</t>
  </si>
  <si>
    <t>Block 3.  KULTUR OCH FRITID</t>
  </si>
  <si>
    <t>Kulturverksamhet</t>
  </si>
  <si>
    <t>Stöd till studieorganisationer</t>
  </si>
  <si>
    <t>Allmän kulturverksamhet, övrigt</t>
  </si>
  <si>
    <t>Bibliotek</t>
  </si>
  <si>
    <t>Musikskola / kulturskola</t>
  </si>
  <si>
    <t>Kulturverksamhet totalt</t>
  </si>
  <si>
    <t>Fritidsverksamhet</t>
  </si>
  <si>
    <t>Allmän fritidsverksamhet</t>
  </si>
  <si>
    <t>Idrotts- och fritidsanläggningar</t>
  </si>
  <si>
    <t>Fritidsgårdar</t>
  </si>
  <si>
    <t>Fritidsverksamhet, totalt</t>
  </si>
  <si>
    <t xml:space="preserve"> KULTUR OCH FRITID, TOTALT</t>
  </si>
  <si>
    <t>Block 4. PEDAGOGISK VERKSAMHET</t>
  </si>
  <si>
    <t>Öppen förskola</t>
  </si>
  <si>
    <t>Förskola</t>
  </si>
  <si>
    <t>Pedagogisk omsorg</t>
  </si>
  <si>
    <t>Öppen fritidsverksamhet</t>
  </si>
  <si>
    <t>Fritidshem</t>
  </si>
  <si>
    <t>Skolväsendet för barn- o ungdom</t>
  </si>
  <si>
    <t>Gymnasieskola</t>
  </si>
  <si>
    <t xml:space="preserve">Gymnasiesärskola </t>
  </si>
  <si>
    <t>Skolväsendet för barn o ungdom totalt</t>
  </si>
  <si>
    <t>Kommunal vuxenutbildning</t>
  </si>
  <si>
    <t>Högskoleutbildning m.m.</t>
  </si>
  <si>
    <t>Verksamhetens kostnad enligt RR</t>
  </si>
  <si>
    <t>Verksamhetens intäkter enl. RR</t>
  </si>
  <si>
    <t>Verksamhetens kostnader enl. RR</t>
  </si>
  <si>
    <t>Verksamhetens intäkter enl.RR</t>
  </si>
  <si>
    <t xml:space="preserve">Svenska för invandrare </t>
  </si>
  <si>
    <t>Utbildning inkl. förskoleklass</t>
  </si>
  <si>
    <t>PEDAGOGISK VERKSAMH., TOTALT</t>
  </si>
  <si>
    <t>Block 5. VÅRD O OMSORG</t>
  </si>
  <si>
    <t>Primärvård</t>
  </si>
  <si>
    <t>Hälso- och sjukvård, övrigt exkl. hemsjukvård</t>
  </si>
  <si>
    <t xml:space="preserve">Vård, omsorg: äldre och personer med funktionsnedsättning </t>
  </si>
  <si>
    <t>Färdtjänst/riksfärdtjänst</t>
  </si>
  <si>
    <t>Öppen verksamhet</t>
  </si>
  <si>
    <t>VoO: äldre, personer m.funktionsneds., tot.</t>
  </si>
  <si>
    <t xml:space="preserve">Individ- och familjeomsorg               </t>
  </si>
  <si>
    <t>Barn och ungdomsvård</t>
  </si>
  <si>
    <t>Ekonomiskt bistånd</t>
  </si>
  <si>
    <t xml:space="preserve">Individ- och familjeomsorg, totalt </t>
  </si>
  <si>
    <t>Familjerätt och familjerådgivning</t>
  </si>
  <si>
    <t>VÅRD OCH OMSORG, TOTALT</t>
  </si>
  <si>
    <t>Block 6. SÄRSKILT RIKTADE INSATSER</t>
  </si>
  <si>
    <r>
      <t>Insatser till personer med funktionsnedsättning (exkl LSS/SFB</t>
    </r>
    <r>
      <rPr>
        <b/>
        <vertAlign val="superscript"/>
        <sz val="7"/>
        <rFont val="Helvetica"/>
        <family val="2"/>
      </rPr>
      <t>1</t>
    </r>
    <r>
      <rPr>
        <b/>
        <sz val="7"/>
        <rFont val="Helvetica"/>
        <family val="2"/>
      </rPr>
      <t>)</t>
    </r>
  </si>
  <si>
    <t>Flyktingmottagande</t>
  </si>
  <si>
    <t xml:space="preserve">Arbetsmarknadsåtgärder </t>
  </si>
  <si>
    <t>SÄRSKILT RIKTADE INSATSER,TOTALT</t>
  </si>
  <si>
    <t>AFFÄRSVERKSAMHET</t>
  </si>
  <si>
    <t>Näringsliv och bostäder</t>
  </si>
  <si>
    <t>Arbetsområden och lokaler</t>
  </si>
  <si>
    <t>Kommunikationer</t>
  </si>
  <si>
    <t>Flygtrafik</t>
  </si>
  <si>
    <t>Energi, vatten och avfall</t>
  </si>
  <si>
    <t>Elförsörjning + gasförsörjning</t>
  </si>
  <si>
    <t>Energi, vatten och avfall, totalt</t>
  </si>
  <si>
    <t>SUMMA DRIFTVERKSAMHET</t>
  </si>
  <si>
    <t>Nettokostnad gemensamma verksamheter</t>
  </si>
  <si>
    <t>Kommuner</t>
  </si>
  <si>
    <t>Kommunal-</t>
  </si>
  <si>
    <t>Staten och</t>
  </si>
  <si>
    <t>Differens</t>
  </si>
  <si>
    <t xml:space="preserve"> stiftelser</t>
  </si>
  <si>
    <t>företag</t>
  </si>
  <si>
    <t>förbund</t>
  </si>
  <si>
    <t>statl.myndigh.</t>
  </si>
  <si>
    <t>[358]</t>
  </si>
  <si>
    <t xml:space="preserve">Fritidsverksamhet, totalt  </t>
  </si>
  <si>
    <t xml:space="preserve">Gymnasieskola </t>
  </si>
  <si>
    <t xml:space="preserve">Gymnasiesärskola  </t>
  </si>
  <si>
    <t xml:space="preserve"> därav  inst. vård för vuxna med missbruksprob.</t>
  </si>
  <si>
    <t>Övrig Ifo + fam.rätt (rad 571+ 575+585)</t>
  </si>
  <si>
    <t>Arbetsmarknadsåtgärder</t>
  </si>
  <si>
    <t>Summa affärsverksamhet</t>
  </si>
  <si>
    <t>Gemensam verksamhet (inkl. lokaler)</t>
  </si>
  <si>
    <t>Brutto-</t>
  </si>
  <si>
    <t>Nyckeltal</t>
  </si>
  <si>
    <t xml:space="preserve">Interna kostnader </t>
  </si>
  <si>
    <t xml:space="preserve">Fördelning av gemensamma verksamheter </t>
  </si>
  <si>
    <t>Interna intäkter</t>
  </si>
  <si>
    <t>Balanskravsresultat</t>
  </si>
  <si>
    <t>Årets resultat enligt resultaträkningen</t>
  </si>
  <si>
    <t>intäkt</t>
  </si>
  <si>
    <t>Infrastruktur, skydd mm totalt</t>
  </si>
  <si>
    <t>Utlandet</t>
  </si>
  <si>
    <t>-/+ Nedskrivningar/återföring av nedskrivning</t>
  </si>
  <si>
    <t>Anhörigbidrag</t>
  </si>
  <si>
    <t>Sjuklön</t>
  </si>
  <si>
    <t>Vatten och avlopp</t>
  </si>
  <si>
    <t>Öppen förskola och öppen fritidsverksamhet</t>
  </si>
  <si>
    <t>Summa vård och omsorg om äldre</t>
  </si>
  <si>
    <t>Daglig verksamhet enligt LSS</t>
  </si>
  <si>
    <t>Övriga insatser enligt LSS</t>
  </si>
  <si>
    <t>Öppna insatser, individuellt behovsprövad öppen vård</t>
  </si>
  <si>
    <t>Öppna insatser, bistånd som avser boende</t>
  </si>
  <si>
    <t>Öppna insatser, övriga</t>
  </si>
  <si>
    <r>
      <t xml:space="preserve">Konto </t>
    </r>
    <r>
      <rPr>
        <b/>
        <sz val="8"/>
        <rFont val="Helvetica"/>
        <family val="2"/>
      </rPr>
      <t>[354]</t>
    </r>
    <r>
      <rPr>
        <sz val="8"/>
        <rFont val="Helvetica"/>
        <family val="2"/>
      </rPr>
      <t xml:space="preserve"> kommunens ersättning </t>
    </r>
    <r>
      <rPr>
        <b/>
        <sz val="8"/>
        <rFont val="Helvetica"/>
        <family val="2"/>
      </rPr>
      <t>från</t>
    </r>
    <r>
      <rPr>
        <sz val="8"/>
        <rFont val="Helvetica"/>
        <family val="2"/>
      </rPr>
      <t xml:space="preserve"> Försäkringskassan för personlig assistent enligt SFB, tkr</t>
    </r>
  </si>
  <si>
    <r>
      <t xml:space="preserve">Konto </t>
    </r>
    <r>
      <rPr>
        <b/>
        <sz val="8"/>
        <rFont val="Helvetica"/>
        <family val="2"/>
      </rPr>
      <t>[4538]</t>
    </r>
    <r>
      <rPr>
        <sz val="8"/>
        <rFont val="Helvetica"/>
        <family val="2"/>
      </rPr>
      <t xml:space="preserve"> kommunens ersättning</t>
    </r>
    <r>
      <rPr>
        <b/>
        <sz val="8"/>
        <rFont val="Helvetica"/>
        <family val="2"/>
      </rPr>
      <t xml:space="preserve"> till</t>
    </r>
    <r>
      <rPr>
        <sz val="8"/>
        <rFont val="Helvetica"/>
        <family val="2"/>
      </rPr>
      <t xml:space="preserve"> Försäkringskassan för personlig assistent enligt  SFB, tkr</t>
    </r>
  </si>
  <si>
    <t>Familjehemsvård för barn och unga</t>
  </si>
  <si>
    <t>Summa barn- och ungdomsvård</t>
  </si>
  <si>
    <t>Övriga insatser till vuxna</t>
  </si>
  <si>
    <t>Familjerätt</t>
  </si>
  <si>
    <t>Familjerådgivning</t>
  </si>
  <si>
    <t>Summa individ- och familjeomsorg</t>
  </si>
  <si>
    <t>Därav</t>
  </si>
  <si>
    <t>inventarier</t>
  </si>
  <si>
    <t>tekn.anläggn.</t>
  </si>
  <si>
    <t>Näringsl.främj.åtg, turistv.o konsum.-ener.rådg</t>
  </si>
  <si>
    <t>17 [ej 178]</t>
  </si>
  <si>
    <t>Miljö- och hälsoskydd och alkoholtillstånd</t>
  </si>
  <si>
    <t>Totalförsvar och samhällsskydd</t>
  </si>
  <si>
    <t>Infrastruktur, skydd m.m. totalt</t>
  </si>
  <si>
    <t>Kultur och fritid, totalt</t>
  </si>
  <si>
    <r>
      <t>Utbildning</t>
    </r>
    <r>
      <rPr>
        <sz val="7"/>
        <rFont val="Helvetica"/>
        <family val="2"/>
      </rPr>
      <t xml:space="preserve">                                            </t>
    </r>
  </si>
  <si>
    <t>Gymnasieskola inkl gymnasiesärskola</t>
  </si>
  <si>
    <t>Pedagogisk verksamhet, totalt</t>
  </si>
  <si>
    <r>
      <t xml:space="preserve">Vård och omsorg </t>
    </r>
    <r>
      <rPr>
        <sz val="7"/>
        <rFont val="Helvetica"/>
        <family val="2"/>
      </rPr>
      <t xml:space="preserve">                                    
Primärvård</t>
    </r>
  </si>
  <si>
    <t>Individ o familjeomsorg totalt, familjerätt</t>
  </si>
  <si>
    <t xml:space="preserve">Vård och omsorg, totalt                                    </t>
  </si>
  <si>
    <t>Särskilt riktade insatser, totalt</t>
  </si>
  <si>
    <r>
      <t>Kommunikationer</t>
    </r>
    <r>
      <rPr>
        <sz val="7"/>
        <rFont val="Helvetica"/>
        <family val="2"/>
      </rPr>
      <t xml:space="preserve">                                                         Flygtrafik</t>
    </r>
  </si>
  <si>
    <r>
      <t>Energi, vatten och avfall</t>
    </r>
    <r>
      <rPr>
        <sz val="7"/>
        <rFont val="Helvetica"/>
        <family val="2"/>
      </rPr>
      <t xml:space="preserve">                                        
El- och gasförsörjning</t>
    </r>
  </si>
  <si>
    <t>Energi, vatten och avfall,totalt</t>
  </si>
  <si>
    <t>Ange kommunens kostnad för rådgivning och annat personligt stöd enl 9 § punkt 1 LSS, tkr</t>
  </si>
  <si>
    <t>Övriga tilläggsupplysningar</t>
  </si>
  <si>
    <t>EU-bidrag (driftbidrag)</t>
  </si>
  <si>
    <t>Löner</t>
  </si>
  <si>
    <t>Boende enl. LSS för vuxna</t>
  </si>
  <si>
    <t>ägda företag</t>
  </si>
  <si>
    <t>Föreningar,</t>
  </si>
  <si>
    <t>Privata</t>
  </si>
  <si>
    <t xml:space="preserve">Summa öppna insatser vuxna </t>
  </si>
  <si>
    <t>HVB-vård för barn och unga</t>
  </si>
  <si>
    <t>Vård för vuxna med missbruksproblem</t>
  </si>
  <si>
    <r>
      <t xml:space="preserve">Övriga </t>
    </r>
    <r>
      <rPr>
        <b/>
        <sz val="7"/>
        <rFont val="Helvetica"/>
        <family val="2"/>
      </rPr>
      <t/>
    </r>
  </si>
  <si>
    <t>Rad  nr</t>
  </si>
  <si>
    <t>Summa vård för vuxna med missbruksproblem</t>
  </si>
  <si>
    <t xml:space="preserve"> därav  HVB-vård för barn och unga</t>
  </si>
  <si>
    <t xml:space="preserve">Summa öppna insatser för barn och unga </t>
  </si>
  <si>
    <t>178</t>
  </si>
  <si>
    <t>Kalkylerad PO + Kalkylerad kapitalkostn.</t>
  </si>
  <si>
    <t>Interna kostnader</t>
  </si>
  <si>
    <t>Jämförelsestörande kostnader</t>
  </si>
  <si>
    <t>Jämförelsestörande intäkter</t>
  </si>
  <si>
    <t>100</t>
  </si>
  <si>
    <t>110</t>
  </si>
  <si>
    <t>120</t>
  </si>
  <si>
    <t>130</t>
  </si>
  <si>
    <t>190</t>
  </si>
  <si>
    <t>215</t>
  </si>
  <si>
    <t>220</t>
  </si>
  <si>
    <t>230</t>
  </si>
  <si>
    <t>249</t>
  </si>
  <si>
    <t>250</t>
  </si>
  <si>
    <t>261</t>
  </si>
  <si>
    <t>263</t>
  </si>
  <si>
    <t>267</t>
  </si>
  <si>
    <t>270</t>
  </si>
  <si>
    <t>275</t>
  </si>
  <si>
    <t>290</t>
  </si>
  <si>
    <t>310</t>
  </si>
  <si>
    <t>315</t>
  </si>
  <si>
    <t>320</t>
  </si>
  <si>
    <t>330</t>
  </si>
  <si>
    <t>339</t>
  </si>
  <si>
    <t>300</t>
  </si>
  <si>
    <t>340</t>
  </si>
  <si>
    <t>350</t>
  </si>
  <si>
    <t>359</t>
  </si>
  <si>
    <t>390</t>
  </si>
  <si>
    <t>400</t>
  </si>
  <si>
    <t>407</t>
  </si>
  <si>
    <t>412</t>
  </si>
  <si>
    <t>415</t>
  </si>
  <si>
    <t>425</t>
  </si>
  <si>
    <t>430</t>
  </si>
  <si>
    <t>443</t>
  </si>
  <si>
    <t>450</t>
  </si>
  <si>
    <t>453</t>
  </si>
  <si>
    <t>469</t>
  </si>
  <si>
    <t>474</t>
  </si>
  <si>
    <t>475</t>
  </si>
  <si>
    <t>476</t>
  </si>
  <si>
    <t>478</t>
  </si>
  <si>
    <t>480</t>
  </si>
  <si>
    <t>490</t>
  </si>
  <si>
    <t>500</t>
  </si>
  <si>
    <t>505</t>
  </si>
  <si>
    <t>513</t>
  </si>
  <si>
    <t>530</t>
  </si>
  <si>
    <t>600</t>
  </si>
  <si>
    <t>610</t>
  </si>
  <si>
    <t>690</t>
  </si>
  <si>
    <t>790</t>
  </si>
  <si>
    <t>800</t>
  </si>
  <si>
    <t>805</t>
  </si>
  <si>
    <t>810</t>
  </si>
  <si>
    <t>815</t>
  </si>
  <si>
    <t>820</t>
  </si>
  <si>
    <t>830</t>
  </si>
  <si>
    <t>832</t>
  </si>
  <si>
    <t>834</t>
  </si>
  <si>
    <t>840</t>
  </si>
  <si>
    <t>855</t>
  </si>
  <si>
    <t>860</t>
  </si>
  <si>
    <t>865</t>
  </si>
  <si>
    <t>870</t>
  </si>
  <si>
    <t>880</t>
  </si>
  <si>
    <t>890</t>
  </si>
  <si>
    <t>900</t>
  </si>
  <si>
    <t>910</t>
  </si>
  <si>
    <t>920</t>
  </si>
  <si>
    <t>950</t>
  </si>
  <si>
    <t>010</t>
  </si>
  <si>
    <t>020</t>
  </si>
  <si>
    <t>025</t>
  </si>
  <si>
    <t>030</t>
  </si>
  <si>
    <t>040</t>
  </si>
  <si>
    <t>050</t>
  </si>
  <si>
    <t>060</t>
  </si>
  <si>
    <t>070</t>
  </si>
  <si>
    <t>080</t>
  </si>
  <si>
    <t>015</t>
  </si>
  <si>
    <t>021</t>
  </si>
  <si>
    <t>023</t>
  </si>
  <si>
    <t>036</t>
  </si>
  <si>
    <t>037</t>
  </si>
  <si>
    <t>033</t>
  </si>
  <si>
    <t>032</t>
  </si>
  <si>
    <t>031</t>
  </si>
  <si>
    <t>034</t>
  </si>
  <si>
    <t>035</t>
  </si>
  <si>
    <t>039</t>
  </si>
  <si>
    <t>045</t>
  </si>
  <si>
    <t>046</t>
  </si>
  <si>
    <t>051</t>
  </si>
  <si>
    <t>055</t>
  </si>
  <si>
    <t>053</t>
  </si>
  <si>
    <t>054</t>
  </si>
  <si>
    <t>056</t>
  </si>
  <si>
    <t>065</t>
  </si>
  <si>
    <t>069</t>
  </si>
  <si>
    <t>999</t>
  </si>
  <si>
    <t>052</t>
  </si>
  <si>
    <t>066</t>
  </si>
  <si>
    <t>073</t>
  </si>
  <si>
    <t>074</t>
  </si>
  <si>
    <t>075</t>
  </si>
  <si>
    <t>076</t>
  </si>
  <si>
    <t>071</t>
  </si>
  <si>
    <t>077</t>
  </si>
  <si>
    <t>078</t>
  </si>
  <si>
    <t>079</t>
  </si>
  <si>
    <t>081</t>
  </si>
  <si>
    <t>082</t>
  </si>
  <si>
    <t>083</t>
  </si>
  <si>
    <t>084</t>
  </si>
  <si>
    <t>085</t>
  </si>
  <si>
    <t>089</t>
  </si>
  <si>
    <t>090</t>
  </si>
  <si>
    <t>086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</si>
  <si>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</si>
  <si>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</si>
  <si>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</si>
  <si>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</si>
  <si>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</si>
  <si>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</si>
  <si>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</si>
  <si>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</si>
  <si>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</si>
  <si>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107</t>
  </si>
  <si>
    <t>108</t>
  </si>
  <si>
    <t>121</t>
  </si>
  <si>
    <t>122</t>
  </si>
  <si>
    <t>140</t>
  </si>
  <si>
    <t>150</t>
  </si>
  <si>
    <t>160</t>
  </si>
  <si>
    <t>088</t>
  </si>
  <si>
    <t>101</t>
  </si>
  <si>
    <t>239</t>
  </si>
  <si>
    <t>269</t>
  </si>
  <si>
    <t>459</t>
  </si>
  <si>
    <t>479</t>
  </si>
  <si>
    <t>580</t>
  </si>
  <si>
    <t>590</t>
  </si>
  <si>
    <t>- Avskrivningar</t>
  </si>
  <si>
    <t>+/- Omklassificeringar</t>
  </si>
  <si>
    <t>+/- Övriga förändringar</t>
  </si>
  <si>
    <t>990</t>
  </si>
  <si>
    <t>991</t>
  </si>
  <si>
    <t>992</t>
  </si>
  <si>
    <t>993</t>
  </si>
  <si>
    <t>994</t>
  </si>
  <si>
    <t>995</t>
  </si>
  <si>
    <t>Eget kapital, avsättningar och skulder</t>
  </si>
  <si>
    <t>Verksamhetens intäkter</t>
  </si>
  <si>
    <t>Verksamhetens kostnader</t>
  </si>
  <si>
    <t>Kommunal regi</t>
  </si>
  <si>
    <t>Förskola, personalkostnad andel av total kostnad kommunal regi.</t>
  </si>
  <si>
    <t>Övr periodiseringar</t>
  </si>
  <si>
    <t>381, 382, 384</t>
  </si>
  <si>
    <t>Övriga insatser i ordinärt boende</t>
  </si>
  <si>
    <t>IB Anläggningstillgångar</t>
  </si>
  <si>
    <t>UB Anläggningstillgångar</t>
  </si>
  <si>
    <t>Insatser till personer med funktionsnedsättning (ej LSS/SFB)</t>
  </si>
  <si>
    <t>Insatser enligt LSS/SFB</t>
  </si>
  <si>
    <t>Fritidshem, personalkostnad andel av total kostnad kommunal regi.</t>
  </si>
  <si>
    <t>Förskoleklass, personalkostnad andel av total kostnad kommunal regi.</t>
  </si>
  <si>
    <t>Grundskola</t>
  </si>
  <si>
    <t>Grundläggande vuxenutbildning</t>
  </si>
  <si>
    <t>Gymnasial vuxen- och påbyggnadsutbildning</t>
  </si>
  <si>
    <t>251</t>
  </si>
  <si>
    <t>255</t>
  </si>
  <si>
    <t>257</t>
  </si>
  <si>
    <t>351</t>
  </si>
  <si>
    <t>355</t>
  </si>
  <si>
    <t>357</t>
  </si>
  <si>
    <t>35</t>
  </si>
  <si>
    <t>401</t>
  </si>
  <si>
    <t>402</t>
  </si>
  <si>
    <t>404</t>
  </si>
  <si>
    <t>405</t>
  </si>
  <si>
    <t>406</t>
  </si>
  <si>
    <t>408</t>
  </si>
  <si>
    <t>4081</t>
  </si>
  <si>
    <t>431</t>
  </si>
  <si>
    <t>435</t>
  </si>
  <si>
    <t>439</t>
  </si>
  <si>
    <t>07</t>
  </si>
  <si>
    <t>40</t>
  </si>
  <si>
    <t>43</t>
  </si>
  <si>
    <t>432</t>
  </si>
  <si>
    <t>434</t>
  </si>
  <si>
    <t>436</t>
  </si>
  <si>
    <t>437</t>
  </si>
  <si>
    <t>438</t>
  </si>
  <si>
    <t>4381</t>
  </si>
  <si>
    <t>50</t>
  </si>
  <si>
    <t>501</t>
  </si>
  <si>
    <t>502</t>
  </si>
  <si>
    <t>504</t>
  </si>
  <si>
    <t>506</t>
  </si>
  <si>
    <t>507</t>
  </si>
  <si>
    <t>508</t>
  </si>
  <si>
    <t>5081</t>
  </si>
  <si>
    <t>53</t>
  </si>
  <si>
    <t>531</t>
  </si>
  <si>
    <t>532</t>
  </si>
  <si>
    <t>534</t>
  </si>
  <si>
    <t>535</t>
  </si>
  <si>
    <t>536</t>
  </si>
  <si>
    <t>537</t>
  </si>
  <si>
    <t>538</t>
  </si>
  <si>
    <t>5381</t>
  </si>
  <si>
    <t>70</t>
  </si>
  <si>
    <t>701</t>
  </si>
  <si>
    <t>702</t>
  </si>
  <si>
    <t>706</t>
  </si>
  <si>
    <t>707</t>
  </si>
  <si>
    <t>708</t>
  </si>
  <si>
    <t>7081</t>
  </si>
  <si>
    <t>72</t>
  </si>
  <si>
    <t>721</t>
  </si>
  <si>
    <t>722</t>
  </si>
  <si>
    <t>726</t>
  </si>
  <si>
    <t>727</t>
  </si>
  <si>
    <t>728</t>
  </si>
  <si>
    <t>7281</t>
  </si>
  <si>
    <t>520</t>
  </si>
  <si>
    <t>510</t>
  </si>
  <si>
    <t>Hälso- o sjukvård, primärvård  (rad 500+505)</t>
  </si>
  <si>
    <t>Övrig utbildning (rad 475+476+478)</t>
  </si>
  <si>
    <t xml:space="preserve">Institutionsvård vuxna </t>
  </si>
  <si>
    <t>569</t>
  </si>
  <si>
    <t>559</t>
  </si>
  <si>
    <t>575</t>
  </si>
  <si>
    <t>571</t>
  </si>
  <si>
    <t xml:space="preserve">Korttidsboende </t>
  </si>
  <si>
    <t>Hemtjänst i ordinärt  boende</t>
  </si>
  <si>
    <t>Dagverksamhet,  ordinärt boende</t>
  </si>
  <si>
    <t>Hemtjänst i ordinärt boende</t>
  </si>
  <si>
    <t>Boendestöd i ordinärt boende</t>
  </si>
  <si>
    <t>585</t>
  </si>
  <si>
    <t>103</t>
  </si>
  <si>
    <t>Summering</t>
  </si>
  <si>
    <r>
      <t>Insatser enligt LSS/SFB</t>
    </r>
    <r>
      <rPr>
        <b/>
        <vertAlign val="superscript"/>
        <sz val="7"/>
        <rFont val="Helvetica"/>
        <family val="2"/>
      </rPr>
      <t>1</t>
    </r>
  </si>
  <si>
    <t xml:space="preserve">Insatser till personer med funktionneds. </t>
  </si>
  <si>
    <t>Övriga periodiseringar</t>
  </si>
  <si>
    <t>901</t>
  </si>
  <si>
    <t>Övrigt</t>
  </si>
  <si>
    <t>Verksamhet/skolform</t>
  </si>
  <si>
    <t/>
  </si>
  <si>
    <t>0799</t>
  </si>
  <si>
    <t>07991</t>
  </si>
  <si>
    <t>Därav avgifter för verksamhet i enskild regi</t>
  </si>
  <si>
    <t>Nyckeltal kr/inv</t>
  </si>
  <si>
    <t>Däravposter till kommunernas tillgångar</t>
  </si>
  <si>
    <t>Externa lokalhyror</t>
  </si>
  <si>
    <t>Interna köp och övriga interna kostnader</t>
  </si>
  <si>
    <t>Fördelad gemensam verksamhet</t>
  </si>
  <si>
    <t>Externa bostadshyror o lokalhyror</t>
  </si>
  <si>
    <t>Övriga externa intäkter</t>
  </si>
  <si>
    <t>Föreningar stiftelser</t>
  </si>
  <si>
    <t>Privata företag</t>
  </si>
  <si>
    <t>Staten och statl. myndigheter</t>
  </si>
  <si>
    <t>Driftbidrag från EU</t>
  </si>
  <si>
    <t>Markhyror och bidrag</t>
  </si>
  <si>
    <t>BRUTTO-KOSTNAD</t>
  </si>
  <si>
    <t>BRUTTO-INTÄKT</t>
  </si>
  <si>
    <t>Rad- nr</t>
  </si>
  <si>
    <t>440</t>
  </si>
  <si>
    <t>Förskoleklass</t>
  </si>
  <si>
    <t>Särskilt boende/annat boende</t>
  </si>
  <si>
    <t>Realiserade valutakursvinster</t>
  </si>
  <si>
    <t>986</t>
  </si>
  <si>
    <t>987</t>
  </si>
  <si>
    <t>988</t>
  </si>
  <si>
    <t>989</t>
  </si>
  <si>
    <t>470</t>
  </si>
  <si>
    <t>472</t>
  </si>
  <si>
    <t>Upplupna skatteintäkter</t>
  </si>
  <si>
    <t>Vård och omsorg om äldre</t>
  </si>
  <si>
    <t xml:space="preserve">Vård för vuxna med missbruksproblem </t>
  </si>
  <si>
    <t xml:space="preserve">Barn- och ungdomsvård </t>
  </si>
  <si>
    <t xml:space="preserve">Familjerätt och familjerådgivning </t>
  </si>
  <si>
    <t>Kommun-</t>
  </si>
  <si>
    <t>+ Reavinst</t>
  </si>
  <si>
    <t>Kommunägda företag</t>
  </si>
  <si>
    <t>Familjehemsvård för vuxna</t>
  </si>
  <si>
    <t xml:space="preserve"> Avgifter</t>
  </si>
  <si>
    <t>Kalkylerad personal-omkostnad</t>
  </si>
  <si>
    <t>Kalkylerade kapital-kostnader</t>
  </si>
  <si>
    <t>540</t>
  </si>
  <si>
    <t>519</t>
  </si>
  <si>
    <t>Insatser till personer med funktionsnedsättning totalt (inkl LSS)</t>
  </si>
  <si>
    <t>Från driftredovis-ningen</t>
  </si>
  <si>
    <t xml:space="preserve"> Undervisning</t>
  </si>
  <si>
    <t>Skolskjuts, reseersättning o inackordering</t>
  </si>
  <si>
    <t xml:space="preserve"> Fördelad gemensam verksamhet</t>
  </si>
  <si>
    <t>Undervisning</t>
  </si>
  <si>
    <t>Differens grundskolan</t>
  </si>
  <si>
    <t>Differens grundsärskolan</t>
  </si>
  <si>
    <t>Differens gymnasieskolan</t>
  </si>
  <si>
    <t>Differens gymnasiesärskolan</t>
  </si>
  <si>
    <t>Differens grundläggande vuxenutbildning</t>
  </si>
  <si>
    <t>Differens gymnasial vuxenutbildning</t>
  </si>
  <si>
    <t>Differens mot drift-  redovisningen</t>
  </si>
  <si>
    <t>Vård och omsorg om äldre (från motpart)</t>
  </si>
  <si>
    <t>inv 21-64 år</t>
  </si>
  <si>
    <t>Summa familjerätt och familjerådgivning</t>
  </si>
  <si>
    <t>inv 0-20 år</t>
  </si>
  <si>
    <t>invånare</t>
  </si>
  <si>
    <t>inv 0-17 år</t>
  </si>
  <si>
    <t>inv 18-69 år</t>
  </si>
  <si>
    <t>Finansiella nyckeltal</t>
  </si>
  <si>
    <t>Försäljn.av anl.tillg. i % av skatteintäkter, generella statsbidrag o utj.</t>
  </si>
  <si>
    <t>Andel investeringar som finansieras med försäljn. av anl.tillg.</t>
  </si>
  <si>
    <t>Måltider</t>
  </si>
  <si>
    <t>http://www.scb.se/rskommuner</t>
  </si>
  <si>
    <t>Förskola, avgiftsfinansierringsgrad %</t>
  </si>
  <si>
    <t>Fritidshem, avgiftsfinansieringsgrad</t>
  </si>
  <si>
    <t>Soliditet, % enligt balansräkningen</t>
  </si>
  <si>
    <t>Soliditet, % inkl. pensionsåtaganden före 1998</t>
  </si>
  <si>
    <t>Långfristiga skulder exkl. utlåning till kommunägda bolag</t>
  </si>
  <si>
    <t>Verksamhetens nettokostnader / Skatteintäkter, generella statsbidrag och utj.</t>
  </si>
  <si>
    <t>Finansnetto / Skatteintäkter, generella statsbidrag och utjämning</t>
  </si>
  <si>
    <t>Förutbet. kostnader o uppl. Intäkter, exkl.uppl skatteint.</t>
  </si>
  <si>
    <t>Verksamhetens självfinansieringsgrad</t>
  </si>
  <si>
    <t>Förs. expl.fastigheter, tomträtter [37]</t>
  </si>
  <si>
    <t>Interna lokal-kostnader</t>
  </si>
  <si>
    <t>Utlämnade lån till koncernföretag  (rad 088)</t>
  </si>
  <si>
    <t xml:space="preserve">Därav från gemensamma verksamheter  </t>
  </si>
  <si>
    <t xml:space="preserve">Boende enligt LSS för barn och unga </t>
  </si>
  <si>
    <t>Förskola, fritidshem och annan pedagogisk verksamhet</t>
  </si>
  <si>
    <t>Därav lokalkostnader</t>
  </si>
  <si>
    <t>Lokalkostnader</t>
  </si>
  <si>
    <t>Invånarantal 19 - 64</t>
  </si>
  <si>
    <t>Förskola, totalt</t>
  </si>
  <si>
    <t>Fritidshem, totalt</t>
  </si>
  <si>
    <t>Förskoleklass, totalt</t>
  </si>
  <si>
    <t>Grundskola, totalt</t>
  </si>
  <si>
    <t>Gymnasieskola, totalt</t>
  </si>
  <si>
    <t>Gymnasiesärskola, totalt</t>
  </si>
  <si>
    <t>Specificering av vissa intäkter (i kol.övr. externa intäkter)</t>
  </si>
  <si>
    <t>Grundläggande vuxenutbildning, totalt</t>
  </si>
  <si>
    <t>Gymnasial vuxen- och påbyggnadsutbildning, totalt</t>
  </si>
  <si>
    <t>1321</t>
  </si>
  <si>
    <t>Rad nr</t>
  </si>
  <si>
    <t>5731</t>
  </si>
  <si>
    <t>5732</t>
  </si>
  <si>
    <t>07911</t>
  </si>
  <si>
    <t>07912</t>
  </si>
  <si>
    <t>07951</t>
  </si>
  <si>
    <t>2599</t>
  </si>
  <si>
    <t>25991</t>
  </si>
  <si>
    <t>253</t>
  </si>
  <si>
    <t>3521</t>
  </si>
  <si>
    <t>3522</t>
  </si>
  <si>
    <t>4091</t>
  </si>
  <si>
    <t>4092</t>
  </si>
  <si>
    <t>4094</t>
  </si>
  <si>
    <t>4391</t>
  </si>
  <si>
    <t>4392</t>
  </si>
  <si>
    <t>4393</t>
  </si>
  <si>
    <t>4394</t>
  </si>
  <si>
    <t>3524</t>
  </si>
  <si>
    <t>2524</t>
  </si>
  <si>
    <t>0724</t>
  </si>
  <si>
    <t>5091</t>
  </si>
  <si>
    <t>5092</t>
  </si>
  <si>
    <t>5093</t>
  </si>
  <si>
    <t>5094</t>
  </si>
  <si>
    <t>5391</t>
  </si>
  <si>
    <t>5392</t>
  </si>
  <si>
    <t>5393</t>
  </si>
  <si>
    <t>5394</t>
  </si>
  <si>
    <t>Beteckning</t>
  </si>
  <si>
    <t>Grundsärskola, totalt</t>
  </si>
  <si>
    <t>87</t>
  </si>
  <si>
    <t>25911</t>
  </si>
  <si>
    <t>25912</t>
  </si>
  <si>
    <t>25951</t>
  </si>
  <si>
    <t>88</t>
  </si>
  <si>
    <t>35911</t>
  </si>
  <si>
    <t>35912</t>
  </si>
  <si>
    <t>35951</t>
  </si>
  <si>
    <t>89</t>
  </si>
  <si>
    <t>80</t>
  </si>
  <si>
    <t>40911</t>
  </si>
  <si>
    <t>40912</t>
  </si>
  <si>
    <t>40931</t>
  </si>
  <si>
    <t>90</t>
  </si>
  <si>
    <t>81</t>
  </si>
  <si>
    <t>43911</t>
  </si>
  <si>
    <t>43912</t>
  </si>
  <si>
    <t>43921</t>
  </si>
  <si>
    <t>43931</t>
  </si>
  <si>
    <t>91</t>
  </si>
  <si>
    <t>82</t>
  </si>
  <si>
    <t>50911</t>
  </si>
  <si>
    <t>50912</t>
  </si>
  <si>
    <t>50921</t>
  </si>
  <si>
    <t>50931</t>
  </si>
  <si>
    <t>92</t>
  </si>
  <si>
    <t>83</t>
  </si>
  <si>
    <t>53911</t>
  </si>
  <si>
    <t>53912</t>
  </si>
  <si>
    <t>53921</t>
  </si>
  <si>
    <t>53931</t>
  </si>
  <si>
    <t>Kommentarer utbildning inkl. förskoleklass:</t>
  </si>
  <si>
    <t>Grundsärskola</t>
  </si>
  <si>
    <r>
      <t>Summa insatser till personer med funktionsnedsättning (exkl LSS/SFB</t>
    </r>
    <r>
      <rPr>
        <b/>
        <vertAlign val="superscript"/>
        <sz val="7"/>
        <rFont val="Helvetica"/>
        <family val="2"/>
      </rPr>
      <t>1</t>
    </r>
    <r>
      <rPr>
        <b/>
        <sz val="7"/>
        <rFont val="Helvetica"/>
        <family val="2"/>
      </rPr>
      <t>)</t>
    </r>
  </si>
  <si>
    <r>
      <t xml:space="preserve">Insatser enligt LSS/SFB </t>
    </r>
    <r>
      <rPr>
        <b/>
        <sz val="7"/>
        <rFont val="Calibri"/>
        <family val="2"/>
      </rPr>
      <t>¹</t>
    </r>
    <r>
      <rPr>
        <b/>
        <vertAlign val="superscript"/>
        <sz val="7"/>
        <rFont val="Calibri"/>
        <family val="2"/>
      </rPr>
      <t>,2</t>
    </r>
    <r>
      <rPr>
        <b/>
        <sz val="7"/>
        <rFont val="Calibri"/>
        <family val="2"/>
      </rPr>
      <t>)</t>
    </r>
  </si>
  <si>
    <r>
      <t>Personlig assistans enl. LSS/SFB</t>
    </r>
    <r>
      <rPr>
        <vertAlign val="superscript"/>
        <sz val="7"/>
        <rFont val="Helvetica"/>
        <family val="2"/>
      </rPr>
      <t>1</t>
    </r>
  </si>
  <si>
    <r>
      <t>Summa insatser enligt LSS/SFB</t>
    </r>
    <r>
      <rPr>
        <b/>
        <vertAlign val="superscript"/>
        <sz val="7"/>
        <rFont val="Helvetica"/>
        <family val="2"/>
      </rPr>
      <t>1</t>
    </r>
  </si>
  <si>
    <t>2) Kostnaderna och intäkterna för LSS bruttoredovisas liksom övriga verksamheter</t>
  </si>
  <si>
    <t>1) De bestämmelser om personlig assistans som tidigare fanns i LASS är fr.o.m. år 2011 inordnade i Socialförsäkringsbalken (SFB, 51 kap.).</t>
  </si>
  <si>
    <r>
      <t>Omsättningstillgångar</t>
    </r>
    <r>
      <rPr>
        <sz val="7"/>
        <rFont val="Helvetica"/>
        <family val="2"/>
      </rPr>
      <t xml:space="preserve">                                       </t>
    </r>
  </si>
  <si>
    <t>Rad-</t>
  </si>
  <si>
    <t>Text</t>
  </si>
  <si>
    <t>Kommunen</t>
  </si>
  <si>
    <t>nr</t>
  </si>
  <si>
    <t>Verksamhetens nettokostnader</t>
  </si>
  <si>
    <t>Skatteintäkter</t>
  </si>
  <si>
    <t>Finansiella intäkter</t>
  </si>
  <si>
    <t>Finansiella kostnader</t>
  </si>
  <si>
    <t>Årets resultat</t>
  </si>
  <si>
    <t>Rad</t>
  </si>
  <si>
    <t>Anläggningstillgångar</t>
  </si>
  <si>
    <t>Immateriella anläggningstillgångar</t>
  </si>
  <si>
    <t>Mark, byggn. och tekn. anläggningar</t>
  </si>
  <si>
    <t>Maskiner och inventarier</t>
  </si>
  <si>
    <t>Summa materiella anläggningstillg.</t>
  </si>
  <si>
    <t>Aktier och andelar, bostadsrätter</t>
  </si>
  <si>
    <t>Långfristiga fordringar</t>
  </si>
  <si>
    <t>Summa finansiella anläggningstillg.</t>
  </si>
  <si>
    <t>Summering av verksamhetens intäkter</t>
  </si>
  <si>
    <t>Summering av verksamhetens kostnader</t>
  </si>
  <si>
    <t>SUMMA ANLÄGGNINGSTILLGÅNGAR</t>
  </si>
  <si>
    <t>15</t>
  </si>
  <si>
    <t>Kundfordringar</t>
  </si>
  <si>
    <t>16</t>
  </si>
  <si>
    <t>Diverse kortfristiga fordringar</t>
  </si>
  <si>
    <t>165</t>
  </si>
  <si>
    <t>182</t>
  </si>
  <si>
    <t>Aktier och andelar</t>
  </si>
  <si>
    <t>183</t>
  </si>
  <si>
    <t>Obligationer, förlagsbevis m.m.</t>
  </si>
  <si>
    <t>184</t>
  </si>
  <si>
    <t>Certifikat</t>
  </si>
  <si>
    <t>14-19</t>
  </si>
  <si>
    <t>SUMMA OMSÄTTNINGSTILLG.</t>
  </si>
  <si>
    <t>10-19</t>
  </si>
  <si>
    <t>SUMMA TILLGÅNGAR</t>
  </si>
  <si>
    <t>Eget kapital, ingående värde</t>
  </si>
  <si>
    <t>221</t>
  </si>
  <si>
    <t>222</t>
  </si>
  <si>
    <t>225</t>
  </si>
  <si>
    <t>228</t>
  </si>
  <si>
    <t>Andra avsättningar</t>
  </si>
  <si>
    <t>2281</t>
  </si>
  <si>
    <t>SUMMA AVSÄTTNINGAR</t>
  </si>
  <si>
    <t>Lån i banker och kreditinstitut</t>
  </si>
  <si>
    <t>Lån i utländsk valuta</t>
  </si>
  <si>
    <t>Långfristiga skulder till koncernföretag</t>
  </si>
  <si>
    <t>237</t>
  </si>
  <si>
    <t>Långfristig leasingskuld</t>
  </si>
  <si>
    <t>Långfristiga skulder, totalt</t>
  </si>
  <si>
    <t>24</t>
  </si>
  <si>
    <t>Kortfristiga skulder till kreditinstitut och kunder</t>
  </si>
  <si>
    <t>25</t>
  </si>
  <si>
    <t>Leverantörsskulder</t>
  </si>
  <si>
    <t>292</t>
  </si>
  <si>
    <t>Upplupna semesterlöner</t>
  </si>
  <si>
    <t>2933</t>
  </si>
  <si>
    <t>296</t>
  </si>
  <si>
    <t>Not 1</t>
  </si>
  <si>
    <t>Not 2</t>
  </si>
  <si>
    <t>Övriga kortfristiga skulder</t>
  </si>
  <si>
    <t>24-29</t>
  </si>
  <si>
    <t>Kortfristiga skulder, totalt</t>
  </si>
  <si>
    <t>23-29</t>
  </si>
  <si>
    <t>SUMMA SKULDER</t>
  </si>
  <si>
    <t>20,22-29</t>
  </si>
  <si>
    <t>SKULDER, AVSÄTT.O EGET KAPITAL</t>
  </si>
  <si>
    <t>Borgen o andra förpliktelser gentemot kommunala bostadsföretag</t>
  </si>
  <si>
    <t>Borgen o andra förplikt. gentemot övriga bostadsföretag/föreningar</t>
  </si>
  <si>
    <t>Borgen o andra förpliktelser gentemot övriga kommunala företag</t>
  </si>
  <si>
    <t>SUMMA ANSVARSFÖRBINDELSER</t>
  </si>
  <si>
    <t>Förrättnings- och granskningsavgifter</t>
  </si>
  <si>
    <t>Taxor och avgifter, övrigt</t>
  </si>
  <si>
    <t>Taxor och avgifter</t>
  </si>
  <si>
    <t>Bostads- och lokalhyror</t>
  </si>
  <si>
    <t>Markhyror och arrenden mm.</t>
  </si>
  <si>
    <t>343-349</t>
  </si>
  <si>
    <t>Hyror och arrenden</t>
  </si>
  <si>
    <t>Bidrag</t>
  </si>
  <si>
    <t>Bidrag till enskilda</t>
  </si>
  <si>
    <t>Bostadssociala bidrag</t>
  </si>
  <si>
    <t>Löner mm.</t>
  </si>
  <si>
    <t>Personal</t>
  </si>
  <si>
    <t>Livsmedel</t>
  </si>
  <si>
    <t>Kontorsmaterial</t>
  </si>
  <si>
    <t>Material, övrigt</t>
  </si>
  <si>
    <t>Material</t>
  </si>
  <si>
    <t>Tele-, It-kommunikation o. postbefordran</t>
  </si>
  <si>
    <t>Markhyror</t>
  </si>
  <si>
    <t>Tjänster, övrigt</t>
  </si>
  <si>
    <t>Tjänster, inkl köp av verksamhet</t>
  </si>
  <si>
    <t>Allmän kommunalskatt</t>
  </si>
  <si>
    <t>Inkomstutjämningsavgift</t>
  </si>
  <si>
    <t>Regleringsavgift</t>
  </si>
  <si>
    <t>Kostnadsutjämningsavgift</t>
  </si>
  <si>
    <t>Avgift till LSS-utjämningen</t>
  </si>
  <si>
    <t>Avgifter i utjämningssystemen</t>
  </si>
  <si>
    <t>Inkomstutjämningsbidrag</t>
  </si>
  <si>
    <t>Strukturbidrag</t>
  </si>
  <si>
    <t>Införandebidrag</t>
  </si>
  <si>
    <t>Regleringsbidrag</t>
  </si>
  <si>
    <t>Kostnadsutjämningsbidrag</t>
  </si>
  <si>
    <t>Bidrag för LSS-utjämning</t>
  </si>
  <si>
    <t>Bidrag från utjämningssystemen och generella statliga bidrag</t>
  </si>
  <si>
    <t>Utdelning på aktier och andelar</t>
  </si>
  <si>
    <t>Ränteintäkter</t>
  </si>
  <si>
    <t>Ränteintäkter på kundfordringar</t>
  </si>
  <si>
    <t>855, 857</t>
  </si>
  <si>
    <t>U</t>
  </si>
  <si>
    <t>V</t>
  </si>
  <si>
    <t>W</t>
  </si>
  <si>
    <t>X</t>
  </si>
  <si>
    <t>Z</t>
  </si>
  <si>
    <t>ZF</t>
  </si>
  <si>
    <t>ZM</t>
  </si>
  <si>
    <t>Y</t>
  </si>
  <si>
    <t>YJ</t>
  </si>
  <si>
    <t>Koncernen</t>
  </si>
  <si>
    <t xml:space="preserve">Orealiserade valutakursvinster  </t>
  </si>
  <si>
    <t>Tillgångar</t>
  </si>
  <si>
    <t>Förråd, lager, exploateringsfastigh.</t>
  </si>
  <si>
    <t>1351</t>
  </si>
  <si>
    <t>246</t>
  </si>
  <si>
    <t>Årets resultat / Skatteintäkter, generella statsbidrag och utj.</t>
  </si>
  <si>
    <t>Investeringar i % av skatteintäkter, generella statsbidrag och utj.</t>
  </si>
  <si>
    <t>Grundskola inkl förskoleklass och grundsärskola</t>
  </si>
  <si>
    <t xml:space="preserve">Bidrag från utjämningssystemen och generella </t>
  </si>
  <si>
    <t>statliga bidrag</t>
  </si>
  <si>
    <t xml:space="preserve">Realiserade valutakursförluster </t>
  </si>
  <si>
    <t>Orealiserade valutakursförluster</t>
  </si>
  <si>
    <t xml:space="preserve">Verksamhetens intäkter </t>
  </si>
  <si>
    <t xml:space="preserve">Verksamhetens kostnader </t>
  </si>
  <si>
    <t>Däravposter till verksamhetens kostnader</t>
  </si>
  <si>
    <t>Förändring</t>
  </si>
  <si>
    <t>procent</t>
  </si>
  <si>
    <t>Borgensförbindelser och övriga ansvarsförbindelser</t>
  </si>
  <si>
    <t xml:space="preserve">Förskola, fritidshem o annan ped.verksamhet totalt </t>
  </si>
  <si>
    <t>Förskola, fritidshem o annan pedagogisk verksamhet, totalt</t>
  </si>
  <si>
    <t xml:space="preserve">Korttidsboende / Korttidsvård </t>
  </si>
  <si>
    <t>Elevhälsa</t>
  </si>
  <si>
    <t>563 [ej 5635]</t>
  </si>
  <si>
    <t>del av 15</t>
  </si>
  <si>
    <t>del av 25</t>
  </si>
  <si>
    <t>30, 369</t>
  </si>
  <si>
    <t>Övriga hyror och arrenden</t>
  </si>
  <si>
    <t>Däravposter till verksamhetens intäkter</t>
  </si>
  <si>
    <t>Försäljning av verksamhet, motpart kommun</t>
  </si>
  <si>
    <t>4541</t>
  </si>
  <si>
    <t>Förändring av avsättning</t>
  </si>
  <si>
    <t>Försäljningsintäker,  övriga ersättningar och intäkter</t>
  </si>
  <si>
    <t>Särsk. löneskatt, exkl. särsk.lönesk.pens.avs.</t>
  </si>
  <si>
    <t>Försäljn. av verksamheter och tjänster</t>
  </si>
  <si>
    <t>Bidrag till föreningar, komm.förb., företag m.fl.</t>
  </si>
  <si>
    <t>Lämnade bidrag</t>
  </si>
  <si>
    <t>Pensionsförsäkringspremier</t>
  </si>
  <si>
    <t>Köp av huvudverksamhet</t>
  </si>
  <si>
    <t>Reparation och underhåll</t>
  </si>
  <si>
    <t>Avsättning för särskild löneskatt på pensioner</t>
  </si>
  <si>
    <t>Upplupen pensionskostnad avgiftsbestämd ålderspension</t>
  </si>
  <si>
    <t>761</t>
  </si>
  <si>
    <t>Kommunal fastighetsavgift</t>
  </si>
  <si>
    <t>Förbrukningsinventarier</t>
  </si>
  <si>
    <t>Räntekostnader</t>
  </si>
  <si>
    <t>Aktier, andelar och bostadsrätter [132, 137]</t>
  </si>
  <si>
    <t xml:space="preserve">Köp av huvud-verksamhet </t>
  </si>
  <si>
    <t>[30, 34 ej 341, 35-36</t>
  </si>
  <si>
    <t>Lämnade bidrag  [45]</t>
  </si>
  <si>
    <t>Mortpart 85</t>
  </si>
  <si>
    <t>Extern motpart, interv.5-7</t>
  </si>
  <si>
    <t>Motpart 87</t>
  </si>
  <si>
    <t>Motpart 82</t>
  </si>
  <si>
    <t>Motpart 84</t>
  </si>
  <si>
    <t>Motpart 81</t>
  </si>
  <si>
    <t>Motpart 86</t>
  </si>
  <si>
    <t>Motpart 83</t>
  </si>
  <si>
    <t>Extern motpart interv. 9</t>
  </si>
  <si>
    <t>[361]                       Motpart 84</t>
  </si>
  <si>
    <t>[351]                       Motpart 81</t>
  </si>
  <si>
    <t>Köp av huvud-</t>
  </si>
  <si>
    <t>238</t>
  </si>
  <si>
    <t>232, 239</t>
  </si>
  <si>
    <t>Uppl.särsk.lönesk.avgiftsbest.ålderspens.</t>
  </si>
  <si>
    <t>Upplupna sociala avgifter</t>
  </si>
  <si>
    <t>Bränsle, energi och vatten, Drivmedel</t>
  </si>
  <si>
    <t>62, 691</t>
  </si>
  <si>
    <t>361, 363, 365</t>
  </si>
  <si>
    <t>Övriga främmande tjänster</t>
  </si>
  <si>
    <t>781, 782,784</t>
  </si>
  <si>
    <t>Pensionsutbetalningar intjänade fr.o.m.98</t>
  </si>
  <si>
    <t>Pensutbetalningar intjänade före 98</t>
  </si>
  <si>
    <t>Pens.utbet. särsk. avtalspens., visstidspens.</t>
  </si>
  <si>
    <t>Generella bidrag från staten  m.m.</t>
  </si>
  <si>
    <t>[46]</t>
  </si>
  <si>
    <t>Köp av huvudverksamhet [46]</t>
  </si>
  <si>
    <t>verksamhet [46]</t>
  </si>
  <si>
    <t>617, 618</t>
  </si>
  <si>
    <t>63, 695</t>
  </si>
  <si>
    <t>[55x1, 5597, 60,"ej 601", 61"ej 617,618", 63, 66, 68, 69"ej 691", 70-72, 731-734, 74, 75, 76, 787</t>
  </si>
  <si>
    <t>Kostn.avs. ersättning för pers. assistenter</t>
  </si>
  <si>
    <t>361, 363</t>
  </si>
  <si>
    <t>361</t>
  </si>
  <si>
    <t>Därav köp av huvudverksamhet</t>
  </si>
  <si>
    <t>Motpartsredovisning av köp av huvudverksamhet [46]</t>
  </si>
  <si>
    <t>341</t>
  </si>
  <si>
    <t>651</t>
  </si>
  <si>
    <t>317</t>
  </si>
  <si>
    <t>327</t>
  </si>
  <si>
    <t>087</t>
  </si>
  <si>
    <t>062</t>
  </si>
  <si>
    <t>064</t>
  </si>
  <si>
    <t>Not 1: 26-27 (ej 271), 289, 29 (ej 292, 293, 296, 298)</t>
  </si>
  <si>
    <t xml:space="preserve">6192, 692, 696 </t>
  </si>
  <si>
    <r>
      <rPr>
        <b/>
        <sz val="7"/>
        <rFont val="Helvetica"/>
        <family val="2"/>
      </rPr>
      <t>Not 2</t>
    </r>
    <r>
      <rPr>
        <sz val="7"/>
        <rFont val="Helvetica"/>
        <family val="2"/>
      </rPr>
      <t>: 55x1, 5597, 61 ej [617, 618, 6192], 699, 70 ej 701, 71-72</t>
    </r>
  </si>
  <si>
    <t>Differens mellan summan av rad 900-984 och RR rad 070</t>
  </si>
  <si>
    <t>Enskilda personer, hushåll</t>
  </si>
  <si>
    <t>Staten, statl. Myndigheter (inkl.FK)</t>
  </si>
  <si>
    <t xml:space="preserve"> [30, 34 ej 341, 35-36] </t>
  </si>
  <si>
    <t>Externa bostadshyror och lokalhyror</t>
  </si>
  <si>
    <t>inkomster</t>
  </si>
  <si>
    <t>Avsättningar för pensioner och liknande förpliktelser</t>
  </si>
  <si>
    <t>Avsättningar för särskild avtalspens, visstidspens.o liknande</t>
  </si>
  <si>
    <t>Reaförluster o div. period. [78 "ej 787,"]</t>
  </si>
  <si>
    <t>138</t>
  </si>
  <si>
    <t>Grundfondskapital</t>
  </si>
  <si>
    <t>133, 134</t>
  </si>
  <si>
    <t>132, 137</t>
  </si>
  <si>
    <t>104</t>
  </si>
  <si>
    <t>31 [ej 311, 312]</t>
  </si>
  <si>
    <t>[31]</t>
  </si>
  <si>
    <t>Buss, bil och spårbundna persontransporter</t>
  </si>
  <si>
    <t>Väg- och järnvägsnät, parkering</t>
  </si>
  <si>
    <t xml:space="preserve">Lärverktyg </t>
  </si>
  <si>
    <t>Varor m.m.</t>
  </si>
  <si>
    <t>Kommun-                  nyckel</t>
  </si>
  <si>
    <t>SCB-             nyckel</t>
  </si>
  <si>
    <t xml:space="preserve">             Fördelning i kolumnen kommunnyckel </t>
  </si>
  <si>
    <t xml:space="preserve">             Fördelning i kolumnen SCB-nyckel</t>
  </si>
  <si>
    <t>20</t>
  </si>
  <si>
    <t>EGET KAPITAL, utgående värde</t>
  </si>
  <si>
    <t xml:space="preserve">        därav Resultatutjämningsreserv</t>
  </si>
  <si>
    <t>Invånarantal 1-5 år</t>
  </si>
  <si>
    <t>Invånarantal 6-12 år</t>
  </si>
  <si>
    <t>Invånarantal 6 år</t>
  </si>
  <si>
    <t>Invånarantal 7-15 år</t>
  </si>
  <si>
    <t>Invånarantal 16-18 år</t>
  </si>
  <si>
    <t>Särskild utbildning för vuxna</t>
  </si>
  <si>
    <t>Förskola, kostnad per invånare 1-5 år</t>
  </si>
  <si>
    <t>Förskola, kostnad per invånare 1-5 år kommunal regi</t>
  </si>
  <si>
    <t>Förskola, kostnad för lokaler/invånare 1-5 år kommunal regi</t>
  </si>
  <si>
    <t>Förskola, köp av platser i annan kommun per invånare 1-5 år</t>
  </si>
  <si>
    <t>Förskola, försäljning av platser till annan kommun per invånare 1-5 år</t>
  </si>
  <si>
    <t>Förskola, köp av platser i enskild regi per invånare 1-5 år</t>
  </si>
  <si>
    <t>Kostnad per invånare 16-18 år kommunal regi.</t>
  </si>
  <si>
    <t>Kostnad per invånare 16-18 år för undervisning kommunal regi.</t>
  </si>
  <si>
    <t>Kostnad per invånare 16-18 år för lärverktyg kommunal regi.</t>
  </si>
  <si>
    <t>Kostnad per invånare 16-18 år för skolmåltider kommunal regi.</t>
  </si>
  <si>
    <t>Kostnad per invånare 16-18 år skolskjuts hemkommunen.</t>
  </si>
  <si>
    <t>Kostnad per invånare 16-18 år för elevhälsa kommunal regi.</t>
  </si>
  <si>
    <t>Lokalkostnad per invånare 16-18 år kommunal regi.</t>
  </si>
  <si>
    <t>Kostnad per invånare 16-18 år för övrigt kommunal regi.</t>
  </si>
  <si>
    <t>Kostnad per invånare 16-18 år för hemkommunen.</t>
  </si>
  <si>
    <t>Köp av platser i fristående skola per invånare 16-18 år</t>
  </si>
  <si>
    <t>Köp av platser i fristående skola per invånare 16-18 år.</t>
  </si>
  <si>
    <t>Kostnad per invånare 19-64 år kommunal regi</t>
  </si>
  <si>
    <t>Kostnad per invånare 19-64 år för undervisning.</t>
  </si>
  <si>
    <t>Kostnad per invånare 19-64 år för lärverktyg</t>
  </si>
  <si>
    <t>Kostnad per invånare 19-64 år för elevhälsa.</t>
  </si>
  <si>
    <t>Kostnad per invånare 19-64 år för lokaler.</t>
  </si>
  <si>
    <t>Kostnad per invånare 19-64 år för övigt.</t>
  </si>
  <si>
    <t>Kostnad per invånare 19-64 år för hemkommunen, grundläggande och gymnasial vuxenutbildning.</t>
  </si>
  <si>
    <t>Kostnad per invånare 7-15 år kommunal regi.</t>
  </si>
  <si>
    <t>Kostnad per  invånare 7-15 år för undervisning kommunal regi.</t>
  </si>
  <si>
    <t>Kostnad per  invånare 7-15 år för lärverktyg kommunal regi.</t>
  </si>
  <si>
    <t>Kostnad per  invånare 7-15 år för skolmåltider kommunal regi.</t>
  </si>
  <si>
    <t>Kostnad per  invånare 7-15 år för skolskjuts hemkommun.</t>
  </si>
  <si>
    <t>Kostnad per  invånare 7-15 år för elevhälsa kommunal regi.</t>
  </si>
  <si>
    <t>Kostnad per  invånare 7-15 år för lokaler kommunal regi.</t>
  </si>
  <si>
    <t>Kostnad per  invånare 7-15 år för övrigt kommunal regi.</t>
  </si>
  <si>
    <t>Kostnad per  invånare 7-15 år för hemkommunen.</t>
  </si>
  <si>
    <t>Köp av platser i annan kommun per  invånare 7-15 år.</t>
  </si>
  <si>
    <t>Försäljning av platser till annan kommun per  invånare 7-15 år.</t>
  </si>
  <si>
    <t>Köp av platser i fristående skola per  invånare 7-15 år.</t>
  </si>
  <si>
    <t>Förskoleklass, kostnad per invånare 6 år för hemkommunen</t>
  </si>
  <si>
    <t>Förskoleklass, kostnad per invånare 6 år kommunal regi</t>
  </si>
  <si>
    <t>Förskolklass, kostnad för lokaler/invånare 6 år i kommunal regi.</t>
  </si>
  <si>
    <t>Förskoleklass, köp av platser i annan kommun per invånare 6 år</t>
  </si>
  <si>
    <t>Förskoleklass, försäljning av platser till annan kommun per invånare 6 år.</t>
  </si>
  <si>
    <t>Förskoleklass, köp av platser i enskild regi per invånare 6 år.</t>
  </si>
  <si>
    <t>Fritidshem, kostnad per invånare 6-12 år för hemkommunen</t>
  </si>
  <si>
    <t>Fritidshem, kostnad per invånare 6-12 år kommunal regi</t>
  </si>
  <si>
    <t>Fritidshem, kostnad för lokaler/invånare 6-12 år kommunal regi</t>
  </si>
  <si>
    <t>Fritidshem, köp av platser i annan kommun per invånare 6-12 år</t>
  </si>
  <si>
    <t>Fritidshem, försäljning av platser till annan kommun per invånare 6-12 år</t>
  </si>
  <si>
    <t>Fritidshem, köp av platser i enskild regi per invånare 6-12 år</t>
  </si>
  <si>
    <t>147</t>
  </si>
  <si>
    <t>+ Inköp / nyanskaffning inklusive pågående arbeten</t>
  </si>
  <si>
    <t>(Reavinst vid) försäljning av anläggningstillgångar</t>
  </si>
  <si>
    <t>Exploateringsfastigheter(avser kommun)</t>
  </si>
  <si>
    <t>Inköp av maskiner o</t>
  </si>
  <si>
    <t>Inköp av mark, byggn.</t>
  </si>
  <si>
    <t>Investerings-</t>
  </si>
  <si>
    <t>utgifter</t>
  </si>
  <si>
    <t>Därav borgensåtaganden för lån</t>
  </si>
  <si>
    <t xml:space="preserve">      varav för lån</t>
  </si>
  <si>
    <t>042</t>
  </si>
  <si>
    <t xml:space="preserve">           varav  för lån av offentligt ägda bolag</t>
  </si>
  <si>
    <t>Återbet borgensåt.</t>
  </si>
  <si>
    <t>161</t>
  </si>
  <si>
    <t>162</t>
  </si>
  <si>
    <t>Kostnad per invånare 7-15 år för undervisning kommunal regi.</t>
  </si>
  <si>
    <t>Kostnad per invånare 7-15 år för lärverktyg kommunal regi.</t>
  </si>
  <si>
    <t>Kostnad per invånare 7-15 år för skolmåltider kommunal regi.</t>
  </si>
  <si>
    <t>Kostnad per invånare 7-15 år skolskjuts hemkommunen.</t>
  </si>
  <si>
    <t>Kostnad per invånare 7-15 år för elevhälsa kommunal regi.</t>
  </si>
  <si>
    <t>Lokalkostnad per invånare 7-15 år kommunal regi.</t>
  </si>
  <si>
    <t>Kostnad per invånare 7-15 år för övrigt kommunal regi.</t>
  </si>
  <si>
    <t>Kostnad per invånare 7-15 år för hemkommunen.</t>
  </si>
  <si>
    <t>Köp av platser i annan kommun per invånare 7-15 år.</t>
  </si>
  <si>
    <t>Försäljning av platser till annan kommun per invånare 7-15 år.</t>
  </si>
  <si>
    <t>Köp av platser i fristående skola per invånare 7-15 år.</t>
  </si>
  <si>
    <t>Pensionsutbetalningar</t>
  </si>
  <si>
    <t>Uppdragsutbildning m.m.</t>
  </si>
  <si>
    <t>Avgifter till utjämningssystemen</t>
  </si>
  <si>
    <t>(Reavinst vid) Försälj. av anl.tillg.[38]</t>
  </si>
  <si>
    <t>Nyckeltal kostnad kr per invånare eller andel av verksamhet</t>
  </si>
  <si>
    <t>BIDRAG TILL INFRASTRUKTUR</t>
  </si>
  <si>
    <t>Bidrag till infrastruktur</t>
  </si>
  <si>
    <t>Kostnadsföring bidrag till infrastruktur</t>
  </si>
  <si>
    <t>Upplösning aktiverat bidrag till infrastruktur</t>
  </si>
  <si>
    <t>Däravposter till finansiella intäkter</t>
  </si>
  <si>
    <t>733,734, 765</t>
  </si>
  <si>
    <t>Utdeln.aktier,andel.koncernftg.</t>
  </si>
  <si>
    <t>Kostnad för eget åtagande</t>
  </si>
  <si>
    <t>Kostnad för</t>
  </si>
  <si>
    <t xml:space="preserve">Kostnad för </t>
  </si>
  <si>
    <t xml:space="preserve">BRUTTO- 
</t>
  </si>
  <si>
    <t>Begravningsavgift (Stockholm och Tranås)</t>
  </si>
  <si>
    <t>Netto-kostnad</t>
  </si>
  <si>
    <t xml:space="preserve">Produktions-kostnad </t>
  </si>
  <si>
    <t>Bruttokostnad ./. Bruttointäkt</t>
  </si>
  <si>
    <t>Bruttokostnad ./. Köp av huvud-verksamhet ./. Lämnade bidrag ./. Interna intäkter</t>
  </si>
  <si>
    <t xml:space="preserve">        kronor / invånare</t>
  </si>
  <si>
    <t xml:space="preserve">           Nyckeltal</t>
  </si>
  <si>
    <t>Bruttokostnad ./. Interna</t>
  </si>
  <si>
    <t xml:space="preserve">            Nyckeltal </t>
  </si>
  <si>
    <t>808, 809</t>
  </si>
  <si>
    <t xml:space="preserve">Mellankommunal kostn.utj., Övriga skatter </t>
  </si>
  <si>
    <t>Kostnader för eget åtagande</t>
  </si>
  <si>
    <t>åtagande</t>
  </si>
  <si>
    <t>eget</t>
  </si>
  <si>
    <t>Intern hantering inom kommunen: Synnerliga skäl att inte täcka underskott eller andra interna justeringar</t>
  </si>
  <si>
    <t>avgår: övriga justeringar</t>
  </si>
  <si>
    <t>tillägg: övriga justeringar</t>
  </si>
  <si>
    <t>varav synnerliga skäl för att inte behöva återställa ett negativt resultat</t>
  </si>
  <si>
    <t>Kommentarer flyktingmott. o arbetsm.åtg:</t>
  </si>
  <si>
    <t>Kommentarer kultur o fritids-verksamhet:</t>
  </si>
  <si>
    <t>Kommentarer förskola, fritids-hem o annan ped.verks.:</t>
  </si>
  <si>
    <t xml:space="preserve">Kommentarer affärs-verksamhet: </t>
  </si>
  <si>
    <t>Kommentarer infrastruktur och skydd:</t>
  </si>
  <si>
    <t>Statsbidrag maxtaxa kolumn AB 
Statsbidrag kvalitetssäkran-de åtgärder kolumn AC</t>
  </si>
  <si>
    <r>
      <t xml:space="preserve">Nyckeltal, kronor / invånare
</t>
    </r>
    <r>
      <rPr>
        <sz val="7"/>
        <rFont val="Helvetica"/>
        <family val="2"/>
      </rPr>
      <t>och Kommentarrutor</t>
    </r>
  </si>
  <si>
    <t>Kommentarer VoO inkl. IFO</t>
  </si>
  <si>
    <t>342</t>
  </si>
  <si>
    <t>Anskaffningskostn, försåld exploat.fastigh.</t>
  </si>
  <si>
    <t>Avskrivningar, inklusive nedskrivningar</t>
  </si>
  <si>
    <t>bindelser (inklusive borgens- o förlustansvar                   småhus)</t>
  </si>
  <si>
    <t>Pensionsförplikt.    Inkl. löneskatt på</t>
  </si>
  <si>
    <t xml:space="preserve"> som inte har upptagits bland skulder el. avsättningar                pensionsförpliktelse</t>
  </si>
  <si>
    <t>Övr. ansvarsför-    för egnahem o</t>
  </si>
  <si>
    <t xml:space="preserve">Entrepren., Konsulter </t>
  </si>
  <si>
    <t>[617,618,74,75]</t>
  </si>
  <si>
    <t>[402]</t>
  </si>
  <si>
    <t>[403]</t>
  </si>
  <si>
    <t>Samtliga invest. entrepr. och  invest.konsulter ingår)</t>
  </si>
  <si>
    <t>067</t>
  </si>
  <si>
    <t>15-17</t>
  </si>
  <si>
    <t>Summa kortfristiga fordringar</t>
  </si>
  <si>
    <t>18</t>
  </si>
  <si>
    <t>131</t>
  </si>
  <si>
    <t>Avsättn. bidrag till infrastruktur</t>
  </si>
  <si>
    <t>132</t>
  </si>
  <si>
    <t>133</t>
  </si>
  <si>
    <t>134</t>
  </si>
  <si>
    <t>242</t>
  </si>
  <si>
    <t>Nyupptagna lån</t>
  </si>
  <si>
    <r>
      <rPr>
        <b/>
        <sz val="7"/>
        <rFont val="Helvetica"/>
        <family val="2"/>
      </rPr>
      <t>Kommun</t>
    </r>
    <r>
      <rPr>
        <sz val="7"/>
        <rFont val="Helvetica"/>
        <family val="2"/>
      </rPr>
      <t xml:space="preserve">
Mark, byggn. och tekn. Anläggningar [11]</t>
    </r>
  </si>
  <si>
    <r>
      <rPr>
        <b/>
        <sz val="7"/>
        <rFont val="Helvetica"/>
        <family val="2"/>
      </rPr>
      <t>Kommun</t>
    </r>
    <r>
      <rPr>
        <sz val="7"/>
        <rFont val="Helvetica"/>
        <family val="2"/>
      </rPr>
      <t xml:space="preserve">
Maskiner och inventarier [12]</t>
    </r>
  </si>
  <si>
    <r>
      <rPr>
        <b/>
        <sz val="7"/>
        <rFont val="Helvetica"/>
        <family val="2"/>
      </rPr>
      <t>Kommun</t>
    </r>
    <r>
      <rPr>
        <sz val="7"/>
        <rFont val="Helvetica"/>
        <family val="2"/>
      </rPr>
      <t xml:space="preserve">
Finansiella anläggnings-tillg.                 [13 ej 139]</t>
    </r>
  </si>
  <si>
    <t xml:space="preserve">
Därav</t>
  </si>
  <si>
    <r>
      <t xml:space="preserve">Koncern
</t>
    </r>
    <r>
      <rPr>
        <sz val="7"/>
        <color indexed="8"/>
        <rFont val="Helvetica"/>
        <family val="2"/>
      </rPr>
      <t>Materiella anläggningstillg.[11,12]</t>
    </r>
  </si>
  <si>
    <r>
      <t xml:space="preserve">Koncern
</t>
    </r>
    <r>
      <rPr>
        <sz val="7"/>
        <color indexed="8"/>
        <rFont val="Helvetica"/>
        <family val="2"/>
      </rPr>
      <t>Finansiella anläggningstillg.[13, ej 139]</t>
    </r>
  </si>
  <si>
    <t>Rad-nr</t>
  </si>
  <si>
    <t>Inköp och försäljning av mark oavsett bokfört som omsättningstillgång eller anläggningstillgång</t>
  </si>
  <si>
    <t>Inköp av mark</t>
  </si>
  <si>
    <t>Försäljning av mark, brutto inklusive rearesultat</t>
  </si>
  <si>
    <t xml:space="preserve">Vid redovisning av försäljning av mark ska enbart själva markens inkomst redovisas.  </t>
  </si>
  <si>
    <t>715</t>
  </si>
  <si>
    <t>720</t>
  </si>
  <si>
    <t>725</t>
  </si>
  <si>
    <t xml:space="preserve">Beloppen ska delas in utifrån den verksamhet som företagen klassificeras som enligt de alternativ som finns nedan.  T ex ska 50 % av ett bostadsföretags investeringsbelopp, som ägs </t>
  </si>
  <si>
    <t>Bransch</t>
  </si>
  <si>
    <t>Företagen/    dotterbolagen</t>
  </si>
  <si>
    <t>730</t>
  </si>
  <si>
    <t>Fastighetsverksamhet</t>
  </si>
  <si>
    <t>735</t>
  </si>
  <si>
    <t>Energi och vatten</t>
  </si>
  <si>
    <t>740</t>
  </si>
  <si>
    <t>Transport och kommunikation</t>
  </si>
  <si>
    <t>745</t>
  </si>
  <si>
    <t>Övriga</t>
  </si>
  <si>
    <t>750</t>
  </si>
  <si>
    <t>Summa</t>
  </si>
  <si>
    <t>(exkl. förs. av anl.tillgångar)</t>
  </si>
  <si>
    <t>Intäkter till Kolada</t>
  </si>
  <si>
    <t>Bruttointäkt minus Interna intäkter och försäljning till andra kommuner och landsting</t>
  </si>
  <si>
    <t>Därav personal-kostnader</t>
  </si>
  <si>
    <t>Netto-</t>
  </si>
  <si>
    <t>Dagverksamhet, ordinärt boende</t>
  </si>
  <si>
    <t>del av 453   [ej 4538]</t>
  </si>
  <si>
    <t>- Försäljningspris / avyttringsbelopp</t>
  </si>
  <si>
    <t>Däravposter till avsättningar och skulder</t>
  </si>
  <si>
    <t>Därav köp av huvudverk-samhet</t>
  </si>
  <si>
    <r>
      <t>Bidrag motpart staten och statliga myndigheter</t>
    </r>
    <r>
      <rPr>
        <b/>
        <sz val="7"/>
        <rFont val="Helvetica"/>
        <family val="2"/>
      </rPr>
      <t xml:space="preserve"> exkl.</t>
    </r>
    <r>
      <rPr>
        <sz val="7"/>
        <rFont val="Helvetica"/>
        <family val="2"/>
      </rPr>
      <t xml:space="preserve"> ersättning till FK för pers.assistenter</t>
    </r>
  </si>
  <si>
    <t xml:space="preserve">   därav investeringsbidrag från staten o statl.myndigheter</t>
  </si>
  <si>
    <t xml:space="preserve">   därav investeringsbidrag från EU</t>
  </si>
  <si>
    <t>del av 238</t>
  </si>
  <si>
    <t>del av 23</t>
  </si>
  <si>
    <t>del av 228</t>
  </si>
  <si>
    <t>755</t>
  </si>
  <si>
    <t>Lån för vidarutlåning till koncernföretagen</t>
  </si>
  <si>
    <t>lämnas nedan</t>
  </si>
  <si>
    <t xml:space="preserve">Uppgifterna för koncernen </t>
  </si>
  <si>
    <r>
      <rPr>
        <b/>
        <sz val="7"/>
        <rFont val="Helvetica"/>
        <family val="2"/>
      </rPr>
      <t xml:space="preserve">Koncern: </t>
    </r>
    <r>
      <rPr>
        <sz val="7"/>
        <rFont val="Helvetica"/>
        <family val="2"/>
      </rPr>
      <t>Kortfrist. skulder till kreditinst. o kunder</t>
    </r>
  </si>
  <si>
    <t xml:space="preserve">                                Varav kortfristig del av långfr. skuld</t>
  </si>
  <si>
    <t>Kortfristig del av långfristig skuld</t>
  </si>
  <si>
    <t>Checkkredit, övriga långfristiga skulder</t>
  </si>
  <si>
    <t>Om ingen exakt uppdelning finns mellan mark och eventuell byggnad/anläggning så får en uppskattning med utgångspunkt ur bokfört värde göras.</t>
  </si>
  <si>
    <r>
      <t xml:space="preserve">Det som avses är de investeringar som har gjorts av de företag/bolag/stiftelser/kommunalförbund som konsolideras i den sammanställda redovisningen. </t>
    </r>
    <r>
      <rPr>
        <b/>
        <sz val="8"/>
        <rFont val="Helvetica"/>
        <family val="2"/>
      </rPr>
      <t xml:space="preserve">Endast kommunens andel  anges. </t>
    </r>
  </si>
  <si>
    <t>Öronmärkt belopp för framtida pensionsutbetalningar enligt kommunens årsredovisning</t>
  </si>
  <si>
    <t>- Förlust vid avyttring och utrangering av anl.tillgångar</t>
  </si>
  <si>
    <t>Div. förluster, övr.riskk. [735,736,737,738,739]</t>
  </si>
  <si>
    <t>Hälso- och sjukvård, övrigt (utöver den hemsjukvård som ingår på radnr 510, 520 eller 513)</t>
  </si>
  <si>
    <t>Totalt (exklusive försäljning av anl.tillg.)</t>
  </si>
  <si>
    <r>
      <t>Infrastruktur, skydd m.m.</t>
    </r>
    <r>
      <rPr>
        <sz val="7"/>
        <rFont val="Helvetica"/>
        <family val="2"/>
      </rPr>
      <t xml:space="preserve">                                                      Fysisk o. teknisk planering, bostadsförbättr.</t>
    </r>
  </si>
  <si>
    <t>inv. 65-w år</t>
  </si>
  <si>
    <t>inv. 0-64 år</t>
  </si>
  <si>
    <t>inv. 23-w år</t>
  </si>
  <si>
    <t>inv. 0-22 år</t>
  </si>
  <si>
    <t>inv. 23-64 år</t>
  </si>
  <si>
    <t>Enligt Verksamhetens intäkter och kostnader</t>
  </si>
  <si>
    <t>Driftbidrag fr. staten, statl. mynd. Inkl.AF</t>
  </si>
  <si>
    <t>Därav                                köp av huvud-verksamhet</t>
  </si>
  <si>
    <t>Differens mellan summan av rad 800-844 och RR rad 060:</t>
  </si>
  <si>
    <t>Larm o bevakning, Brandskydd, Avgifter för kurser m.m.</t>
  </si>
  <si>
    <t>Självrisker</t>
  </si>
  <si>
    <t>Infriad borgen</t>
  </si>
  <si>
    <t>Avgifter</t>
  </si>
  <si>
    <t>Kundförluster, Straffavgifter m.m., Förluster på kortfr.fordringar, Övr. riskkostnader</t>
  </si>
  <si>
    <t>Nämnare nyckeltal och kommentar till kontroller</t>
  </si>
  <si>
    <t>Följande jämförelsestörande poster ingår i Resultaträkningen ovan:</t>
  </si>
  <si>
    <t>170</t>
  </si>
  <si>
    <t>175</t>
  </si>
  <si>
    <t>180</t>
  </si>
  <si>
    <r>
      <t>Därav Utdebiterat till verksamheterna (raderna)</t>
    </r>
    <r>
      <rPr>
        <sz val="7"/>
        <color rgb="FFFFFFCC"/>
        <rFont val="Helvetica"/>
        <family val="2"/>
      </rPr>
      <t xml:space="preserve"> …………..</t>
    </r>
    <r>
      <rPr>
        <sz val="7"/>
        <rFont val="Helvetica"/>
        <family val="2"/>
      </rPr>
      <t xml:space="preserve">100-910 i regel i kol.M </t>
    </r>
  </si>
  <si>
    <t>del av 16</t>
  </si>
  <si>
    <t>Fördelad gemensam verksamhet (rad 920)</t>
  </si>
  <si>
    <t>735, 736, 738, 739</t>
  </si>
  <si>
    <r>
      <t xml:space="preserve">till 50 % av kommunen, anges på raden för fastighetsverksamhet. I beloppet ska bolagets samtliga investeringsutgifter/inkomster </t>
    </r>
    <r>
      <rPr>
        <i/>
        <sz val="8"/>
        <color rgb="FFFF0000"/>
        <rFont val="Helvetica"/>
        <family val="2"/>
      </rPr>
      <t>avseende materiella och immateriella anläggningstillgångar</t>
    </r>
    <r>
      <rPr>
        <sz val="8"/>
        <rFont val="Helvetica"/>
        <family val="2"/>
      </rPr>
      <t xml:space="preserve"> ingå,dvs. inte enbart fastighetsinvesteringar.</t>
    </r>
  </si>
  <si>
    <t>utgifter i mat.</t>
  </si>
  <si>
    <r>
      <t xml:space="preserve">o immat. anl.    tillg.              </t>
    </r>
    <r>
      <rPr>
        <sz val="7"/>
        <rFont val="Helvetica"/>
        <family val="2"/>
      </rPr>
      <t xml:space="preserve">  (före konsolidering)</t>
    </r>
  </si>
  <si>
    <r>
      <rPr>
        <b/>
        <sz val="7"/>
        <rFont val="Helvetica"/>
        <family val="2"/>
      </rPr>
      <t>Därav</t>
    </r>
    <r>
      <rPr>
        <sz val="7"/>
        <rFont val="Helvetica"/>
        <family val="2"/>
      </rPr>
      <t xml:space="preserve"> Jämförelsestörande intäkter </t>
    </r>
    <r>
      <rPr>
        <b/>
        <sz val="7"/>
        <rFont val="Helvetica"/>
        <family val="2"/>
      </rPr>
      <t>på rad 010</t>
    </r>
  </si>
  <si>
    <r>
      <rPr>
        <b/>
        <sz val="7"/>
        <rFont val="Helvetica"/>
        <family val="2"/>
      </rPr>
      <t>Därav</t>
    </r>
    <r>
      <rPr>
        <sz val="7"/>
        <rFont val="Helvetica"/>
        <family val="2"/>
      </rPr>
      <t xml:space="preserve"> Jämförelsestörande kostnader </t>
    </r>
    <r>
      <rPr>
        <b/>
        <sz val="7"/>
        <rFont val="Helvetica"/>
        <family val="2"/>
      </rPr>
      <t xml:space="preserve">på rad 020 </t>
    </r>
    <r>
      <rPr>
        <sz val="7"/>
        <rFont val="Helvetica"/>
        <family val="2"/>
      </rPr>
      <t xml:space="preserve"> </t>
    </r>
  </si>
  <si>
    <r>
      <rPr>
        <b/>
        <sz val="7"/>
        <rFont val="Helvetica"/>
        <family val="2"/>
      </rPr>
      <t>Därav</t>
    </r>
    <r>
      <rPr>
        <sz val="7"/>
        <rFont val="Helvetica"/>
        <family val="2"/>
      </rPr>
      <t xml:space="preserve"> Jämförelsestörande av-/nedskrivningar </t>
    </r>
    <r>
      <rPr>
        <b/>
        <sz val="7"/>
        <rFont val="Helvetica"/>
        <family val="2"/>
      </rPr>
      <t>på rad 025</t>
    </r>
  </si>
  <si>
    <r>
      <rPr>
        <b/>
        <sz val="7"/>
        <rFont val="Helvetica"/>
        <family val="2"/>
      </rPr>
      <t xml:space="preserve">Därav </t>
    </r>
    <r>
      <rPr>
        <sz val="7"/>
        <rFont val="Helvetica"/>
        <family val="2"/>
      </rPr>
      <t>Jämförelsestörande finansiella intäkter</t>
    </r>
    <r>
      <rPr>
        <b/>
        <sz val="7"/>
        <rFont val="Helvetica"/>
        <family val="2"/>
      </rPr>
      <t xml:space="preserve"> på rad 060</t>
    </r>
  </si>
  <si>
    <r>
      <rPr>
        <b/>
        <sz val="7"/>
        <rFont val="Helvetica"/>
        <family val="2"/>
      </rPr>
      <t xml:space="preserve">Därav </t>
    </r>
    <r>
      <rPr>
        <sz val="7"/>
        <rFont val="Helvetica"/>
        <family val="2"/>
      </rPr>
      <t>Jämförelsestörande finansiella kostnader</t>
    </r>
    <r>
      <rPr>
        <b/>
        <sz val="7"/>
        <rFont val="Helvetica"/>
        <family val="2"/>
      </rPr>
      <t xml:space="preserve"> på rad 070</t>
    </r>
  </si>
  <si>
    <t>2019</t>
  </si>
  <si>
    <t>Justering av EK, ingående värde</t>
  </si>
  <si>
    <t>Generella statsbidrag och utjämning</t>
  </si>
  <si>
    <t>Resultat efter finansiella poster</t>
  </si>
  <si>
    <t>Extraordinära poster (netto)</t>
  </si>
  <si>
    <t>Försälj.av v-het o konsult- o andra tjänster, MP övr., återv.Kufo.</t>
  </si>
  <si>
    <t>Förändring pensionsavs inkl.särsk.lönesk på avs. pens.</t>
  </si>
  <si>
    <t>Fastighetsskatt o -avgift, Fordons- o. Trängselskatt</t>
  </si>
  <si>
    <t>Kommunal borgensavgift</t>
  </si>
  <si>
    <t>Regioner</t>
  </si>
  <si>
    <t>[361]                      Motpart 82 och 83</t>
  </si>
  <si>
    <t>Förs. av v-het. till annan komm.o kommunalförbund</t>
  </si>
  <si>
    <t>Försälj.av v-het o konsult- o andra tjänster, MP kommun</t>
  </si>
  <si>
    <t>Försälj.av v-het o konsult- o andra tjänster, MP kommunalförbund</t>
  </si>
  <si>
    <t>Försäljning av verksamhet, motpart kommunalförbund</t>
  </si>
  <si>
    <t>Försäljning av verksamhet, motpart region</t>
  </si>
  <si>
    <t>Erhållna ersättningar för personliga assistenter (FK)</t>
  </si>
  <si>
    <t>Särskild momsersättning vid köp av ej skattepl. verksamh.</t>
  </si>
  <si>
    <t>Summa kortfristiga placeringar (i värdepapper)</t>
  </si>
  <si>
    <t>Kassa och bank</t>
  </si>
  <si>
    <t>Övrig Justeringar i Eget kapital</t>
  </si>
  <si>
    <t>Avsättn. för återställ. av deponier/soptippar</t>
  </si>
  <si>
    <t>Fastighets-, anläggnings- o reparationsentrenader</t>
  </si>
  <si>
    <t>Transporter/resor, ej anställda o förtroendevalda</t>
  </si>
  <si>
    <t>Lokal- och bostadshyror</t>
  </si>
  <si>
    <r>
      <rPr>
        <strike/>
        <sz val="7"/>
        <rFont val="Helvetica"/>
        <family val="2"/>
      </rPr>
      <t>I</t>
    </r>
    <r>
      <rPr>
        <sz val="7"/>
        <rFont val="Helvetica"/>
        <family val="2"/>
      </rPr>
      <t>nhyrd personal</t>
    </r>
  </si>
  <si>
    <r>
      <t>Försäkrings</t>
    </r>
    <r>
      <rPr>
        <sz val="7"/>
        <rFont val="Helvetica"/>
        <family val="2"/>
      </rPr>
      <t>premier</t>
    </r>
  </si>
  <si>
    <t>6192, 692, 696, 73, 76</t>
  </si>
  <si>
    <t>Fastighetsskatt och -avgift, fordons- o trängselskatt, Försäkringspremier o riskkostnader, div.kostnad.</t>
  </si>
  <si>
    <t>Förlust vid avyttring o utrang. av mat. o. immat. anl.tillg.</t>
  </si>
  <si>
    <t>kommunalförb.</t>
  </si>
  <si>
    <t>och regioner</t>
  </si>
  <si>
    <r>
      <t>Därav försäljn. av v-het till kommuner, kommunalförb. och</t>
    </r>
    <r>
      <rPr>
        <strike/>
        <sz val="7"/>
        <color rgb="FFFF0000"/>
        <rFont val="Helvetica"/>
        <family val="2"/>
      </rPr>
      <t xml:space="preserve"> </t>
    </r>
    <r>
      <rPr>
        <sz val="7"/>
        <rFont val="Helvetica"/>
        <family val="2"/>
      </rPr>
      <t>regioner</t>
    </r>
  </si>
  <si>
    <t>intäkter o förs.</t>
  </si>
  <si>
    <t>till andra kommuner</t>
  </si>
  <si>
    <t>361 motpart 82, 83, 84</t>
  </si>
  <si>
    <t>[361] motpart 82, 83, 84</t>
  </si>
  <si>
    <t>Försäljning av verksamhet till andra kommuner, kommunalförb. och regioner</t>
  </si>
  <si>
    <t>Bruttokostnad ./. Interna intäkter o.</t>
  </si>
  <si>
    <t>förs. av v-samhet</t>
  </si>
  <si>
    <t>regioner</t>
  </si>
  <si>
    <t>kommunalförb och</t>
  </si>
  <si>
    <t>Bruttokostnad  ./. Interna intäkter och försäljning till andra kommuner, kommunalförb. och regioner</t>
  </si>
  <si>
    <t>Kost.ers.o.rikt.bidrag motpart regioner</t>
  </si>
  <si>
    <t>Övriga finansiella intäkter</t>
  </si>
  <si>
    <t>Finansiel kostnad, förändring av pensionsavättningar</t>
  </si>
  <si>
    <t>Övriga finansiella kostnader</t>
  </si>
  <si>
    <t>Räntekostn. för lev.skulder o bankkostn. o liknande</t>
  </si>
  <si>
    <t>Förslust vid avyttring o värdering, finansiella anl.tillg</t>
  </si>
  <si>
    <t>Förlust vid avyttring o värdering, finansiella oms.tillg.</t>
  </si>
  <si>
    <t>0731</t>
  </si>
  <si>
    <t>524</t>
  </si>
  <si>
    <t>328</t>
  </si>
  <si>
    <t>Försälj.av v-het o konsult- o andra tjänster, MP region</t>
  </si>
  <si>
    <r>
      <t>Därav personal</t>
    </r>
    <r>
      <rPr>
        <sz val="7"/>
        <rFont val="Helvetica"/>
        <family val="2"/>
      </rPr>
      <t>kostnad</t>
    </r>
  </si>
  <si>
    <t>Därav personalkostnad</t>
  </si>
  <si>
    <t>577</t>
  </si>
  <si>
    <t>Resultat efter finansiella poster / Skatteintäkter, generella statsbidrag och utj.</t>
  </si>
  <si>
    <t>Likvida medel (kassa, bank)  i % av externa driftkostnader</t>
  </si>
  <si>
    <t>[50-51, 53, 54, 55x2, 5598, 591 samt PO]</t>
  </si>
  <si>
    <t>[50-51, 53, 54, 55x2, 5598, 591] samt PO</t>
  </si>
  <si>
    <t>Skuld för avgifter samt offentliga bidrag (investeringar)</t>
  </si>
  <si>
    <t>Anslutnings- och anläggningsavg. (investeringar)</t>
  </si>
  <si>
    <t>Offentliga bidrag (investeringar)</t>
  </si>
  <si>
    <t>50, 51, 53, 54, 55x2, 5598</t>
  </si>
  <si>
    <t>56 [ej 5635]</t>
  </si>
  <si>
    <t>572, 5635</t>
  </si>
  <si>
    <t>Aktivering av eget arbete vid utv. av anläggningstillg.</t>
  </si>
  <si>
    <t>Verksamhetens resultat</t>
  </si>
  <si>
    <t>[50-51, 53, 54, 55x2, 5598, del av 591]</t>
  </si>
  <si>
    <t>Soc.avg o pens.utbet./kostn. (56(ej 5635), del av 591, 57 (ej572)</t>
  </si>
  <si>
    <t>Förändr.pens.avs.[572] o.särsk.lönesk.pens.avs.[5635], del av 591</t>
  </si>
  <si>
    <t>Därav försäljn. av verksamhet till annan kommun/kommunalförbund</t>
  </si>
  <si>
    <t>Försäljning av platser till annan kommun/kommunalförb. per invånare 16-18 år.</t>
  </si>
  <si>
    <t>Köp av platser i annan kommun/kommunalförb. per invånare 16-18 år.</t>
  </si>
  <si>
    <t>Köp av platser från region per invånare 7-15 år.</t>
  </si>
  <si>
    <t>Köp av plater från region per invånare 16-18 år.</t>
  </si>
  <si>
    <t>Operat. leasing/hyra av mask.,invent.,bilar o transp.medel</t>
  </si>
  <si>
    <t>Kommunalförbund och SKR</t>
  </si>
  <si>
    <t>Kostn.ers. o rikt bidrag, MP Arbetsförmedlingen</t>
  </si>
  <si>
    <t>Kostn.ers. o rikt.bidrag, MP kommuner, komm.förb. o region</t>
  </si>
  <si>
    <t>Kostn.ers. o rikt. bidrag, MP staten o statl. myndigh exkl AF, ej invest</t>
  </si>
  <si>
    <t>Förs. av v-het. till region</t>
  </si>
  <si>
    <t>BAS 20</t>
  </si>
  <si>
    <t xml:space="preserve">Investeringar fördelade på verksamheter </t>
  </si>
  <si>
    <t xml:space="preserve">Tilläggsuppgifter avseende kommunens investeringsredovisning </t>
  </si>
  <si>
    <t xml:space="preserve">Tilläggsuppgifter avseende investeringar i företag/bolag/stiftelser/kommunalförbund som konsolideras i den sammanställda redovisningen </t>
  </si>
  <si>
    <t>Anskaffn.kostn försåld exploat.fastigh[418]</t>
  </si>
  <si>
    <t>Skulder för statsbidrag, fastighetsavgift, fastighetsskatt mm.</t>
  </si>
  <si>
    <t>fordringar för statliga bidrag och kostnadsers.</t>
  </si>
  <si>
    <t>Uppbokade offentliga bidrag (investeringar)</t>
  </si>
  <si>
    <t>del av 24</t>
  </si>
  <si>
    <t>352</t>
  </si>
  <si>
    <t>352, 359</t>
  </si>
  <si>
    <r>
      <rPr>
        <b/>
        <sz val="7"/>
        <rFont val="Helvetica"/>
        <family val="2"/>
      </rPr>
      <t xml:space="preserve">Not 1: </t>
    </r>
    <r>
      <rPr>
        <sz val="7"/>
        <rFont val="Helvetica"/>
        <family val="2"/>
      </rPr>
      <t xml:space="preserve">402,403, 41, 43, 64 ej 644, 654, 655  </t>
    </r>
  </si>
  <si>
    <t>Återvunna, tidigare avskrivna kundfordringar</t>
  </si>
  <si>
    <t>Intäkter från exploateringsverksamhet sam försälj. av OT</t>
  </si>
  <si>
    <r>
      <t xml:space="preserve">Nedan fördelas summan av beloppen i kol. C och D på rad 987, inköp/nyansk. inkl. pågående arbeten. Invest. i immateriella anl.tillg. ska ingå. Finansiella inköp ska </t>
    </r>
    <r>
      <rPr>
        <b/>
        <u/>
        <sz val="9"/>
        <rFont val="Arial"/>
        <family val="2"/>
      </rPr>
      <t>ej</t>
    </r>
    <r>
      <rPr>
        <b/>
        <sz val="9"/>
        <rFont val="Arial"/>
        <family val="2"/>
      </rPr>
      <t xml:space="preserve"> ingå</t>
    </r>
  </si>
  <si>
    <t>22</t>
  </si>
  <si>
    <t>231</t>
  </si>
  <si>
    <t>Obligations- och förlagslån</t>
  </si>
  <si>
    <t>Övriga ersättningar, exploateringsverksamhet</t>
  </si>
  <si>
    <t xml:space="preserve">   därav investeringsinkomster från företag</t>
  </si>
  <si>
    <t xml:space="preserve">   därav övriga investeringsinkomster</t>
  </si>
  <si>
    <t>329</t>
  </si>
  <si>
    <t>105</t>
  </si>
  <si>
    <t>Investeringsinkomster som utbetalats till kommunen eller som kommunen erhållit, under året</t>
  </si>
  <si>
    <t>Bidrag/gåvor från privata aktörer</t>
  </si>
  <si>
    <t>Bidrag/gåvor från privata aktörer och Övriga bidrag</t>
  </si>
  <si>
    <t>För vidareutlåning till koncernföretagen</t>
  </si>
  <si>
    <t>[342, 351 [ej mot-part 81], 352, 354, 356, 357, 359]</t>
  </si>
  <si>
    <t>[40"ej 401", 41"ej 418", 43, 617, 618, 62, 64-65, 691]</t>
  </si>
  <si>
    <r>
      <t xml:space="preserve">AFFÄRSVERKSAMHET                            
</t>
    </r>
    <r>
      <rPr>
        <b/>
        <sz val="7"/>
        <rFont val="Helvetica"/>
        <family val="2"/>
      </rPr>
      <t xml:space="preserve">Näringsliv och bostäder                                 </t>
    </r>
    <r>
      <rPr>
        <sz val="7"/>
        <rFont val="Helvetica"/>
        <family val="2"/>
      </rPr>
      <t>Arbetsområden och lokaler</t>
    </r>
  </si>
  <si>
    <t xml:space="preserve">På rad 740 borde det finnas ett belopp eller beloppet borde vara högre.
</t>
  </si>
  <si>
    <t>Försäljning och värdering, finans. omsättningstillg.</t>
  </si>
  <si>
    <t>Försäljning och värdering, finans. anläggningstillg.</t>
  </si>
  <si>
    <t>RIKSTOTAL</t>
  </si>
  <si>
    <t>Kommunernas finanser</t>
  </si>
  <si>
    <t>Räkenskapssammandraget 2020</t>
  </si>
  <si>
    <t>Värde Mnkr</t>
  </si>
  <si>
    <t>Därav interna intäkter</t>
  </si>
  <si>
    <t>Publiceringsdatum: 210831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</si>
</sst>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&quot;kr&quot;#,##0_);[Red]\(&quot;kr&quot;#,##0\)"/>
    <numFmt numFmtId="165" formatCode="000"/>
    <numFmt numFmtId="166" formatCode="###,###,###"/>
    <numFmt numFmtId="167" formatCode=";;;"/>
    <numFmt numFmtId="168" formatCode="#,##0.0000"/>
    <numFmt numFmtId="169" formatCode="0.0000"/>
    <numFmt numFmtId="170" formatCode="###,##0"/>
    <numFmt numFmtId="171" formatCode="#,###"/>
    <numFmt numFmtId="172" formatCode="#,##0.0000000"/>
    <numFmt numFmtId="173" formatCode="#\ ##0"/>
  </numFmts>
  <fonts count="143">
    <font>
      <sz val="10"/>
      <name val="Arial"/>
    </font>
    <font>
      <sz val="10"/>
      <name val="Helvetica"/>
      <family val="2"/>
    </font>
    <font>
      <sz val="8"/>
      <name val="Helvetica"/>
      <family val="2"/>
    </font>
    <font>
      <sz val="7"/>
      <name val="Helvetica"/>
      <family val="2"/>
    </font>
    <font>
      <b/>
      <sz val="8"/>
      <name val="Helvetica"/>
      <family val="2"/>
    </font>
    <font>
      <b/>
      <sz val="7"/>
      <name val="Helvetica"/>
      <family val="2"/>
    </font>
    <font>
      <b/>
      <sz val="11"/>
      <name val="Helvetica"/>
      <family val="2"/>
    </font>
    <font>
      <sz val="7"/>
      <name val="Arial"/>
      <family val="2"/>
    </font>
    <font>
      <sz val="7"/>
      <name val="Helvetica"/>
      <family val="2"/>
    </font>
    <font>
      <sz val="8"/>
      <name val="Arial"/>
      <family val="2"/>
    </font>
    <font>
      <sz val="8"/>
      <color indexed="8"/>
      <name val="Helvetica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Helvetica"/>
      <family val="2"/>
    </font>
    <font>
      <b/>
      <sz val="7"/>
      <name val="Helvetica"/>
      <family val="2"/>
    </font>
    <font>
      <b/>
      <sz val="10"/>
      <name val="Helvetica"/>
      <family val="2"/>
    </font>
    <font>
      <sz val="7"/>
      <color indexed="8"/>
      <name val="Helvetica"/>
      <family val="2"/>
    </font>
    <font>
      <sz val="12"/>
      <name val="Times New Roman"/>
      <family val="1"/>
    </font>
    <font>
      <b/>
      <sz val="12"/>
      <name val="Helvetica"/>
      <family val="2"/>
    </font>
    <font>
      <b/>
      <sz val="8"/>
      <name val="Arial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Helvetica"/>
      <family val="2"/>
    </font>
    <font>
      <b/>
      <sz val="7"/>
      <name val="Coronet"/>
      <family val="2"/>
    </font>
    <font>
      <b/>
      <sz val="8"/>
      <name val="Coronet"/>
      <family val="2"/>
    </font>
    <font>
      <b/>
      <sz val="11"/>
      <name val="Coronet"/>
      <family val="2"/>
    </font>
    <font>
      <b/>
      <sz val="12"/>
      <color indexed="9"/>
      <name val="Arial Black"/>
      <family val="2"/>
    </font>
    <font>
      <sz val="10"/>
      <color indexed="9"/>
      <name val="Coronet"/>
      <family val="2"/>
    </font>
    <font>
      <b/>
      <sz val="9"/>
      <color indexed="9"/>
      <name val="Coronet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sz val="10"/>
      <name val="Helvetica"/>
      <family val="2"/>
    </font>
    <font>
      <sz val="7"/>
      <color indexed="10"/>
      <name val="Helvetica"/>
      <family val="2"/>
    </font>
    <font>
      <sz val="8"/>
      <color indexed="10"/>
      <name val="Helvetica"/>
      <family val="2"/>
    </font>
    <font>
      <sz val="7"/>
      <color indexed="10"/>
      <name val="Arial"/>
      <family val="2"/>
    </font>
    <font>
      <sz val="9"/>
      <name val="Helvetica"/>
      <family val="2"/>
    </font>
    <font>
      <sz val="10"/>
      <color indexed="9"/>
      <name val="Arial"/>
      <family val="2"/>
    </font>
    <font>
      <sz val="7"/>
      <color indexed="37"/>
      <name val="Helvetica"/>
      <family val="2"/>
    </font>
    <font>
      <sz val="8"/>
      <color indexed="37"/>
      <name val="Helvetica"/>
      <family val="2"/>
    </font>
    <font>
      <sz val="7"/>
      <color indexed="8"/>
      <name val="Arial"/>
      <family val="2"/>
    </font>
    <font>
      <sz val="10"/>
      <color indexed="39"/>
      <name val="Arial"/>
      <family val="2"/>
    </font>
    <font>
      <sz val="8"/>
      <color indexed="39"/>
      <name val="Helvetica"/>
      <family val="2"/>
    </font>
    <font>
      <b/>
      <sz val="7"/>
      <color indexed="10"/>
      <name val="Helvetica"/>
      <family val="2"/>
    </font>
    <font>
      <sz val="7"/>
      <color indexed="39"/>
      <name val="Arial"/>
      <family val="2"/>
    </font>
    <font>
      <sz val="8"/>
      <color indexed="12"/>
      <name val="Helvetica"/>
      <family val="2"/>
    </font>
    <font>
      <sz val="8"/>
      <color indexed="39"/>
      <name val="Arial"/>
      <family val="2"/>
    </font>
    <font>
      <b/>
      <sz val="7"/>
      <color indexed="10"/>
      <name val="Arial"/>
      <family val="2"/>
    </font>
    <font>
      <b/>
      <sz val="10"/>
      <name val="Arial"/>
      <family val="2"/>
    </font>
    <font>
      <sz val="9"/>
      <color indexed="39"/>
      <name val="Helvetica"/>
      <family val="2"/>
    </font>
    <font>
      <b/>
      <sz val="10"/>
      <color indexed="37"/>
      <name val="Helvetica"/>
      <family val="2"/>
    </font>
    <font>
      <b/>
      <sz val="9"/>
      <color indexed="8"/>
      <name val="Arial Black"/>
      <family val="2"/>
    </font>
    <font>
      <b/>
      <sz val="12"/>
      <name val="Arial"/>
      <family val="2"/>
    </font>
    <font>
      <b/>
      <sz val="10"/>
      <color indexed="37"/>
      <name val="Arial"/>
      <family val="2"/>
    </font>
    <font>
      <u/>
      <sz val="10"/>
      <color indexed="36"/>
      <name val="Arial"/>
      <family val="2"/>
    </font>
    <font>
      <sz val="7"/>
      <color indexed="10"/>
      <name val="Helvetica"/>
      <family val="2"/>
    </font>
    <font>
      <sz val="11"/>
      <color indexed="9"/>
      <name val="Calibri"/>
      <family val="2"/>
    </font>
    <font>
      <sz val="10"/>
      <color indexed="9"/>
      <name val="Helvetica"/>
      <family val="2"/>
    </font>
    <font>
      <b/>
      <sz val="9"/>
      <color indexed="9"/>
      <name val="Helvetica"/>
      <family val="2"/>
    </font>
    <font>
      <sz val="7"/>
      <color indexed="8"/>
      <name val="Helvetica"/>
      <family val="2"/>
    </font>
    <font>
      <b/>
      <sz val="8"/>
      <color indexed="8"/>
      <name val="Helvetica"/>
      <family val="2"/>
    </font>
    <font>
      <sz val="7"/>
      <color indexed="8"/>
      <name val="Calibri"/>
      <family val="2"/>
    </font>
    <font>
      <b/>
      <sz val="7"/>
      <color indexed="8"/>
      <name val="Helvetica"/>
      <family val="2"/>
    </font>
    <font>
      <sz val="10"/>
      <color indexed="8"/>
      <name val="Arial"/>
      <family val="2"/>
    </font>
    <font>
      <sz val="10"/>
      <color indexed="8"/>
      <name val="Helvetica"/>
      <family val="2"/>
    </font>
    <font>
      <sz val="7"/>
      <color indexed="10"/>
      <name val="Times New Roman"/>
      <family val="1"/>
    </font>
    <font>
      <sz val="8"/>
      <color indexed="10"/>
      <name val="Times New Roman"/>
      <family val="1"/>
    </font>
    <font>
      <sz val="8"/>
      <color indexed="10"/>
      <name val="Helvetica"/>
      <family val="2"/>
    </font>
    <font>
      <b/>
      <sz val="12"/>
      <color indexed="8"/>
      <name val="Arial"/>
      <family val="2"/>
    </font>
    <font>
      <b/>
      <sz val="8"/>
      <color indexed="8"/>
      <name val="Helvetica"/>
      <family val="2"/>
    </font>
    <font>
      <b/>
      <sz val="7"/>
      <name val="Calibri"/>
      <family val="2"/>
    </font>
    <font>
      <u/>
      <sz val="10"/>
      <color indexed="12"/>
      <name val="Arial"/>
      <family val="2"/>
    </font>
    <font>
      <b/>
      <sz val="12"/>
      <color indexed="8"/>
      <name val="Helvetica"/>
      <family val="2"/>
    </font>
    <font>
      <b/>
      <sz val="11"/>
      <color indexed="8"/>
      <name val="Helvetica"/>
      <family val="2"/>
    </font>
    <font>
      <b/>
      <sz val="10"/>
      <color indexed="8"/>
      <name val="Helvetica"/>
      <family val="2"/>
    </font>
    <font>
      <sz val="8"/>
      <color indexed="9"/>
      <name val="Helvetica"/>
      <family val="2"/>
    </font>
    <font>
      <b/>
      <sz val="16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0"/>
      <name val="Helvetica"/>
      <family val="2"/>
    </font>
    <font>
      <sz val="7"/>
      <color indexed="16"/>
      <name val="Helvetica"/>
      <family val="2"/>
    </font>
    <font>
      <sz val="10"/>
      <color indexed="16"/>
      <name val="Cambria"/>
      <family val="1"/>
    </font>
    <font>
      <b/>
      <sz val="7"/>
      <color indexed="9"/>
      <name val="Helvetica"/>
      <family val="2"/>
    </font>
    <font>
      <b/>
      <vertAlign val="superscript"/>
      <sz val="7"/>
      <name val="Helvetica"/>
      <family val="2"/>
    </font>
    <font>
      <b/>
      <vertAlign val="superscript"/>
      <sz val="7"/>
      <name val="Calibri"/>
      <family val="2"/>
    </font>
    <font>
      <vertAlign val="superscript"/>
      <sz val="7"/>
      <name val="Helvetica"/>
      <family val="2"/>
    </font>
    <font>
      <sz val="8"/>
      <name val="Arial"/>
      <family val="2"/>
    </font>
    <font>
      <b/>
      <sz val="8"/>
      <name val="Arial"/>
      <family val="2"/>
    </font>
    <font>
      <sz val="7"/>
      <color indexed="10"/>
      <name val="Arial"/>
      <family val="2"/>
    </font>
    <font>
      <sz val="10"/>
      <color indexed="39"/>
      <name val="Helvetica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4"/>
      <name val="Arial"/>
      <family val="2"/>
    </font>
    <font>
      <sz val="10"/>
      <color indexed="39"/>
      <name val="Arial"/>
      <family val="2"/>
    </font>
    <font>
      <sz val="6"/>
      <color indexed="10"/>
      <name val="Helvetica"/>
      <family val="2"/>
    </font>
    <font>
      <sz val="7"/>
      <name val="Helvetica "/>
    </font>
    <font>
      <sz val="8"/>
      <color indexed="9"/>
      <name val="Helvetica"/>
      <family val="2"/>
    </font>
    <font>
      <sz val="8"/>
      <color indexed="9"/>
      <name val="Cambria"/>
      <family val="1"/>
    </font>
    <font>
      <sz val="10"/>
      <color indexed="9"/>
      <name val="Cambria"/>
      <family val="1"/>
    </font>
    <font>
      <sz val="7"/>
      <name val="Cambria"/>
      <family val="1"/>
    </font>
    <font>
      <sz val="6.5"/>
      <name val="Helvetica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7"/>
      <color rgb="FFFF0000"/>
      <name val="Helvetica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sz val="8"/>
      <color rgb="FFFF0000"/>
      <name val="Helvetica"/>
      <family val="2"/>
    </font>
    <font>
      <b/>
      <sz val="11"/>
      <color theme="0"/>
      <name val="Arial"/>
      <family val="2"/>
    </font>
    <font>
      <sz val="7"/>
      <color theme="0"/>
      <name val="Helvetica"/>
      <family val="2"/>
    </font>
    <font>
      <sz val="7"/>
      <color theme="7" tint="0.59999389629810485"/>
      <name val="Helvetica"/>
      <family val="2"/>
    </font>
    <font>
      <sz val="7"/>
      <color rgb="FFFFFFCC"/>
      <name val="Helvetica"/>
      <family val="2"/>
    </font>
    <font>
      <sz val="10"/>
      <color rgb="FFFFFFCC"/>
      <name val="Arial"/>
      <family val="2"/>
    </font>
    <font>
      <sz val="2"/>
      <color theme="0"/>
      <name val="Helvetica"/>
      <family val="2"/>
    </font>
    <font>
      <sz val="8"/>
      <color rgb="FF00B050"/>
      <name val="Helvetica"/>
      <family val="2"/>
    </font>
    <font>
      <sz val="8"/>
      <color theme="1"/>
      <name val="Helvetica"/>
      <family val="2"/>
    </font>
    <font>
      <b/>
      <sz val="7"/>
      <color theme="1"/>
      <name val="Helvetica"/>
      <family val="2"/>
    </font>
    <font>
      <b/>
      <sz val="8"/>
      <color theme="1"/>
      <name val="Helvetica"/>
      <family val="2"/>
    </font>
    <font>
      <sz val="8"/>
      <color rgb="FFFFFFCC"/>
      <name val="Helvetica"/>
      <family val="2"/>
    </font>
    <font>
      <b/>
      <sz val="7"/>
      <color rgb="FFFFFFCC"/>
      <name val="Helvetica"/>
      <family val="2"/>
    </font>
    <font>
      <sz val="7"/>
      <color rgb="FFFF0000"/>
      <name val="Helvetica"/>
      <family val="2"/>
    </font>
    <font>
      <sz val="7"/>
      <color indexed="10"/>
      <name val="Helvetica"/>
      <family val="2"/>
    </font>
    <font>
      <sz val="7"/>
      <name val="Helvetica"/>
      <family val="2"/>
    </font>
    <font>
      <b/>
      <sz val="7"/>
      <name val="Helvetica"/>
      <family val="2"/>
    </font>
    <font>
      <b/>
      <sz val="7"/>
      <color rgb="FFFFFFCC"/>
      <name val="Helvetica"/>
      <family val="2"/>
    </font>
    <font>
      <sz val="7"/>
      <color rgb="FFFFFFCC"/>
      <name val="Helvetica"/>
      <family val="2"/>
    </font>
    <font>
      <sz val="7"/>
      <color rgb="FFFFFFCC"/>
      <name val="Arial"/>
      <family val="2"/>
    </font>
    <font>
      <sz val="7"/>
      <color rgb="FFFFFFCC"/>
      <name val="Helvetia"/>
    </font>
    <font>
      <sz val="7"/>
      <name val="Helvetia"/>
    </font>
    <font>
      <sz val="8"/>
      <color theme="0"/>
      <name val="Arial"/>
      <family val="2"/>
    </font>
    <font>
      <i/>
      <sz val="8"/>
      <color rgb="FFFF0000"/>
      <name val="Helvetica"/>
      <family val="2"/>
    </font>
    <font>
      <sz val="10"/>
      <color theme="0"/>
      <name val="Arial"/>
      <family val="2"/>
    </font>
    <font>
      <sz val="8"/>
      <color theme="0"/>
      <name val="Helvetica"/>
      <family val="2"/>
    </font>
    <font>
      <strike/>
      <sz val="7"/>
      <color rgb="FFFF0000"/>
      <name val="Helvetica"/>
      <family val="2"/>
    </font>
    <font>
      <strike/>
      <sz val="7"/>
      <name val="Helvetica"/>
      <family val="2"/>
    </font>
    <font>
      <b/>
      <sz val="7"/>
      <color theme="0"/>
      <name val="Helvetica"/>
      <family val="2"/>
    </font>
    <font>
      <b/>
      <sz val="10"/>
      <color rgb="FFFFFFC0"/>
      <name val="Helvetica"/>
      <family val="2"/>
    </font>
    <font>
      <sz val="26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56"/>
        <bgColor indexed="64"/>
      </patternFill>
    </fill>
    <fill>
      <patternFill patternType="lightGray">
        <fgColor indexed="22"/>
        <bgColor indexed="9"/>
      </patternFill>
    </fill>
    <fill>
      <patternFill patternType="lightGray">
        <fgColor indexed="40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31"/>
      </patternFill>
    </fill>
    <fill>
      <patternFill patternType="lightGray">
        <fgColor indexed="22"/>
      </patternFill>
    </fill>
    <fill>
      <patternFill patternType="gray125">
        <fgColor indexed="22"/>
      </patternFill>
    </fill>
    <fill>
      <patternFill patternType="solid">
        <fgColor indexed="65"/>
        <bgColor indexed="64"/>
      </patternFill>
    </fill>
    <fill>
      <patternFill patternType="lightDown">
        <fgColor indexed="9"/>
        <bgColor indexed="26"/>
      </patternFill>
    </fill>
    <fill>
      <patternFill patternType="solid">
        <fgColor indexed="26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2"/>
      </patternFill>
    </fill>
    <fill>
      <patternFill patternType="solid">
        <fgColor rgb="FFFFFFCC"/>
        <bgColor indexed="55"/>
      </patternFill>
    </fill>
    <fill>
      <patternFill patternType="solid">
        <fgColor rgb="FFFFFFCC"/>
        <bgColor indexed="31"/>
      </patternFill>
    </fill>
    <fill>
      <patternFill patternType="solid">
        <fgColor rgb="FFFFFFCC"/>
        <bgColor indexed="40"/>
      </patternFill>
    </fill>
    <fill>
      <patternFill patternType="gray125">
        <fgColor indexed="22"/>
        <bgColor rgb="FFFFFFFF"/>
      </patternFill>
    </fill>
    <fill>
      <patternFill patternType="lightGray">
        <fgColor indexed="40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rgb="FFFFFFCC"/>
      </patternFill>
    </fill>
    <fill>
      <patternFill patternType="solid">
        <fgColor indexed="9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indexed="22"/>
      </patternFill>
    </fill>
    <fill>
      <patternFill patternType="solid">
        <fgColor rgb="FFFFFFFF"/>
        <bgColor rgb="FFFFFFFF"/>
      </patternFill>
    </fill>
    <fill>
      <patternFill patternType="lightGray">
        <fgColor rgb="FF00CCFF"/>
        <bgColor rgb="FFFFFFFF"/>
      </patternFill>
    </fill>
  </fills>
  <borders count="3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39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39"/>
      </top>
      <bottom/>
      <diagonal/>
    </border>
    <border>
      <left style="hair">
        <color indexed="64"/>
      </left>
      <right style="medium">
        <color indexed="64"/>
      </right>
      <top style="thin">
        <color indexed="39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/>
      <diagonal/>
    </border>
    <border>
      <left style="hair">
        <color indexed="64"/>
      </left>
      <right style="medium">
        <color rgb="FF000000"/>
      </right>
      <top/>
      <bottom/>
      <diagonal/>
    </border>
    <border>
      <left style="hair">
        <color indexed="64"/>
      </left>
      <right style="medium">
        <color rgb="FF000000"/>
      </right>
      <top/>
      <bottom style="thin">
        <color indexed="64"/>
      </bottom>
      <diagonal/>
    </border>
    <border>
      <left style="hair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/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/>
      <diagonal/>
    </border>
    <border>
      <left style="hair">
        <color indexed="64"/>
      </left>
      <right style="medium">
        <color rgb="FF000000"/>
      </right>
      <top/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0000"/>
      </right>
      <top style="hair">
        <color indexed="64"/>
      </top>
      <bottom style="thin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/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/>
      <bottom style="hair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hair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hair">
        <color indexed="64"/>
      </left>
      <right style="medium">
        <color rgb="FF000000"/>
      </right>
      <top style="thin">
        <color indexed="64"/>
      </top>
      <bottom style="hair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hair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indexed="64"/>
      </bottom>
      <diagonal/>
    </border>
  </borders>
  <cellStyleXfs count="17">
    <xf numFmtId="0" fontId="0" fillId="0" borderId="0"/>
    <xf numFmtId="0" fontId="107" fillId="18" borderId="226" applyNumberFormat="0" applyFont="0" applyAlignment="0" applyProtection="0"/>
    <xf numFmtId="0" fontId="107" fillId="18" borderId="226" applyNumberFormat="0" applyFont="0" applyAlignment="0" applyProtection="0"/>
    <xf numFmtId="0" fontId="108" fillId="19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107" fillId="0" borderId="0"/>
    <xf numFmtId="0" fontId="107" fillId="0" borderId="0"/>
    <xf numFmtId="0" fontId="17" fillId="0" borderId="0"/>
    <xf numFmtId="0" fontId="33" fillId="0" borderId="0"/>
    <xf numFmtId="0" fontId="1" fillId="0" borderId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2621">
    <xf numFmtId="0" fontId="0" fillId="0" borderId="0" xfId="0"/>
    <xf numFmtId="0" fontId="1" fillId="0" borderId="0" xfId="0" applyFont="1" applyProtection="1"/>
    <xf numFmtId="0" fontId="18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0" fillId="2" borderId="0" xfId="0" applyFill="1" applyProtection="1"/>
    <xf numFmtId="0" fontId="1" fillId="2" borderId="0" xfId="0" applyFont="1" applyFill="1" applyProtection="1"/>
    <xf numFmtId="49" fontId="3" fillId="2" borderId="0" xfId="0" applyNumberFormat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Protection="1"/>
    <xf numFmtId="3" fontId="1" fillId="2" borderId="0" xfId="0" applyNumberFormat="1" applyFont="1" applyFill="1" applyBorder="1" applyProtection="1"/>
    <xf numFmtId="0" fontId="7" fillId="2" borderId="0" xfId="0" applyFont="1" applyFill="1" applyBorder="1" applyProtection="1"/>
    <xf numFmtId="0" fontId="8" fillId="2" borderId="0" xfId="0" applyFont="1" applyFill="1" applyBorder="1" applyProtection="1"/>
    <xf numFmtId="0" fontId="1" fillId="2" borderId="0" xfId="0" applyFont="1" applyFill="1" applyBorder="1" applyProtection="1"/>
    <xf numFmtId="0" fontId="8" fillId="2" borderId="0" xfId="0" applyFont="1" applyFill="1" applyProtection="1"/>
    <xf numFmtId="3" fontId="4" fillId="2" borderId="0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/>
    </xf>
    <xf numFmtId="1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3" fontId="13" fillId="0" borderId="0" xfId="0" applyNumberFormat="1" applyFont="1" applyFill="1" applyBorder="1" applyProtection="1"/>
    <xf numFmtId="3" fontId="13" fillId="2" borderId="2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3" fontId="13" fillId="2" borderId="7" xfId="0" applyNumberFormat="1" applyFont="1" applyFill="1" applyBorder="1" applyAlignment="1" applyProtection="1">
      <alignment horizontal="right"/>
      <protection locked="0"/>
    </xf>
    <xf numFmtId="3" fontId="13" fillId="3" borderId="6" xfId="0" applyNumberFormat="1" applyFont="1" applyFill="1" applyBorder="1" applyAlignment="1" applyProtection="1">
      <alignment horizontal="right"/>
    </xf>
    <xf numFmtId="3" fontId="13" fillId="2" borderId="8" xfId="0" applyNumberFormat="1" applyFont="1" applyFill="1" applyBorder="1" applyAlignment="1" applyProtection="1">
      <alignment horizontal="right"/>
      <protection locked="0"/>
    </xf>
    <xf numFmtId="3" fontId="13" fillId="2" borderId="9" xfId="0" applyNumberFormat="1" applyFont="1" applyFill="1" applyBorder="1" applyAlignment="1" applyProtection="1">
      <alignment horizontal="right"/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3" fontId="13" fillId="2" borderId="0" xfId="0" applyNumberFormat="1" applyFont="1" applyFill="1" applyBorder="1" applyProtection="1"/>
    <xf numFmtId="3" fontId="13" fillId="2" borderId="0" xfId="0" applyNumberFormat="1" applyFont="1" applyFill="1" applyBorder="1" applyAlignment="1" applyProtection="1">
      <alignment horizontal="right"/>
    </xf>
    <xf numFmtId="0" fontId="23" fillId="2" borderId="0" xfId="0" applyFont="1" applyFill="1" applyBorder="1" applyProtection="1"/>
    <xf numFmtId="3" fontId="8" fillId="2" borderId="0" xfId="0" applyNumberFormat="1" applyFont="1" applyFill="1" applyBorder="1" applyProtection="1"/>
    <xf numFmtId="3" fontId="8" fillId="2" borderId="0" xfId="0" applyNumberFormat="1" applyFont="1" applyFill="1" applyBorder="1" applyAlignment="1" applyProtection="1"/>
    <xf numFmtId="0" fontId="23" fillId="2" borderId="0" xfId="0" applyFont="1" applyFill="1" applyProtection="1"/>
    <xf numFmtId="0" fontId="53" fillId="2" borderId="0" xfId="0" applyFont="1" applyFill="1" applyBorder="1" applyAlignment="1" applyProtection="1">
      <alignment vertical="top"/>
    </xf>
    <xf numFmtId="167" fontId="8" fillId="2" borderId="0" xfId="0" applyNumberFormat="1" applyFont="1" applyFill="1" applyBorder="1" applyProtection="1"/>
    <xf numFmtId="3" fontId="13" fillId="2" borderId="0" xfId="0" applyNumberFormat="1" applyFont="1" applyFill="1" applyBorder="1" applyAlignment="1" applyProtection="1">
      <alignment horizontal="left"/>
    </xf>
    <xf numFmtId="3" fontId="5" fillId="2" borderId="0" xfId="0" applyNumberFormat="1" applyFont="1" applyFill="1" applyBorder="1" applyProtection="1"/>
    <xf numFmtId="0" fontId="13" fillId="2" borderId="0" xfId="0" applyFont="1" applyFill="1" applyBorder="1" applyProtection="1"/>
    <xf numFmtId="1" fontId="37" fillId="2" borderId="0" xfId="0" applyNumberFormat="1" applyFont="1" applyFill="1" applyBorder="1" applyAlignment="1" applyProtection="1">
      <alignment horizontal="left"/>
    </xf>
    <xf numFmtId="166" fontId="44" fillId="2" borderId="0" xfId="0" applyNumberFormat="1" applyFont="1" applyFill="1" applyBorder="1" applyProtection="1"/>
    <xf numFmtId="3" fontId="34" fillId="2" borderId="0" xfId="0" applyNumberFormat="1" applyFont="1" applyFill="1" applyProtection="1"/>
    <xf numFmtId="0" fontId="7" fillId="2" borderId="0" xfId="0" applyFont="1" applyFill="1" applyProtection="1"/>
    <xf numFmtId="0" fontId="3" fillId="2" borderId="0" xfId="0" applyFont="1" applyFill="1" applyProtection="1"/>
    <xf numFmtId="3" fontId="7" fillId="2" borderId="11" xfId="0" applyNumberFormat="1" applyFont="1" applyFill="1" applyBorder="1" applyProtection="1"/>
    <xf numFmtId="3" fontId="7" fillId="2" borderId="0" xfId="0" applyNumberFormat="1" applyFont="1" applyFill="1" applyBorder="1" applyProtection="1"/>
    <xf numFmtId="3" fontId="8" fillId="4" borderId="0" xfId="0" applyNumberFormat="1" applyFont="1" applyFill="1" applyBorder="1" applyProtection="1"/>
    <xf numFmtId="3" fontId="13" fillId="5" borderId="0" xfId="0" applyNumberFormat="1" applyFont="1" applyFill="1" applyBorder="1" applyAlignment="1" applyProtection="1">
      <alignment horizontal="right"/>
    </xf>
    <xf numFmtId="3" fontId="13" fillId="4" borderId="0" xfId="0" applyNumberFormat="1" applyFont="1" applyFill="1" applyBorder="1" applyAlignment="1" applyProtection="1">
      <alignment horizontal="right"/>
    </xf>
    <xf numFmtId="3" fontId="13" fillId="4" borderId="0" xfId="0" applyNumberFormat="1" applyFont="1" applyFill="1" applyBorder="1" applyAlignment="1" applyProtection="1">
      <alignment horizontal="left"/>
    </xf>
    <xf numFmtId="3" fontId="13" fillId="5" borderId="0" xfId="0" applyNumberFormat="1" applyFont="1" applyFill="1" applyBorder="1" applyAlignment="1" applyProtection="1"/>
    <xf numFmtId="3" fontId="13" fillId="5" borderId="0" xfId="0" applyNumberFormat="1" applyFont="1" applyFill="1" applyBorder="1" applyProtection="1"/>
    <xf numFmtId="3" fontId="2" fillId="2" borderId="5" xfId="0" applyNumberFormat="1" applyFont="1" applyFill="1" applyBorder="1" applyAlignment="1" applyProtection="1">
      <alignment horizontal="right"/>
      <protection locked="0"/>
    </xf>
    <xf numFmtId="3" fontId="2" fillId="2" borderId="12" xfId="0" applyNumberFormat="1" applyFont="1" applyFill="1" applyBorder="1" applyAlignment="1" applyProtection="1">
      <alignment horizontal="right"/>
      <protection locked="0"/>
    </xf>
    <xf numFmtId="3" fontId="50" fillId="2" borderId="0" xfId="0" applyNumberFormat="1" applyFont="1" applyFill="1" applyBorder="1" applyProtection="1"/>
    <xf numFmtId="3" fontId="13" fillId="6" borderId="0" xfId="0" applyNumberFormat="1" applyFont="1" applyFill="1" applyBorder="1" applyAlignment="1" applyProtection="1">
      <alignment horizontal="right"/>
    </xf>
    <xf numFmtId="3" fontId="13" fillId="6" borderId="0" xfId="0" applyNumberFormat="1" applyFont="1" applyFill="1" applyBorder="1" applyAlignment="1" applyProtection="1"/>
    <xf numFmtId="0" fontId="61" fillId="2" borderId="0" xfId="0" applyFont="1" applyFill="1" applyBorder="1" applyAlignment="1" applyProtection="1"/>
    <xf numFmtId="0" fontId="63" fillId="2" borderId="0" xfId="0" quotePrefix="1" applyFont="1" applyFill="1" applyBorder="1" applyAlignment="1" applyProtection="1"/>
    <xf numFmtId="0" fontId="64" fillId="2" borderId="0" xfId="0" applyNumberFormat="1" applyFont="1" applyFill="1" applyProtection="1">
      <protection hidden="1"/>
    </xf>
    <xf numFmtId="0" fontId="64" fillId="2" borderId="0" xfId="0" applyNumberFormat="1" applyFont="1" applyFill="1" applyProtection="1"/>
    <xf numFmtId="0" fontId="65" fillId="2" borderId="0" xfId="0" applyNumberFormat="1" applyFont="1" applyFill="1" applyProtection="1"/>
    <xf numFmtId="0" fontId="65" fillId="2" borderId="0" xfId="0" applyFont="1" applyFill="1" applyProtection="1"/>
    <xf numFmtId="3" fontId="3" fillId="2" borderId="0" xfId="0" applyNumberFormat="1" applyFont="1" applyFill="1" applyBorder="1" applyProtection="1"/>
    <xf numFmtId="3" fontId="2" fillId="2" borderId="2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Protection="1"/>
    <xf numFmtId="167" fontId="9" fillId="2" borderId="0" xfId="0" applyNumberFormat="1" applyFont="1" applyFill="1" applyProtection="1"/>
    <xf numFmtId="0" fontId="35" fillId="2" borderId="0" xfId="0" applyFont="1" applyFill="1" applyProtection="1"/>
    <xf numFmtId="0" fontId="66" fillId="2" borderId="0" xfId="0" applyFont="1" applyFill="1" applyProtection="1"/>
    <xf numFmtId="0" fontId="34" fillId="2" borderId="0" xfId="0" applyFont="1" applyFill="1" applyBorder="1" applyAlignment="1" applyProtection="1">
      <alignment horizontal="left" vertical="top"/>
    </xf>
    <xf numFmtId="3" fontId="2" fillId="0" borderId="0" xfId="0" applyNumberFormat="1" applyFont="1" applyFill="1" applyBorder="1" applyAlignment="1" applyProtection="1">
      <alignment horizontal="right"/>
    </xf>
    <xf numFmtId="3" fontId="5" fillId="4" borderId="0" xfId="0" applyNumberFormat="1" applyFont="1" applyFill="1" applyBorder="1" applyProtection="1"/>
    <xf numFmtId="0" fontId="53" fillId="2" borderId="0" xfId="0" applyFont="1" applyFill="1" applyAlignment="1" applyProtection="1">
      <alignment vertical="top"/>
    </xf>
    <xf numFmtId="0" fontId="49" fillId="2" borderId="0" xfId="0" applyFont="1" applyFill="1" applyAlignment="1" applyProtection="1"/>
    <xf numFmtId="0" fontId="49" fillId="2" borderId="0" xfId="0" applyFont="1" applyFill="1" applyAlignment="1" applyProtection="1">
      <alignment vertical="top"/>
    </xf>
    <xf numFmtId="0" fontId="31" fillId="7" borderId="0" xfId="0" applyFont="1" applyFill="1" applyBorder="1" applyAlignment="1" applyProtection="1">
      <alignment horizontal="left"/>
    </xf>
    <xf numFmtId="0" fontId="28" fillId="7" borderId="0" xfId="0" applyFont="1" applyFill="1" applyBorder="1" applyAlignment="1" applyProtection="1">
      <alignment horizontal="left"/>
    </xf>
    <xf numFmtId="0" fontId="3" fillId="0" borderId="0" xfId="0" applyFont="1" applyFill="1" applyProtection="1"/>
    <xf numFmtId="3" fontId="2" fillId="8" borderId="13" xfId="0" applyNumberFormat="1" applyFont="1" applyFill="1" applyBorder="1" applyAlignment="1" applyProtection="1">
      <alignment horizontal="right"/>
    </xf>
    <xf numFmtId="3" fontId="2" fillId="9" borderId="14" xfId="0" applyNumberFormat="1" applyFont="1" applyFill="1" applyBorder="1" applyAlignment="1" applyProtection="1">
      <alignment horizontal="right"/>
    </xf>
    <xf numFmtId="3" fontId="2" fillId="9" borderId="9" xfId="0" applyNumberFormat="1" applyFont="1" applyFill="1" applyBorder="1" applyAlignment="1" applyProtection="1">
      <alignment horizontal="right"/>
    </xf>
    <xf numFmtId="3" fontId="2" fillId="9" borderId="7" xfId="0" applyNumberFormat="1" applyFont="1" applyFill="1" applyBorder="1" applyAlignment="1" applyProtection="1">
      <alignment horizontal="right"/>
    </xf>
    <xf numFmtId="3" fontId="2" fillId="9" borderId="15" xfId="0" applyNumberFormat="1" applyFont="1" applyFill="1" applyBorder="1" applyAlignment="1" applyProtection="1">
      <alignment horizontal="right"/>
    </xf>
    <xf numFmtId="3" fontId="2" fillId="9" borderId="17" xfId="0" applyNumberFormat="1" applyFont="1" applyFill="1" applyBorder="1" applyAlignment="1" applyProtection="1">
      <alignment horizontal="right"/>
    </xf>
    <xf numFmtId="3" fontId="2" fillId="9" borderId="5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31" fillId="7" borderId="0" xfId="0" applyFont="1" applyFill="1" applyAlignment="1" applyProtection="1">
      <alignment vertical="top"/>
    </xf>
    <xf numFmtId="0" fontId="29" fillId="7" borderId="0" xfId="0" applyFont="1" applyFill="1" applyProtection="1"/>
    <xf numFmtId="0" fontId="30" fillId="7" borderId="0" xfId="0" applyFont="1" applyFill="1" applyProtection="1"/>
    <xf numFmtId="0" fontId="31" fillId="7" borderId="0" xfId="0" quotePrefix="1" applyFont="1" applyFill="1" applyBorder="1" applyAlignment="1" applyProtection="1">
      <alignment horizontal="left"/>
    </xf>
    <xf numFmtId="0" fontId="58" fillId="7" borderId="0" xfId="0" applyFont="1" applyFill="1" applyProtection="1"/>
    <xf numFmtId="0" fontId="59" fillId="7" borderId="0" xfId="0" applyFont="1" applyFill="1" applyProtection="1"/>
    <xf numFmtId="167" fontId="59" fillId="7" borderId="0" xfId="0" applyNumberFormat="1" applyFont="1" applyFill="1" applyProtection="1"/>
    <xf numFmtId="3" fontId="2" fillId="9" borderId="9" xfId="0" applyNumberFormat="1" applyFont="1" applyFill="1" applyBorder="1" applyProtection="1"/>
    <xf numFmtId="3" fontId="2" fillId="9" borderId="5" xfId="0" applyNumberFormat="1" applyFont="1" applyFill="1" applyBorder="1" applyProtection="1"/>
    <xf numFmtId="3" fontId="2" fillId="2" borderId="18" xfId="0" applyNumberFormat="1" applyFont="1" applyFill="1" applyBorder="1" applyAlignment="1" applyProtection="1">
      <alignment horizontal="right"/>
      <protection locked="0"/>
    </xf>
    <xf numFmtId="3" fontId="13" fillId="2" borderId="18" xfId="0" applyNumberFormat="1" applyFont="1" applyFill="1" applyBorder="1" applyAlignment="1" applyProtection="1">
      <alignment horizontal="right"/>
      <protection locked="0"/>
    </xf>
    <xf numFmtId="3" fontId="13" fillId="2" borderId="19" xfId="0" applyNumberFormat="1" applyFont="1" applyFill="1" applyBorder="1" applyAlignment="1" applyProtection="1">
      <alignment horizontal="right"/>
      <protection locked="0"/>
    </xf>
    <xf numFmtId="3" fontId="13" fillId="2" borderId="20" xfId="0" applyNumberFormat="1" applyFont="1" applyFill="1" applyBorder="1" applyAlignment="1" applyProtection="1">
      <alignment horizontal="right"/>
      <protection locked="0"/>
    </xf>
    <xf numFmtId="3" fontId="13" fillId="2" borderId="21" xfId="0" applyNumberFormat="1" applyFont="1" applyFill="1" applyBorder="1" applyAlignment="1" applyProtection="1">
      <alignment horizontal="right"/>
      <protection locked="0"/>
    </xf>
    <xf numFmtId="3" fontId="13" fillId="2" borderId="22" xfId="0" applyNumberFormat="1" applyFont="1" applyFill="1" applyBorder="1" applyAlignment="1" applyProtection="1">
      <alignment horizontal="right"/>
      <protection locked="0"/>
    </xf>
    <xf numFmtId="3" fontId="13" fillId="3" borderId="19" xfId="0" applyNumberFormat="1" applyFont="1" applyFill="1" applyBorder="1" applyAlignment="1" applyProtection="1">
      <alignment horizontal="right"/>
    </xf>
    <xf numFmtId="3" fontId="13" fillId="2" borderId="23" xfId="0" applyNumberFormat="1" applyFont="1" applyFill="1" applyBorder="1" applyAlignment="1" applyProtection="1">
      <alignment horizontal="right"/>
      <protection locked="0"/>
    </xf>
    <xf numFmtId="3" fontId="13" fillId="2" borderId="24" xfId="0" applyNumberFormat="1" applyFont="1" applyFill="1" applyBorder="1" applyAlignment="1" applyProtection="1">
      <alignment horizontal="right"/>
      <protection locked="0"/>
    </xf>
    <xf numFmtId="3" fontId="13" fillId="2" borderId="25" xfId="0" applyNumberFormat="1" applyFont="1" applyFill="1" applyBorder="1" applyAlignment="1" applyProtection="1">
      <alignment horizontal="right"/>
      <protection locked="0"/>
    </xf>
    <xf numFmtId="3" fontId="13" fillId="2" borderId="26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Protection="1"/>
    <xf numFmtId="0" fontId="8" fillId="4" borderId="0" xfId="0" applyFont="1" applyFill="1" applyBorder="1" applyProtection="1"/>
    <xf numFmtId="3" fontId="13" fillId="5" borderId="27" xfId="0" applyNumberFormat="1" applyFont="1" applyFill="1" applyBorder="1" applyAlignment="1" applyProtection="1">
      <alignment horizontal="right"/>
    </xf>
    <xf numFmtId="3" fontId="13" fillId="2" borderId="28" xfId="0" applyNumberFormat="1" applyFont="1" applyFill="1" applyBorder="1" applyAlignment="1" applyProtection="1">
      <alignment horizontal="right"/>
      <protection locked="0"/>
    </xf>
    <xf numFmtId="3" fontId="13" fillId="2" borderId="29" xfId="0" applyNumberFormat="1" applyFont="1" applyFill="1" applyBorder="1" applyAlignment="1" applyProtection="1">
      <alignment horizontal="right"/>
      <protection locked="0"/>
    </xf>
    <xf numFmtId="3" fontId="13" fillId="2" borderId="30" xfId="0" applyNumberFormat="1" applyFont="1" applyFill="1" applyBorder="1" applyAlignment="1" applyProtection="1">
      <alignment horizontal="right"/>
      <protection locked="0"/>
    </xf>
    <xf numFmtId="3" fontId="13" fillId="3" borderId="31" xfId="0" applyNumberFormat="1" applyFont="1" applyFill="1" applyBorder="1" applyAlignment="1" applyProtection="1">
      <alignment horizontal="right"/>
    </xf>
    <xf numFmtId="3" fontId="13" fillId="3" borderId="29" xfId="0" applyNumberFormat="1" applyFont="1" applyFill="1" applyBorder="1" applyAlignment="1" applyProtection="1">
      <alignment horizontal="right"/>
    </xf>
    <xf numFmtId="3" fontId="13" fillId="3" borderId="32" xfId="0" applyNumberFormat="1" applyFont="1" applyFill="1" applyBorder="1" applyAlignment="1" applyProtection="1">
      <alignment horizontal="right"/>
    </xf>
    <xf numFmtId="3" fontId="13" fillId="2" borderId="32" xfId="0" applyNumberFormat="1" applyFont="1" applyFill="1" applyBorder="1" applyAlignment="1" applyProtection="1">
      <alignment horizontal="right"/>
      <protection locked="0"/>
    </xf>
    <xf numFmtId="3" fontId="2" fillId="9" borderId="33" xfId="0" applyNumberFormat="1" applyFont="1" applyFill="1" applyBorder="1" applyProtection="1"/>
    <xf numFmtId="3" fontId="2" fillId="9" borderId="34" xfId="0" applyNumberFormat="1" applyFont="1" applyFill="1" applyBorder="1" applyAlignment="1" applyProtection="1">
      <alignment horizontal="right"/>
    </xf>
    <xf numFmtId="3" fontId="2" fillId="9" borderId="35" xfId="0" applyNumberFormat="1" applyFont="1" applyFill="1" applyBorder="1" applyAlignment="1" applyProtection="1">
      <alignment horizontal="right"/>
    </xf>
    <xf numFmtId="0" fontId="3" fillId="10" borderId="36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/>
    </xf>
    <xf numFmtId="0" fontId="3" fillId="10" borderId="38" xfId="0" applyFont="1" applyFill="1" applyBorder="1" applyAlignment="1" applyProtection="1">
      <alignment horizontal="center"/>
    </xf>
    <xf numFmtId="0" fontId="34" fillId="2" borderId="0" xfId="0" applyFont="1" applyFill="1" applyBorder="1" applyProtection="1"/>
    <xf numFmtId="3" fontId="7" fillId="2" borderId="39" xfId="0" applyNumberFormat="1" applyFont="1" applyFill="1" applyBorder="1" applyProtection="1"/>
    <xf numFmtId="3" fontId="36" fillId="2" borderId="39" xfId="0" applyNumberFormat="1" applyFont="1" applyFill="1" applyBorder="1" applyAlignment="1" applyProtection="1">
      <alignment horizontal="left"/>
    </xf>
    <xf numFmtId="3" fontId="2" fillId="9" borderId="40" xfId="0" applyNumberFormat="1" applyFont="1" applyFill="1" applyBorder="1" applyAlignment="1" applyProtection="1">
      <alignment horizontal="right"/>
    </xf>
    <xf numFmtId="3" fontId="2" fillId="9" borderId="20" xfId="0" applyNumberFormat="1" applyFont="1" applyFill="1" applyBorder="1" applyAlignment="1" applyProtection="1">
      <alignment horizontal="right"/>
    </xf>
    <xf numFmtId="3" fontId="2" fillId="9" borderId="41" xfId="0" applyNumberFormat="1" applyFont="1" applyFill="1" applyBorder="1" applyAlignment="1" applyProtection="1">
      <alignment horizontal="right"/>
    </xf>
    <xf numFmtId="0" fontId="31" fillId="7" borderId="0" xfId="6" applyFont="1" applyFill="1" applyBorder="1" applyAlignment="1" applyProtection="1">
      <alignment horizontal="left"/>
    </xf>
    <xf numFmtId="0" fontId="28" fillId="7" borderId="0" xfId="6" applyFont="1" applyFill="1" applyBorder="1" applyAlignment="1" applyProtection="1">
      <alignment horizontal="left"/>
    </xf>
    <xf numFmtId="3" fontId="2" fillId="2" borderId="5" xfId="6" applyNumberFormat="1" applyFont="1" applyFill="1" applyBorder="1" applyAlignment="1" applyProtection="1">
      <alignment horizontal="right"/>
      <protection locked="0"/>
    </xf>
    <xf numFmtId="3" fontId="2" fillId="8" borderId="2" xfId="6" applyNumberFormat="1" applyFont="1" applyFill="1" applyBorder="1" applyAlignment="1" applyProtection="1">
      <alignment horizontal="right"/>
    </xf>
    <xf numFmtId="3" fontId="2" fillId="9" borderId="5" xfId="6" applyNumberFormat="1" applyFont="1" applyFill="1" applyBorder="1" applyAlignment="1" applyProtection="1">
      <alignment horizontal="right"/>
    </xf>
    <xf numFmtId="3" fontId="35" fillId="8" borderId="5" xfId="6" applyNumberFormat="1" applyFont="1" applyFill="1" applyBorder="1" applyProtection="1"/>
    <xf numFmtId="3" fontId="35" fillId="8" borderId="2" xfId="6" applyNumberFormat="1" applyFont="1" applyFill="1" applyBorder="1" applyProtection="1"/>
    <xf numFmtId="3" fontId="35" fillId="8" borderId="42" xfId="6" applyNumberFormat="1" applyFont="1" applyFill="1" applyBorder="1" applyProtection="1"/>
    <xf numFmtId="0" fontId="77" fillId="7" borderId="0" xfId="0" applyFont="1" applyFill="1" applyBorder="1" applyAlignment="1" applyProtection="1">
      <alignment horizontal="left"/>
    </xf>
    <xf numFmtId="3" fontId="56" fillId="2" borderId="0" xfId="0" applyNumberFormat="1" applyFont="1" applyFill="1" applyBorder="1" applyAlignment="1" applyProtection="1"/>
    <xf numFmtId="3" fontId="34" fillId="0" borderId="0" xfId="0" applyNumberFormat="1" applyFont="1" applyFill="1" applyBorder="1" applyProtection="1"/>
    <xf numFmtId="49" fontId="5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Protection="1"/>
    <xf numFmtId="0" fontId="7" fillId="0" borderId="0" xfId="0" applyFont="1" applyFill="1" applyBorder="1" applyProtection="1"/>
    <xf numFmtId="3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3" fontId="13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Alignment="1" applyProtection="1"/>
    <xf numFmtId="49" fontId="2" fillId="10" borderId="44" xfId="0" applyNumberFormat="1" applyFont="1" applyFill="1" applyBorder="1" applyAlignment="1" applyProtection="1"/>
    <xf numFmtId="49" fontId="2" fillId="10" borderId="28" xfId="0" applyNumberFormat="1" applyFont="1" applyFill="1" applyBorder="1" applyAlignment="1" applyProtection="1"/>
    <xf numFmtId="49" fontId="2" fillId="10" borderId="29" xfId="0" applyNumberFormat="1" applyFont="1" applyFill="1" applyBorder="1" applyAlignment="1" applyProtection="1"/>
    <xf numFmtId="49" fontId="2" fillId="10" borderId="45" xfId="0" applyNumberFormat="1" applyFont="1" applyFill="1" applyBorder="1" applyAlignment="1" applyProtection="1"/>
    <xf numFmtId="49" fontId="2" fillId="10" borderId="46" xfId="0" applyNumberFormat="1" applyFont="1" applyFill="1" applyBorder="1" applyAlignment="1" applyProtection="1"/>
    <xf numFmtId="49" fontId="2" fillId="10" borderId="47" xfId="0" applyNumberFormat="1" applyFont="1" applyFill="1" applyBorder="1" applyAlignment="1" applyProtection="1"/>
    <xf numFmtId="49" fontId="2" fillId="10" borderId="30" xfId="0" applyNumberFormat="1" applyFont="1" applyFill="1" applyBorder="1" applyAlignment="1" applyProtection="1"/>
    <xf numFmtId="3" fontId="81" fillId="0" borderId="0" xfId="0" applyNumberFormat="1" applyFont="1" applyFill="1" applyBorder="1" applyProtection="1"/>
    <xf numFmtId="0" fontId="60" fillId="2" borderId="0" xfId="0" applyFont="1" applyFill="1" applyProtection="1"/>
    <xf numFmtId="0" fontId="83" fillId="7" borderId="0" xfId="0" applyFont="1" applyFill="1" applyProtection="1"/>
    <xf numFmtId="0" fontId="60" fillId="2" borderId="0" xfId="0" applyNumberFormat="1" applyFont="1" applyFill="1" applyBorder="1" applyProtection="1"/>
    <xf numFmtId="170" fontId="81" fillId="2" borderId="0" xfId="0" applyNumberFormat="1" applyFont="1" applyFill="1" applyBorder="1" applyAlignment="1" applyProtection="1">
      <alignment horizontal="left"/>
    </xf>
    <xf numFmtId="3" fontId="81" fillId="2" borderId="0" xfId="0" applyNumberFormat="1" applyFont="1" applyFill="1" applyBorder="1" applyProtection="1"/>
    <xf numFmtId="0" fontId="81" fillId="2" borderId="0" xfId="0" applyFont="1" applyFill="1" applyProtection="1"/>
    <xf numFmtId="3" fontId="2" fillId="9" borderId="48" xfId="0" applyNumberFormat="1" applyFont="1" applyFill="1" applyBorder="1" applyAlignment="1" applyProtection="1">
      <alignment horizontal="right"/>
    </xf>
    <xf numFmtId="3" fontId="2" fillId="9" borderId="49" xfId="0" applyNumberFormat="1" applyFont="1" applyFill="1" applyBorder="1" applyAlignment="1" applyProtection="1">
      <alignment horizontal="right"/>
    </xf>
    <xf numFmtId="49" fontId="2" fillId="10" borderId="0" xfId="0" applyNumberFormat="1" applyFont="1" applyFill="1" applyBorder="1" applyAlignment="1" applyProtection="1"/>
    <xf numFmtId="49" fontId="2" fillId="10" borderId="50" xfId="0" applyNumberFormat="1" applyFont="1" applyFill="1" applyBorder="1" applyAlignment="1" applyProtection="1"/>
    <xf numFmtId="49" fontId="2" fillId="10" borderId="51" xfId="0" applyNumberFormat="1" applyFont="1" applyFill="1" applyBorder="1" applyAlignment="1" applyProtection="1"/>
    <xf numFmtId="0" fontId="0" fillId="7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0" fillId="2" borderId="0" xfId="0" applyFill="1" applyBorder="1" applyProtection="1"/>
    <xf numFmtId="0" fontId="2" fillId="2" borderId="0" xfId="0" applyFont="1" applyFill="1" applyBorder="1" applyProtection="1"/>
    <xf numFmtId="0" fontId="0" fillId="0" borderId="0" xfId="0" applyBorder="1" applyAlignment="1" applyProtection="1"/>
    <xf numFmtId="3" fontId="2" fillId="0" borderId="5" xfId="0" applyNumberFormat="1" applyFont="1" applyFill="1" applyBorder="1" applyAlignment="1" applyProtection="1">
      <alignment horizontal="right"/>
      <protection locked="0"/>
    </xf>
    <xf numFmtId="3" fontId="2" fillId="0" borderId="52" xfId="0" applyNumberFormat="1" applyFont="1" applyFill="1" applyBorder="1" applyAlignment="1" applyProtection="1">
      <alignment horizontal="right"/>
      <protection locked="0"/>
    </xf>
    <xf numFmtId="3" fontId="2" fillId="2" borderId="53" xfId="0" applyNumberFormat="1" applyFont="1" applyFill="1" applyBorder="1" applyAlignment="1" applyProtection="1">
      <alignment horizontal="right"/>
      <protection locked="0"/>
    </xf>
    <xf numFmtId="3" fontId="2" fillId="2" borderId="19" xfId="0" applyNumberFormat="1" applyFont="1" applyFill="1" applyBorder="1" applyAlignment="1" applyProtection="1">
      <alignment horizontal="right"/>
      <protection locked="0"/>
    </xf>
    <xf numFmtId="0" fontId="34" fillId="2" borderId="0" xfId="0" applyFont="1" applyFill="1" applyProtection="1"/>
    <xf numFmtId="0" fontId="34" fillId="2" borderId="0" xfId="0" applyFont="1" applyFill="1" applyBorder="1" applyAlignment="1" applyProtection="1">
      <alignment horizontal="left"/>
    </xf>
    <xf numFmtId="0" fontId="49" fillId="2" borderId="0" xfId="0" applyFont="1" applyFill="1" applyProtection="1"/>
    <xf numFmtId="0" fontId="49" fillId="0" borderId="0" xfId="0" applyFont="1" applyFill="1" applyBorder="1" applyProtection="1"/>
    <xf numFmtId="49" fontId="0" fillId="2" borderId="0" xfId="0" applyNumberFormat="1" applyFill="1" applyProtection="1"/>
    <xf numFmtId="0" fontId="82" fillId="2" borderId="0" xfId="0" applyFont="1" applyFill="1" applyProtection="1"/>
    <xf numFmtId="0" fontId="22" fillId="2" borderId="0" xfId="0" applyFont="1" applyFill="1" applyProtection="1"/>
    <xf numFmtId="3" fontId="2" fillId="2" borderId="54" xfId="0" applyNumberFormat="1" applyFont="1" applyFill="1" applyBorder="1" applyAlignment="1" applyProtection="1">
      <alignment horizontal="right"/>
      <protection locked="0"/>
    </xf>
    <xf numFmtId="3" fontId="2" fillId="6" borderId="18" xfId="0" applyNumberFormat="1" applyFont="1" applyFill="1" applyBorder="1" applyAlignment="1" applyProtection="1">
      <alignment horizontal="right"/>
      <protection locked="0"/>
    </xf>
    <xf numFmtId="3" fontId="2" fillId="2" borderId="55" xfId="0" applyNumberFormat="1" applyFont="1" applyFill="1" applyBorder="1" applyAlignment="1" applyProtection="1">
      <alignment horizontal="right"/>
      <protection locked="0"/>
    </xf>
    <xf numFmtId="3" fontId="2" fillId="6" borderId="19" xfId="0" applyNumberFormat="1" applyFont="1" applyFill="1" applyBorder="1" applyAlignment="1" applyProtection="1">
      <alignment horizontal="right"/>
      <protection locked="0"/>
    </xf>
    <xf numFmtId="3" fontId="2" fillId="11" borderId="18" xfId="0" applyNumberFormat="1" applyFont="1" applyFill="1" applyBorder="1" applyAlignment="1" applyProtection="1">
      <alignment horizontal="right"/>
      <protection locked="0"/>
    </xf>
    <xf numFmtId="3" fontId="2" fillId="6" borderId="54" xfId="0" applyNumberFormat="1" applyFont="1" applyFill="1" applyBorder="1" applyAlignment="1" applyProtection="1">
      <alignment horizontal="right"/>
      <protection locked="0"/>
    </xf>
    <xf numFmtId="3" fontId="2" fillId="6" borderId="12" xfId="0" applyNumberFormat="1" applyFont="1" applyFill="1" applyBorder="1" applyAlignment="1" applyProtection="1">
      <alignment horizontal="right"/>
      <protection locked="0"/>
    </xf>
    <xf numFmtId="3" fontId="2" fillId="6" borderId="56" xfId="0" applyNumberFormat="1" applyFont="1" applyFill="1" applyBorder="1" applyAlignment="1" applyProtection="1">
      <alignment horizontal="right"/>
      <protection locked="0"/>
    </xf>
    <xf numFmtId="3" fontId="2" fillId="2" borderId="20" xfId="0" applyNumberFormat="1" applyFont="1" applyFill="1" applyBorder="1" applyAlignment="1" applyProtection="1">
      <alignment horizontal="right"/>
      <protection locked="0"/>
    </xf>
    <xf numFmtId="3" fontId="2" fillId="2" borderId="57" xfId="0" applyNumberFormat="1" applyFont="1" applyFill="1" applyBorder="1" applyAlignment="1" applyProtection="1">
      <alignment horizontal="right"/>
      <protection locked="0"/>
    </xf>
    <xf numFmtId="0" fontId="0" fillId="7" borderId="0" xfId="0" applyFill="1" applyBorder="1" applyProtection="1"/>
    <xf numFmtId="0" fontId="22" fillId="2" borderId="0" xfId="0" applyFont="1" applyFill="1" applyBorder="1" applyProtection="1"/>
    <xf numFmtId="0" fontId="52" fillId="2" borderId="0" xfId="0" quotePrefix="1" applyFont="1" applyFill="1" applyAlignment="1" applyProtection="1">
      <alignment horizontal="left"/>
    </xf>
    <xf numFmtId="0" fontId="38" fillId="0" borderId="0" xfId="0" applyFont="1" applyFill="1" applyBorder="1" applyProtection="1"/>
    <xf numFmtId="0" fontId="49" fillId="0" borderId="0" xfId="0" applyFont="1" applyFill="1" applyProtection="1"/>
    <xf numFmtId="0" fontId="0" fillId="0" borderId="0" xfId="0" applyFill="1" applyProtection="1"/>
    <xf numFmtId="0" fontId="11" fillId="4" borderId="0" xfId="0" applyFont="1" applyFill="1" applyBorder="1" applyProtection="1"/>
    <xf numFmtId="49" fontId="11" fillId="0" borderId="58" xfId="0" applyNumberFormat="1" applyFont="1" applyFill="1" applyBorder="1" applyProtection="1"/>
    <xf numFmtId="0" fontId="22" fillId="0" borderId="0" xfId="0" applyFont="1" applyFill="1" applyBorder="1" applyProtection="1"/>
    <xf numFmtId="0" fontId="23" fillId="4" borderId="0" xfId="0" applyFont="1" applyFill="1" applyBorder="1" applyProtection="1"/>
    <xf numFmtId="3" fontId="13" fillId="4" borderId="0" xfId="0" applyNumberFormat="1" applyFont="1" applyFill="1" applyBorder="1" applyProtection="1"/>
    <xf numFmtId="0" fontId="49" fillId="2" borderId="0" xfId="0" applyFont="1" applyFill="1" applyBorder="1" applyProtection="1"/>
    <xf numFmtId="0" fontId="19" fillId="2" borderId="0" xfId="0" applyFont="1" applyFill="1" applyBorder="1" applyProtection="1"/>
    <xf numFmtId="0" fontId="11" fillId="2" borderId="0" xfId="0" applyFont="1" applyFill="1" applyBorder="1" applyProtection="1"/>
    <xf numFmtId="49" fontId="11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22" fillId="0" borderId="0" xfId="0" applyFont="1" applyProtection="1"/>
    <xf numFmtId="0" fontId="22" fillId="0" borderId="0" xfId="0" applyFont="1" applyBorder="1" applyProtection="1"/>
    <xf numFmtId="0" fontId="79" fillId="0" borderId="0" xfId="0" applyFont="1" applyFill="1" applyBorder="1" applyProtection="1"/>
    <xf numFmtId="3" fontId="2" fillId="0" borderId="32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Border="1" applyProtection="1"/>
    <xf numFmtId="0" fontId="9" fillId="2" borderId="1" xfId="0" applyFont="1" applyFill="1" applyBorder="1" applyProtection="1"/>
    <xf numFmtId="0" fontId="19" fillId="2" borderId="0" xfId="0" applyFont="1" applyFill="1" applyProtection="1"/>
    <xf numFmtId="0" fontId="9" fillId="0" borderId="0" xfId="0" applyFont="1" applyFill="1" applyBorder="1" applyProtection="1"/>
    <xf numFmtId="3" fontId="2" fillId="2" borderId="59" xfId="0" applyNumberFormat="1" applyFont="1" applyFill="1" applyBorder="1" applyAlignment="1" applyProtection="1">
      <alignment horizontal="right"/>
      <protection locked="0"/>
    </xf>
    <xf numFmtId="3" fontId="13" fillId="2" borderId="53" xfId="0" applyNumberFormat="1" applyFont="1" applyFill="1" applyBorder="1" applyAlignment="1" applyProtection="1">
      <alignment horizontal="right"/>
      <protection locked="0"/>
    </xf>
    <xf numFmtId="3" fontId="13" fillId="0" borderId="20" xfId="0" applyNumberFormat="1" applyFont="1" applyFill="1" applyBorder="1" applyAlignment="1" applyProtection="1">
      <alignment horizontal="right"/>
      <protection locked="0"/>
    </xf>
    <xf numFmtId="3" fontId="13" fillId="0" borderId="19" xfId="0" applyNumberFormat="1" applyFont="1" applyFill="1" applyBorder="1" applyAlignment="1" applyProtection="1">
      <alignment horizontal="right"/>
      <protection locked="0"/>
    </xf>
    <xf numFmtId="3" fontId="2" fillId="2" borderId="60" xfId="0" applyNumberFormat="1" applyFont="1" applyFill="1" applyBorder="1" applyAlignment="1" applyProtection="1">
      <alignment horizontal="right"/>
      <protection locked="0"/>
    </xf>
    <xf numFmtId="3" fontId="10" fillId="2" borderId="18" xfId="0" applyNumberFormat="1" applyFont="1" applyFill="1" applyBorder="1" applyAlignment="1" applyProtection="1">
      <alignment horizontal="right"/>
      <protection locked="0"/>
    </xf>
    <xf numFmtId="3" fontId="13" fillId="0" borderId="18" xfId="0" applyNumberFormat="1" applyFont="1" applyFill="1" applyBorder="1" applyAlignment="1" applyProtection="1">
      <alignment horizontal="right"/>
      <protection locked="0"/>
    </xf>
    <xf numFmtId="3" fontId="13" fillId="0" borderId="26" xfId="0" applyNumberFormat="1" applyFont="1" applyFill="1" applyBorder="1" applyAlignment="1" applyProtection="1">
      <alignment horizontal="right"/>
      <protection locked="0"/>
    </xf>
    <xf numFmtId="3" fontId="13" fillId="2" borderId="61" xfId="0" applyNumberFormat="1" applyFont="1" applyFill="1" applyBorder="1" applyAlignment="1" applyProtection="1">
      <alignment horizontal="right"/>
      <protection locked="0"/>
    </xf>
    <xf numFmtId="3" fontId="13" fillId="0" borderId="62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Protection="1"/>
    <xf numFmtId="0" fontId="34" fillId="0" borderId="0" xfId="0" applyFont="1" applyFill="1" applyProtection="1"/>
    <xf numFmtId="0" fontId="11" fillId="0" borderId="0" xfId="0" applyFont="1" applyFill="1" applyBorder="1" applyAlignment="1" applyProtection="1">
      <alignment horizontal="center"/>
    </xf>
    <xf numFmtId="3" fontId="13" fillId="0" borderId="63" xfId="0" applyNumberFormat="1" applyFont="1" applyFill="1" applyBorder="1" applyAlignment="1" applyProtection="1">
      <alignment horizontal="right"/>
      <protection locked="0"/>
    </xf>
    <xf numFmtId="0" fontId="57" fillId="0" borderId="0" xfId="0" applyFont="1" applyFill="1" applyBorder="1" applyProtection="1"/>
    <xf numFmtId="0" fontId="57" fillId="2" borderId="0" xfId="0" applyFont="1" applyFill="1" applyProtection="1"/>
    <xf numFmtId="0" fontId="62" fillId="2" borderId="0" xfId="0" applyFont="1" applyFill="1" applyAlignment="1" applyProtection="1"/>
    <xf numFmtId="0" fontId="62" fillId="0" borderId="0" xfId="0" applyFont="1" applyFill="1" applyBorder="1" applyAlignment="1" applyProtection="1"/>
    <xf numFmtId="0" fontId="0" fillId="2" borderId="0" xfId="0" applyFont="1" applyFill="1" applyProtection="1"/>
    <xf numFmtId="0" fontId="0" fillId="0" borderId="0" xfId="0" applyFont="1" applyFill="1" applyBorder="1" applyProtection="1"/>
    <xf numFmtId="0" fontId="0" fillId="2" borderId="0" xfId="0" applyFill="1" applyBorder="1" applyAlignment="1" applyProtection="1">
      <alignment horizontal="left"/>
    </xf>
    <xf numFmtId="49" fontId="3" fillId="0" borderId="0" xfId="0" applyNumberFormat="1" applyFont="1" applyFill="1" applyBorder="1" applyProtection="1"/>
    <xf numFmtId="3" fontId="10" fillId="2" borderId="8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5" xfId="0" quotePrefix="1" applyNumberFormat="1" applyFont="1" applyFill="1" applyBorder="1" applyAlignment="1" applyProtection="1">
      <alignment horizontal="right"/>
      <protection locked="0"/>
    </xf>
    <xf numFmtId="3" fontId="10" fillId="0" borderId="8" xfId="0" applyNumberFormat="1" applyFont="1" applyFill="1" applyBorder="1" applyAlignment="1" applyProtection="1">
      <alignment horizontal="right"/>
      <protection locked="0"/>
    </xf>
    <xf numFmtId="3" fontId="10" fillId="0" borderId="5" xfId="0" applyNumberFormat="1" applyFont="1" applyFill="1" applyBorder="1" applyAlignment="1" applyProtection="1">
      <alignment horizontal="right"/>
      <protection locked="0"/>
    </xf>
    <xf numFmtId="3" fontId="13" fillId="2" borderId="42" xfId="0" applyNumberFormat="1" applyFont="1" applyFill="1" applyBorder="1" applyAlignment="1" applyProtection="1">
      <alignment horizontal="right"/>
      <protection locked="0"/>
    </xf>
    <xf numFmtId="3" fontId="13" fillId="6" borderId="42" xfId="0" applyNumberFormat="1" applyFont="1" applyFill="1" applyBorder="1" applyAlignment="1" applyProtection="1">
      <alignment horizontal="right"/>
      <protection locked="0"/>
    </xf>
    <xf numFmtId="3" fontId="13" fillId="2" borderId="13" xfId="0" applyNumberFormat="1" applyFont="1" applyFill="1" applyBorder="1" applyAlignment="1" applyProtection="1">
      <alignment horizontal="right"/>
      <protection locked="0"/>
    </xf>
    <xf numFmtId="0" fontId="7" fillId="2" borderId="39" xfId="0" applyFont="1" applyFill="1" applyBorder="1" applyProtection="1"/>
    <xf numFmtId="0" fontId="80" fillId="0" borderId="39" xfId="12" applyFont="1" applyFill="1" applyBorder="1" applyProtection="1"/>
    <xf numFmtId="3" fontId="2" fillId="9" borderId="19" xfId="0" applyNumberFormat="1" applyFont="1" applyFill="1" applyBorder="1" applyAlignment="1" applyProtection="1">
      <alignment horizontal="right"/>
    </xf>
    <xf numFmtId="3" fontId="9" fillId="2" borderId="0" xfId="0" applyNumberFormat="1" applyFont="1" applyFill="1" applyBorder="1" applyProtection="1"/>
    <xf numFmtId="3" fontId="79" fillId="2" borderId="0" xfId="0" applyNumberFormat="1" applyFont="1" applyFill="1" applyBorder="1" applyProtection="1"/>
    <xf numFmtId="49" fontId="22" fillId="7" borderId="0" xfId="0" applyNumberFormat="1" applyFont="1" applyFill="1" applyProtection="1"/>
    <xf numFmtId="49" fontId="3" fillId="10" borderId="47" xfId="0" applyNumberFormat="1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5" fillId="0" borderId="0" xfId="0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56" fillId="0" borderId="0" xfId="0" applyFont="1" applyFill="1" applyBorder="1" applyAlignment="1" applyProtection="1">
      <alignment vertical="top"/>
    </xf>
    <xf numFmtId="169" fontId="3" fillId="0" borderId="0" xfId="12" applyNumberFormat="1" applyFont="1" applyFill="1" applyBorder="1" applyAlignment="1" applyProtection="1">
      <alignment horizontal="left"/>
    </xf>
    <xf numFmtId="49" fontId="22" fillId="0" borderId="0" xfId="0" applyNumberFormat="1" applyFont="1" applyAlignment="1" applyProtection="1">
      <alignment horizontal="left"/>
    </xf>
    <xf numFmtId="49" fontId="22" fillId="0" borderId="0" xfId="0" applyNumberFormat="1" applyFont="1" applyProtection="1"/>
    <xf numFmtId="0" fontId="78" fillId="0" borderId="0" xfId="0" applyFont="1" applyProtection="1"/>
    <xf numFmtId="3" fontId="10" fillId="0" borderId="19" xfId="0" applyNumberFormat="1" applyFont="1" applyFill="1" applyBorder="1" applyAlignment="1" applyProtection="1">
      <alignment horizontal="right"/>
      <protection locked="0"/>
    </xf>
    <xf numFmtId="3" fontId="10" fillId="0" borderId="4" xfId="0" applyNumberFormat="1" applyFont="1" applyFill="1" applyBorder="1" applyAlignment="1" applyProtection="1">
      <alignment horizontal="right"/>
      <protection locked="0"/>
    </xf>
    <xf numFmtId="0" fontId="22" fillId="7" borderId="0" xfId="6" applyFill="1" applyProtection="1"/>
    <xf numFmtId="1" fontId="22" fillId="7" borderId="0" xfId="6" applyNumberFormat="1" applyFill="1" applyProtection="1"/>
    <xf numFmtId="0" fontId="22" fillId="0" borderId="0" xfId="6" applyFill="1" applyBorder="1" applyProtection="1"/>
    <xf numFmtId="0" fontId="22" fillId="0" borderId="0" xfId="6" applyProtection="1"/>
    <xf numFmtId="0" fontId="22" fillId="0" borderId="0" xfId="6" applyBorder="1" applyProtection="1"/>
    <xf numFmtId="1" fontId="51" fillId="2" borderId="0" xfId="12" applyNumberFormat="1" applyFont="1" applyFill="1" applyBorder="1" applyAlignment="1" applyProtection="1">
      <alignment horizontal="left"/>
    </xf>
    <xf numFmtId="0" fontId="22" fillId="2" borderId="0" xfId="6" applyFont="1" applyFill="1" applyProtection="1"/>
    <xf numFmtId="0" fontId="49" fillId="2" borderId="0" xfId="6" applyFont="1" applyFill="1" applyProtection="1"/>
    <xf numFmtId="1" fontId="22" fillId="0" borderId="0" xfId="6" applyNumberFormat="1" applyProtection="1"/>
    <xf numFmtId="0" fontId="22" fillId="0" borderId="0" xfId="6" applyFont="1" applyProtection="1"/>
    <xf numFmtId="3" fontId="2" fillId="2" borderId="2" xfId="6" applyNumberFormat="1" applyFont="1" applyFill="1" applyBorder="1" applyAlignment="1" applyProtection="1">
      <alignment horizontal="right"/>
      <protection locked="0"/>
    </xf>
    <xf numFmtId="3" fontId="2" fillId="2" borderId="15" xfId="6" applyNumberFormat="1" applyFont="1" applyFill="1" applyBorder="1" applyAlignment="1" applyProtection="1">
      <alignment horizontal="right"/>
      <protection locked="0"/>
    </xf>
    <xf numFmtId="0" fontId="22" fillId="0" borderId="0" xfId="0" applyFont="1" applyFill="1" applyProtection="1"/>
    <xf numFmtId="49" fontId="22" fillId="0" borderId="0" xfId="0" applyNumberFormat="1" applyFont="1" applyFill="1" applyBorder="1" applyAlignment="1" applyProtection="1">
      <alignment horizontal="left"/>
    </xf>
    <xf numFmtId="0" fontId="0" fillId="7" borderId="0" xfId="0" applyFill="1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Alignment="1" applyProtection="1"/>
    <xf numFmtId="3" fontId="2" fillId="2" borderId="61" xfId="0" applyNumberFormat="1" applyFont="1" applyFill="1" applyBorder="1" applyAlignment="1" applyProtection="1">
      <alignment horizontal="right"/>
      <protection locked="0"/>
    </xf>
    <xf numFmtId="3" fontId="2" fillId="2" borderId="62" xfId="0" applyNumberFormat="1" applyFont="1" applyFill="1" applyBorder="1" applyAlignment="1" applyProtection="1">
      <alignment horizontal="right"/>
      <protection locked="0"/>
    </xf>
    <xf numFmtId="3" fontId="2" fillId="2" borderId="64" xfId="0" applyNumberFormat="1" applyFont="1" applyFill="1" applyBorder="1" applyAlignment="1" applyProtection="1">
      <alignment horizontal="right"/>
      <protection locked="0"/>
    </xf>
    <xf numFmtId="3" fontId="2" fillId="2" borderId="65" xfId="0" applyNumberFormat="1" applyFont="1" applyFill="1" applyBorder="1" applyAlignment="1" applyProtection="1">
      <alignment horizontal="right"/>
      <protection locked="0"/>
    </xf>
    <xf numFmtId="3" fontId="13" fillId="2" borderId="62" xfId="0" applyNumberFormat="1" applyFont="1" applyFill="1" applyBorder="1" applyAlignment="1" applyProtection="1">
      <alignment horizontal="right"/>
      <protection locked="0"/>
    </xf>
    <xf numFmtId="3" fontId="2" fillId="6" borderId="63" xfId="0" applyNumberFormat="1" applyFont="1" applyFill="1" applyBorder="1" applyAlignment="1" applyProtection="1">
      <alignment horizontal="right"/>
      <protection locked="0"/>
    </xf>
    <xf numFmtId="171" fontId="34" fillId="0" borderId="0" xfId="6" applyNumberFormat="1" applyFont="1" applyFill="1" applyBorder="1" applyAlignment="1" applyProtection="1">
      <alignment vertical="top" wrapText="1"/>
    </xf>
    <xf numFmtId="3" fontId="2" fillId="9" borderId="66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/>
    <xf numFmtId="3" fontId="35" fillId="8" borderId="68" xfId="6" applyNumberFormat="1" applyFont="1" applyFill="1" applyBorder="1" applyProtection="1"/>
    <xf numFmtId="3" fontId="35" fillId="8" borderId="35" xfId="6" applyNumberFormat="1" applyFont="1" applyFill="1" applyBorder="1" applyProtection="1"/>
    <xf numFmtId="3" fontId="35" fillId="8" borderId="25" xfId="6" applyNumberFormat="1" applyFont="1" applyFill="1" applyBorder="1" applyProtection="1"/>
    <xf numFmtId="165" fontId="9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/>
    </xf>
    <xf numFmtId="3" fontId="13" fillId="0" borderId="69" xfId="0" applyNumberFormat="1" applyFont="1" applyFill="1" applyBorder="1" applyAlignment="1" applyProtection="1">
      <alignment horizontal="right"/>
      <protection locked="0"/>
    </xf>
    <xf numFmtId="3" fontId="13" fillId="9" borderId="26" xfId="0" applyNumberFormat="1" applyFont="1" applyFill="1" applyBorder="1" applyProtection="1"/>
    <xf numFmtId="0" fontId="10" fillId="0" borderId="0" xfId="6" applyFont="1" applyFill="1" applyBorder="1" applyProtection="1"/>
    <xf numFmtId="3" fontId="35" fillId="0" borderId="0" xfId="6" applyNumberFormat="1" applyFont="1" applyFill="1" applyBorder="1" applyProtection="1"/>
    <xf numFmtId="0" fontId="22" fillId="0" borderId="0" xfId="6" applyFont="1" applyFill="1" applyProtection="1"/>
    <xf numFmtId="0" fontId="34" fillId="0" borderId="0" xfId="0" applyFont="1" applyFill="1" applyBorder="1" applyProtection="1"/>
    <xf numFmtId="0" fontId="0" fillId="0" borderId="1" xfId="0" applyBorder="1"/>
    <xf numFmtId="3" fontId="13" fillId="2" borderId="19" xfId="0" applyNumberFormat="1" applyFont="1" applyFill="1" applyBorder="1" applyAlignment="1" applyProtection="1">
      <protection locked="0"/>
    </xf>
    <xf numFmtId="171" fontId="34" fillId="0" borderId="0" xfId="0" applyNumberFormat="1" applyFont="1" applyFill="1" applyProtection="1"/>
    <xf numFmtId="171" fontId="34" fillId="2" borderId="0" xfId="0" applyNumberFormat="1" applyFont="1" applyFill="1" applyProtection="1"/>
    <xf numFmtId="0" fontId="34" fillId="2" borderId="0" xfId="0" applyFont="1" applyFill="1" applyBorder="1" applyAlignment="1" applyProtection="1">
      <alignment horizontal="left" vertical="top" wrapText="1"/>
    </xf>
    <xf numFmtId="3" fontId="2" fillId="2" borderId="8" xfId="0" applyNumberFormat="1" applyFont="1" applyFill="1" applyBorder="1" applyAlignment="1" applyProtection="1">
      <alignment horizontal="right"/>
      <protection locked="0"/>
    </xf>
    <xf numFmtId="3" fontId="2" fillId="2" borderId="70" xfId="6" applyNumberFormat="1" applyFont="1" applyFill="1" applyBorder="1" applyAlignment="1" applyProtection="1">
      <alignment horizontal="right"/>
      <protection locked="0"/>
    </xf>
    <xf numFmtId="3" fontId="2" fillId="2" borderId="6" xfId="6" applyNumberFormat="1" applyFont="1" applyFill="1" applyBorder="1" applyAlignment="1" applyProtection="1">
      <alignment horizontal="right"/>
      <protection locked="0"/>
    </xf>
    <xf numFmtId="3" fontId="2" fillId="2" borderId="71" xfId="6" applyNumberFormat="1" applyFont="1" applyFill="1" applyBorder="1" applyAlignment="1" applyProtection="1">
      <alignment horizontal="right"/>
      <protection locked="0"/>
    </xf>
    <xf numFmtId="3" fontId="2" fillId="2" borderId="25" xfId="6" applyNumberFormat="1" applyFont="1" applyFill="1" applyBorder="1" applyAlignment="1" applyProtection="1">
      <alignment horizontal="right"/>
      <protection locked="0"/>
    </xf>
    <xf numFmtId="3" fontId="2" fillId="2" borderId="72" xfId="6" applyNumberFormat="1" applyFont="1" applyFill="1" applyBorder="1" applyAlignment="1" applyProtection="1">
      <alignment horizontal="right"/>
      <protection locked="0"/>
    </xf>
    <xf numFmtId="0" fontId="36" fillId="0" borderId="0" xfId="6" applyFont="1" applyProtection="1"/>
    <xf numFmtId="0" fontId="48" fillId="2" borderId="0" xfId="6" applyFont="1" applyFill="1" applyProtection="1"/>
    <xf numFmtId="0" fontId="34" fillId="0" borderId="0" xfId="6" quotePrefix="1" applyNumberFormat="1" applyFont="1" applyProtection="1"/>
    <xf numFmtId="3" fontId="68" fillId="8" borderId="25" xfId="6" applyNumberFormat="1" applyFont="1" applyFill="1" applyBorder="1" applyAlignment="1" applyProtection="1">
      <alignment horizontal="right"/>
    </xf>
    <xf numFmtId="3" fontId="2" fillId="8" borderId="5" xfId="6" applyNumberFormat="1" applyFont="1" applyFill="1" applyBorder="1" applyAlignment="1" applyProtection="1"/>
    <xf numFmtId="3" fontId="68" fillId="12" borderId="25" xfId="6" applyNumberFormat="1" applyFont="1" applyFill="1" applyBorder="1" applyAlignment="1" applyProtection="1">
      <alignment horizontal="right"/>
    </xf>
    <xf numFmtId="3" fontId="2" fillId="8" borderId="12" xfId="6" applyNumberFormat="1" applyFont="1" applyFill="1" applyBorder="1" applyAlignment="1" applyProtection="1"/>
    <xf numFmtId="3" fontId="68" fillId="8" borderId="25" xfId="6" quotePrefix="1" applyNumberFormat="1" applyFont="1" applyFill="1" applyBorder="1" applyAlignment="1" applyProtection="1">
      <alignment horizontal="right"/>
    </xf>
    <xf numFmtId="3" fontId="2" fillId="8" borderId="5" xfId="0" applyNumberFormat="1" applyFont="1" applyFill="1" applyBorder="1" applyAlignment="1" applyProtection="1">
      <alignment horizontal="right"/>
    </xf>
    <xf numFmtId="0" fontId="35" fillId="2" borderId="0" xfId="0" applyFont="1" applyFill="1" applyAlignment="1" applyProtection="1">
      <alignment horizontal="right"/>
    </xf>
    <xf numFmtId="3" fontId="2" fillId="2" borderId="3" xfId="6" applyNumberFormat="1" applyFont="1" applyFill="1" applyBorder="1" applyAlignment="1" applyProtection="1">
      <alignment horizontal="right"/>
      <protection locked="0"/>
    </xf>
    <xf numFmtId="3" fontId="34" fillId="0" borderId="74" xfId="6" quotePrefix="1" applyNumberFormat="1" applyFont="1" applyFill="1" applyBorder="1" applyAlignment="1" applyProtection="1">
      <alignment horizontal="left"/>
    </xf>
    <xf numFmtId="0" fontId="36" fillId="0" borderId="76" xfId="6" applyFont="1" applyBorder="1" applyProtection="1"/>
    <xf numFmtId="0" fontId="89" fillId="0" borderId="76" xfId="6" applyFont="1" applyBorder="1" applyProtection="1"/>
    <xf numFmtId="3" fontId="34" fillId="0" borderId="78" xfId="6" quotePrefix="1" applyNumberFormat="1" applyFont="1" applyFill="1" applyBorder="1" applyAlignment="1" applyProtection="1">
      <alignment horizontal="left"/>
    </xf>
    <xf numFmtId="0" fontId="22" fillId="0" borderId="79" xfId="6" applyBorder="1" applyProtection="1"/>
    <xf numFmtId="0" fontId="22" fillId="0" borderId="52" xfId="6" applyBorder="1" applyProtection="1"/>
    <xf numFmtId="0" fontId="22" fillId="0" borderId="80" xfId="6" applyBorder="1" applyProtection="1"/>
    <xf numFmtId="0" fontId="34" fillId="0" borderId="0" xfId="6" applyFont="1" applyProtection="1"/>
    <xf numFmtId="3" fontId="34" fillId="0" borderId="0" xfId="6" quotePrefix="1" applyNumberFormat="1" applyFont="1" applyFill="1" applyBorder="1" applyAlignment="1" applyProtection="1">
      <alignment horizontal="left"/>
    </xf>
    <xf numFmtId="3" fontId="2" fillId="9" borderId="81" xfId="6" applyNumberFormat="1" applyFont="1" applyFill="1" applyBorder="1" applyProtection="1"/>
    <xf numFmtId="3" fontId="2" fillId="9" borderId="82" xfId="6" applyNumberFormat="1" applyFont="1" applyFill="1" applyBorder="1" applyProtection="1"/>
    <xf numFmtId="3" fontId="2" fillId="3" borderId="13" xfId="0" applyNumberFormat="1" applyFont="1" applyFill="1" applyBorder="1" applyProtection="1"/>
    <xf numFmtId="3" fontId="2" fillId="3" borderId="26" xfId="0" applyNumberFormat="1" applyFont="1" applyFill="1" applyBorder="1" applyProtection="1"/>
    <xf numFmtId="3" fontId="2" fillId="3" borderId="20" xfId="0" applyNumberFormat="1" applyFont="1" applyFill="1" applyBorder="1" applyProtection="1"/>
    <xf numFmtId="3" fontId="2" fillId="3" borderId="83" xfId="0" applyNumberFormat="1" applyFont="1" applyFill="1" applyBorder="1" applyProtection="1"/>
    <xf numFmtId="3" fontId="2" fillId="3" borderId="54" xfId="0" applyNumberFormat="1" applyFont="1" applyFill="1" applyBorder="1" applyProtection="1"/>
    <xf numFmtId="3" fontId="2" fillId="3" borderId="56" xfId="0" applyNumberFormat="1" applyFont="1" applyFill="1" applyBorder="1" applyProtection="1"/>
    <xf numFmtId="3" fontId="2" fillId="3" borderId="69" xfId="0" applyNumberFormat="1" applyFont="1" applyFill="1" applyBorder="1" applyProtection="1"/>
    <xf numFmtId="3" fontId="2" fillId="3" borderId="25" xfId="0" applyNumberFormat="1" applyFont="1" applyFill="1" applyBorder="1" applyProtection="1"/>
    <xf numFmtId="3" fontId="2" fillId="3" borderId="19" xfId="0" applyNumberFormat="1" applyFont="1" applyFill="1" applyBorder="1" applyProtection="1"/>
    <xf numFmtId="3" fontId="2" fillId="3" borderId="63" xfId="0" applyNumberFormat="1" applyFont="1" applyFill="1" applyBorder="1" applyProtection="1"/>
    <xf numFmtId="3" fontId="2" fillId="3" borderId="84" xfId="0" applyNumberFormat="1" applyFont="1" applyFill="1" applyBorder="1" applyProtection="1"/>
    <xf numFmtId="3" fontId="2" fillId="3" borderId="5" xfId="0" applyNumberFormat="1" applyFont="1" applyFill="1" applyBorder="1" applyProtection="1"/>
    <xf numFmtId="3" fontId="2" fillId="3" borderId="85" xfId="0" applyNumberFormat="1" applyFont="1" applyFill="1" applyBorder="1" applyProtection="1"/>
    <xf numFmtId="3" fontId="2" fillId="3" borderId="86" xfId="0" applyNumberFormat="1" applyFont="1" applyFill="1" applyBorder="1" applyProtection="1"/>
    <xf numFmtId="3" fontId="2" fillId="3" borderId="80" xfId="0" applyNumberFormat="1" applyFont="1" applyFill="1" applyBorder="1" applyProtection="1"/>
    <xf numFmtId="3" fontId="13" fillId="3" borderId="59" xfId="0" applyNumberFormat="1" applyFont="1" applyFill="1" applyBorder="1" applyProtection="1"/>
    <xf numFmtId="3" fontId="13" fillId="3" borderId="87" xfId="0" applyNumberFormat="1" applyFont="1" applyFill="1" applyBorder="1" applyProtection="1"/>
    <xf numFmtId="3" fontId="13" fillId="3" borderId="88" xfId="0" applyNumberFormat="1" applyFont="1" applyFill="1" applyBorder="1" applyProtection="1"/>
    <xf numFmtId="3" fontId="13" fillId="3" borderId="85" xfId="0" applyNumberFormat="1" applyFont="1" applyFill="1" applyBorder="1" applyProtection="1"/>
    <xf numFmtId="3" fontId="13" fillId="3" borderId="26" xfId="0" applyNumberFormat="1" applyFont="1" applyFill="1" applyBorder="1" applyProtection="1"/>
    <xf numFmtId="3" fontId="13" fillId="3" borderId="20" xfId="0" applyNumberFormat="1" applyFont="1" applyFill="1" applyBorder="1" applyProtection="1"/>
    <xf numFmtId="3" fontId="13" fillId="3" borderId="18" xfId="0" applyNumberFormat="1" applyFont="1" applyFill="1" applyBorder="1" applyProtection="1"/>
    <xf numFmtId="3" fontId="13" fillId="3" borderId="19" xfId="0" applyNumberFormat="1" applyFont="1" applyFill="1" applyBorder="1" applyProtection="1"/>
    <xf numFmtId="3" fontId="13" fillId="3" borderId="5" xfId="0" applyNumberFormat="1" applyFont="1" applyFill="1" applyBorder="1" applyAlignment="1" applyProtection="1">
      <alignment horizontal="right"/>
    </xf>
    <xf numFmtId="3" fontId="2" fillId="13" borderId="7" xfId="0" applyNumberFormat="1" applyFont="1" applyFill="1" applyBorder="1" applyAlignment="1" applyProtection="1">
      <alignment horizontal="right"/>
    </xf>
    <xf numFmtId="3" fontId="2" fillId="3" borderId="42" xfId="0" applyNumberFormat="1" applyFont="1" applyFill="1" applyBorder="1" applyAlignment="1" applyProtection="1">
      <alignment horizontal="right"/>
    </xf>
    <xf numFmtId="3" fontId="2" fillId="3" borderId="89" xfId="0" applyNumberFormat="1" applyFont="1" applyFill="1" applyBorder="1" applyAlignment="1" applyProtection="1">
      <alignment horizontal="right"/>
    </xf>
    <xf numFmtId="3" fontId="2" fillId="3" borderId="83" xfId="0" applyNumberFormat="1" applyFont="1" applyFill="1" applyBorder="1" applyAlignment="1" applyProtection="1">
      <alignment horizontal="right"/>
    </xf>
    <xf numFmtId="3" fontId="2" fillId="3" borderId="90" xfId="0" applyNumberFormat="1" applyFont="1" applyFill="1" applyBorder="1" applyAlignment="1" applyProtection="1">
      <alignment horizontal="right"/>
    </xf>
    <xf numFmtId="3" fontId="2" fillId="3" borderId="13" xfId="0" applyNumberFormat="1" applyFont="1" applyFill="1" applyBorder="1" applyAlignment="1" applyProtection="1">
      <alignment horizontal="right"/>
    </xf>
    <xf numFmtId="3" fontId="13" fillId="3" borderId="18" xfId="0" applyNumberFormat="1" applyFont="1" applyFill="1" applyBorder="1" applyAlignment="1" applyProtection="1">
      <alignment horizontal="right"/>
    </xf>
    <xf numFmtId="3" fontId="13" fillId="3" borderId="3" xfId="0" applyNumberFormat="1" applyFont="1" applyFill="1" applyBorder="1" applyAlignment="1" applyProtection="1">
      <alignment horizontal="right"/>
    </xf>
    <xf numFmtId="3" fontId="13" fillId="3" borderId="22" xfId="0" applyNumberFormat="1" applyFont="1" applyFill="1" applyBorder="1" applyAlignment="1" applyProtection="1">
      <alignment horizontal="right"/>
    </xf>
    <xf numFmtId="3" fontId="13" fillId="3" borderId="7" xfId="0" applyNumberFormat="1" applyFont="1" applyFill="1" applyBorder="1" applyAlignment="1" applyProtection="1">
      <alignment horizontal="right"/>
    </xf>
    <xf numFmtId="3" fontId="13" fillId="3" borderId="91" xfId="0" applyNumberFormat="1" applyFont="1" applyFill="1" applyBorder="1" applyAlignment="1" applyProtection="1">
      <alignment horizontal="right"/>
    </xf>
    <xf numFmtId="3" fontId="13" fillId="3" borderId="92" xfId="0" applyNumberFormat="1" applyFont="1" applyFill="1" applyBorder="1" applyAlignment="1" applyProtection="1">
      <alignment horizontal="right"/>
    </xf>
    <xf numFmtId="3" fontId="13" fillId="3" borderId="93" xfId="0" applyNumberFormat="1" applyFont="1" applyFill="1" applyBorder="1" applyAlignment="1" applyProtection="1">
      <alignment horizontal="right"/>
    </xf>
    <xf numFmtId="3" fontId="13" fillId="3" borderId="25" xfId="0" applyNumberFormat="1" applyFont="1" applyFill="1" applyBorder="1" applyAlignment="1" applyProtection="1">
      <alignment horizontal="right"/>
    </xf>
    <xf numFmtId="3" fontId="13" fillId="3" borderId="72" xfId="0" applyNumberFormat="1" applyFont="1" applyFill="1" applyBorder="1" applyAlignment="1" applyProtection="1">
      <alignment horizontal="right"/>
    </xf>
    <xf numFmtId="3" fontId="13" fillId="3" borderId="26" xfId="0" applyNumberFormat="1" applyFont="1" applyFill="1" applyBorder="1" applyAlignment="1" applyProtection="1">
      <alignment horizontal="right"/>
    </xf>
    <xf numFmtId="3" fontId="13" fillId="3" borderId="24" xfId="0" applyNumberFormat="1" applyFont="1" applyFill="1" applyBorder="1" applyAlignment="1" applyProtection="1">
      <alignment horizontal="right"/>
    </xf>
    <xf numFmtId="3" fontId="13" fillId="3" borderId="65" xfId="0" applyNumberFormat="1" applyFont="1" applyFill="1" applyBorder="1" applyAlignment="1" applyProtection="1">
      <alignment horizontal="right"/>
    </xf>
    <xf numFmtId="3" fontId="13" fillId="3" borderId="24" xfId="0" applyNumberFormat="1" applyFont="1" applyFill="1" applyBorder="1" applyAlignment="1" applyProtection="1"/>
    <xf numFmtId="3" fontId="13" fillId="3" borderId="25" xfId="0" applyNumberFormat="1" applyFont="1" applyFill="1" applyBorder="1" applyAlignment="1" applyProtection="1"/>
    <xf numFmtId="3" fontId="13" fillId="3" borderId="72" xfId="0" applyNumberFormat="1" applyFont="1" applyFill="1" applyBorder="1" applyAlignment="1" applyProtection="1"/>
    <xf numFmtId="3" fontId="13" fillId="3" borderId="26" xfId="0" applyNumberFormat="1" applyFont="1" applyFill="1" applyBorder="1" applyAlignment="1" applyProtection="1"/>
    <xf numFmtId="3" fontId="13" fillId="3" borderId="94" xfId="0" applyNumberFormat="1" applyFont="1" applyFill="1" applyBorder="1" applyAlignment="1" applyProtection="1">
      <alignment horizontal="right"/>
    </xf>
    <xf numFmtId="3" fontId="13" fillId="10" borderId="95" xfId="0" applyNumberFormat="1" applyFont="1" applyFill="1" applyBorder="1" applyAlignment="1" applyProtection="1">
      <alignment horizontal="right"/>
    </xf>
    <xf numFmtId="3" fontId="13" fillId="10" borderId="96" xfId="0" applyNumberFormat="1" applyFont="1" applyFill="1" applyBorder="1" applyAlignment="1" applyProtection="1">
      <alignment horizontal="right"/>
    </xf>
    <xf numFmtId="3" fontId="13" fillId="10" borderId="86" xfId="0" applyNumberFormat="1" applyFont="1" applyFill="1" applyBorder="1" applyAlignment="1" applyProtection="1">
      <alignment horizontal="right"/>
    </xf>
    <xf numFmtId="3" fontId="13" fillId="10" borderId="97" xfId="0" applyNumberFormat="1" applyFont="1" applyFill="1" applyBorder="1" applyAlignment="1" applyProtection="1">
      <alignment horizontal="right"/>
    </xf>
    <xf numFmtId="3" fontId="13" fillId="3" borderId="53" xfId="0" applyNumberFormat="1" applyFont="1" applyFill="1" applyBorder="1" applyAlignment="1" applyProtection="1">
      <alignment horizontal="right"/>
    </xf>
    <xf numFmtId="3" fontId="13" fillId="3" borderId="98" xfId="0" applyNumberFormat="1" applyFont="1" applyFill="1" applyBorder="1" applyAlignment="1" applyProtection="1">
      <alignment horizontal="right"/>
    </xf>
    <xf numFmtId="3" fontId="13" fillId="3" borderId="84" xfId="0" applyNumberFormat="1" applyFont="1" applyFill="1" applyBorder="1" applyAlignment="1" applyProtection="1">
      <alignment horizontal="right"/>
    </xf>
    <xf numFmtId="3" fontId="13" fillId="3" borderId="99" xfId="0" applyNumberFormat="1" applyFont="1" applyFill="1" applyBorder="1" applyAlignment="1" applyProtection="1">
      <alignment horizontal="right"/>
    </xf>
    <xf numFmtId="3" fontId="13" fillId="3" borderId="100" xfId="0" applyNumberFormat="1" applyFont="1" applyFill="1" applyBorder="1" applyAlignment="1" applyProtection="1">
      <alignment horizontal="right"/>
    </xf>
    <xf numFmtId="3" fontId="13" fillId="3" borderId="101" xfId="0" applyNumberFormat="1" applyFont="1" applyFill="1" applyBorder="1" applyAlignment="1" applyProtection="1">
      <alignment horizontal="right"/>
    </xf>
    <xf numFmtId="3" fontId="13" fillId="3" borderId="88" xfId="0" applyNumberFormat="1" applyFont="1" applyFill="1" applyBorder="1" applyAlignment="1" applyProtection="1">
      <alignment horizontal="right"/>
    </xf>
    <xf numFmtId="3" fontId="2" fillId="3" borderId="102" xfId="0" applyNumberFormat="1" applyFont="1" applyFill="1" applyBorder="1" applyProtection="1"/>
    <xf numFmtId="3" fontId="2" fillId="3" borderId="31" xfId="0" applyNumberFormat="1" applyFont="1" applyFill="1" applyBorder="1" applyProtection="1"/>
    <xf numFmtId="3" fontId="2" fillId="3" borderId="103" xfId="0" applyNumberFormat="1" applyFont="1" applyFill="1" applyBorder="1" applyProtection="1"/>
    <xf numFmtId="3" fontId="13" fillId="3" borderId="31" xfId="0" applyNumberFormat="1" applyFont="1" applyFill="1" applyBorder="1" applyProtection="1"/>
    <xf numFmtId="3" fontId="13" fillId="3" borderId="32" xfId="0" applyNumberFormat="1" applyFont="1" applyFill="1" applyBorder="1" applyProtection="1"/>
    <xf numFmtId="3" fontId="13" fillId="3" borderId="80" xfId="0" applyNumberFormat="1" applyFont="1" applyFill="1" applyBorder="1" applyProtection="1"/>
    <xf numFmtId="3" fontId="2" fillId="3" borderId="104" xfId="0" applyNumberFormat="1" applyFont="1" applyFill="1" applyBorder="1" applyProtection="1"/>
    <xf numFmtId="3" fontId="13" fillId="3" borderId="103" xfId="0" applyNumberFormat="1" applyFont="1" applyFill="1" applyBorder="1" applyAlignment="1" applyProtection="1">
      <alignment horizontal="right"/>
    </xf>
    <xf numFmtId="3" fontId="13" fillId="3" borderId="33" xfId="0" applyNumberFormat="1" applyFont="1" applyFill="1" applyBorder="1" applyAlignment="1" applyProtection="1">
      <alignment horizontal="right"/>
    </xf>
    <xf numFmtId="3" fontId="13" fillId="3" borderId="45" xfId="0" applyNumberFormat="1" applyFont="1" applyFill="1" applyBorder="1" applyAlignment="1" applyProtection="1">
      <alignment horizontal="right"/>
    </xf>
    <xf numFmtId="3" fontId="13" fillId="3" borderId="33" xfId="0" applyNumberFormat="1" applyFont="1" applyFill="1" applyBorder="1" applyAlignment="1" applyProtection="1"/>
    <xf numFmtId="3" fontId="13" fillId="3" borderId="45" xfId="0" applyNumberFormat="1" applyFont="1" applyFill="1" applyBorder="1" applyAlignment="1" applyProtection="1"/>
    <xf numFmtId="3" fontId="13" fillId="3" borderId="105" xfId="0" applyNumberFormat="1" applyFont="1" applyFill="1" applyBorder="1" applyAlignment="1" applyProtection="1">
      <alignment horizontal="right"/>
    </xf>
    <xf numFmtId="3" fontId="2" fillId="3" borderId="106" xfId="0" applyNumberFormat="1" applyFont="1" applyFill="1" applyBorder="1" applyAlignment="1" applyProtection="1">
      <alignment horizontal="right"/>
    </xf>
    <xf numFmtId="3" fontId="35" fillId="3" borderId="77" xfId="0" applyNumberFormat="1" applyFont="1" applyFill="1" applyBorder="1" applyAlignment="1" applyProtection="1">
      <alignment horizontal="right"/>
    </xf>
    <xf numFmtId="3" fontId="35" fillId="3" borderId="107" xfId="0" applyNumberFormat="1" applyFont="1" applyFill="1" applyBorder="1" applyAlignment="1" applyProtection="1">
      <alignment horizontal="right"/>
    </xf>
    <xf numFmtId="3" fontId="35" fillId="3" borderId="25" xfId="0" applyNumberFormat="1" applyFont="1" applyFill="1" applyBorder="1" applyAlignment="1" applyProtection="1">
      <alignment horizontal="right"/>
    </xf>
    <xf numFmtId="3" fontId="35" fillId="3" borderId="26" xfId="0" applyNumberFormat="1" applyFont="1" applyFill="1" applyBorder="1" applyAlignment="1" applyProtection="1">
      <alignment horizontal="right"/>
    </xf>
    <xf numFmtId="0" fontId="1" fillId="7" borderId="0" xfId="0" applyFont="1" applyFill="1" applyProtection="1"/>
    <xf numFmtId="3" fontId="1" fillId="2" borderId="0" xfId="0" applyNumberFormat="1" applyFont="1" applyFill="1" applyProtection="1"/>
    <xf numFmtId="3" fontId="1" fillId="0" borderId="0" xfId="0" applyNumberFormat="1" applyFont="1" applyProtection="1"/>
    <xf numFmtId="3" fontId="1" fillId="0" borderId="0" xfId="0" applyNumberFormat="1" applyFont="1" applyFill="1" applyBorder="1" applyProtection="1"/>
    <xf numFmtId="0" fontId="0" fillId="10" borderId="0" xfId="0" applyFill="1" applyBorder="1"/>
    <xf numFmtId="0" fontId="0" fillId="0" borderId="0" xfId="0" applyBorder="1"/>
    <xf numFmtId="0" fontId="0" fillId="0" borderId="67" xfId="0" applyBorder="1"/>
    <xf numFmtId="49" fontId="2" fillId="10" borderId="11" xfId="0" applyNumberFormat="1" applyFont="1" applyFill="1" applyBorder="1" applyAlignment="1" applyProtection="1"/>
    <xf numFmtId="49" fontId="2" fillId="10" borderId="76" xfId="0" applyNumberFormat="1" applyFont="1" applyFill="1" applyBorder="1" applyAlignment="1" applyProtection="1"/>
    <xf numFmtId="49" fontId="2" fillId="10" borderId="39" xfId="0" applyNumberFormat="1" applyFont="1" applyFill="1" applyBorder="1" applyAlignment="1" applyProtection="1"/>
    <xf numFmtId="49" fontId="2" fillId="10" borderId="78" xfId="0" applyNumberFormat="1" applyFont="1" applyFill="1" applyBorder="1" applyAlignment="1" applyProtection="1"/>
    <xf numFmtId="49" fontId="2" fillId="10" borderId="36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92" fillId="0" borderId="0" xfId="6" applyFont="1" applyProtection="1"/>
    <xf numFmtId="3" fontId="2" fillId="9" borderId="113" xfId="6" applyNumberFormat="1" applyFont="1" applyFill="1" applyBorder="1" applyProtection="1"/>
    <xf numFmtId="3" fontId="2" fillId="9" borderId="7" xfId="6" applyNumberFormat="1" applyFont="1" applyFill="1" applyBorder="1" applyProtection="1"/>
    <xf numFmtId="3" fontId="2" fillId="9" borderId="106" xfId="6" applyNumberFormat="1" applyFont="1" applyFill="1" applyBorder="1" applyProtection="1"/>
    <xf numFmtId="3" fontId="2" fillId="9" borderId="91" xfId="6" applyNumberFormat="1" applyFont="1" applyFill="1" applyBorder="1" applyProtection="1"/>
    <xf numFmtId="3" fontId="2" fillId="9" borderId="114" xfId="6" applyNumberFormat="1" applyFont="1" applyFill="1" applyBorder="1" applyProtection="1"/>
    <xf numFmtId="0" fontId="93" fillId="0" borderId="0" xfId="6" applyFont="1" applyProtection="1"/>
    <xf numFmtId="3" fontId="2" fillId="3" borderId="18" xfId="0" applyNumberFormat="1" applyFont="1" applyFill="1" applyBorder="1" applyAlignment="1" applyProtection="1">
      <alignment horizontal="right"/>
    </xf>
    <xf numFmtId="3" fontId="2" fillId="9" borderId="22" xfId="0" applyNumberFormat="1" applyFont="1" applyFill="1" applyBorder="1" applyAlignment="1" applyProtection="1">
      <alignment horizontal="right"/>
    </xf>
    <xf numFmtId="3" fontId="2" fillId="3" borderId="115" xfId="0" applyNumberFormat="1" applyFont="1" applyFill="1" applyBorder="1" applyAlignment="1" applyProtection="1">
      <alignment horizontal="right"/>
    </xf>
    <xf numFmtId="3" fontId="2" fillId="2" borderId="21" xfId="0" applyNumberFormat="1" applyFont="1" applyFill="1" applyBorder="1" applyAlignment="1" applyProtection="1">
      <alignment horizontal="right"/>
      <protection locked="0"/>
    </xf>
    <xf numFmtId="3" fontId="2" fillId="2" borderId="22" xfId="0" applyNumberFormat="1" applyFont="1" applyFill="1" applyBorder="1" applyAlignment="1" applyProtection="1">
      <alignment horizontal="right"/>
      <protection locked="0"/>
    </xf>
    <xf numFmtId="3" fontId="2" fillId="3" borderId="116" xfId="0" applyNumberFormat="1" applyFont="1" applyFill="1" applyBorder="1" applyAlignment="1" applyProtection="1">
      <alignment horizontal="right"/>
    </xf>
    <xf numFmtId="3" fontId="2" fillId="14" borderId="18" xfId="0" applyNumberFormat="1" applyFont="1" applyFill="1" applyBorder="1" applyAlignment="1" applyProtection="1">
      <alignment horizontal="right"/>
      <protection locked="0"/>
    </xf>
    <xf numFmtId="3" fontId="13" fillId="3" borderId="108" xfId="0" applyNumberFormat="1" applyFont="1" applyFill="1" applyBorder="1" applyAlignment="1" applyProtection="1">
      <alignment horizontal="right"/>
    </xf>
    <xf numFmtId="3" fontId="13" fillId="10" borderId="30" xfId="0" applyNumberFormat="1" applyFont="1" applyFill="1" applyBorder="1" applyAlignment="1" applyProtection="1">
      <alignment horizontal="right"/>
    </xf>
    <xf numFmtId="3" fontId="13" fillId="10" borderId="31" xfId="0" applyNumberFormat="1" applyFont="1" applyFill="1" applyBorder="1" applyAlignment="1" applyProtection="1">
      <alignment horizontal="right"/>
    </xf>
    <xf numFmtId="3" fontId="13" fillId="10" borderId="23" xfId="0" applyNumberFormat="1" applyFont="1" applyFill="1" applyBorder="1" applyAlignment="1" applyProtection="1">
      <alignment horizontal="right"/>
    </xf>
    <xf numFmtId="3" fontId="13" fillId="10" borderId="9" xfId="0" applyNumberFormat="1" applyFont="1" applyFill="1" applyBorder="1" applyAlignment="1" applyProtection="1">
      <alignment horizontal="right"/>
    </xf>
    <xf numFmtId="3" fontId="13" fillId="10" borderId="20" xfId="0" applyNumberFormat="1" applyFont="1" applyFill="1" applyBorder="1" applyAlignment="1" applyProtection="1">
      <alignment horizontal="right"/>
    </xf>
    <xf numFmtId="3" fontId="13" fillId="10" borderId="10" xfId="0" applyNumberFormat="1" applyFont="1" applyFill="1" applyBorder="1" applyAlignment="1" applyProtection="1">
      <alignment horizontal="right"/>
    </xf>
    <xf numFmtId="3" fontId="13" fillId="10" borderId="14" xfId="0" applyNumberFormat="1" applyFont="1" applyFill="1" applyBorder="1" applyAlignment="1" applyProtection="1">
      <alignment horizontal="right"/>
    </xf>
    <xf numFmtId="3" fontId="13" fillId="2" borderId="55" xfId="0" applyNumberFormat="1" applyFont="1" applyFill="1" applyBorder="1" applyAlignment="1" applyProtection="1">
      <alignment horizontal="right"/>
      <protection locked="0"/>
    </xf>
    <xf numFmtId="3" fontId="13" fillId="2" borderId="54" xfId="0" applyNumberFormat="1" applyFont="1" applyFill="1" applyBorder="1" applyAlignment="1" applyProtection="1">
      <alignment horizontal="right"/>
      <protection locked="0"/>
    </xf>
    <xf numFmtId="3" fontId="13" fillId="2" borderId="65" xfId="0" applyNumberFormat="1" applyFont="1" applyFill="1" applyBorder="1" applyAlignment="1" applyProtection="1">
      <alignment horizontal="right"/>
      <protection locked="0"/>
    </xf>
    <xf numFmtId="3" fontId="13" fillId="10" borderId="101" xfId="0" applyNumberFormat="1" applyFont="1" applyFill="1" applyBorder="1" applyAlignment="1" applyProtection="1">
      <alignment horizontal="right"/>
    </xf>
    <xf numFmtId="3" fontId="13" fillId="10" borderId="117" xfId="0" applyNumberFormat="1" applyFont="1" applyFill="1" applyBorder="1" applyAlignment="1" applyProtection="1">
      <alignment horizontal="right"/>
    </xf>
    <xf numFmtId="3" fontId="13" fillId="10" borderId="118" xfId="0" applyNumberFormat="1" applyFont="1" applyFill="1" applyBorder="1" applyAlignment="1" applyProtection="1">
      <alignment horizontal="right"/>
    </xf>
    <xf numFmtId="3" fontId="13" fillId="10" borderId="88" xfId="0" applyNumberFormat="1" applyFont="1" applyFill="1" applyBorder="1" applyAlignment="1" applyProtection="1">
      <alignment horizontal="right"/>
    </xf>
    <xf numFmtId="3" fontId="13" fillId="10" borderId="4" xfId="0" applyNumberFormat="1" applyFont="1" applyFill="1" applyBorder="1" applyAlignment="1" applyProtection="1">
      <alignment horizontal="right"/>
    </xf>
    <xf numFmtId="3" fontId="13" fillId="10" borderId="3" xfId="0" applyNumberFormat="1" applyFont="1" applyFill="1" applyBorder="1" applyAlignment="1" applyProtection="1">
      <alignment horizontal="right"/>
    </xf>
    <xf numFmtId="3" fontId="13" fillId="10" borderId="2" xfId="0" applyNumberFormat="1" applyFont="1" applyFill="1" applyBorder="1" applyAlignment="1" applyProtection="1">
      <alignment horizontal="right"/>
    </xf>
    <xf numFmtId="3" fontId="13" fillId="10" borderId="18" xfId="0" applyNumberFormat="1" applyFont="1" applyFill="1" applyBorder="1" applyAlignment="1" applyProtection="1">
      <alignment horizontal="right"/>
    </xf>
    <xf numFmtId="3" fontId="13" fillId="10" borderId="98" xfId="0" applyNumberFormat="1" applyFont="1" applyFill="1" applyBorder="1" applyAlignment="1" applyProtection="1">
      <alignment horizontal="right"/>
    </xf>
    <xf numFmtId="3" fontId="13" fillId="10" borderId="21" xfId="0" applyNumberFormat="1" applyFont="1" applyFill="1" applyBorder="1" applyAlignment="1" applyProtection="1">
      <alignment horizontal="right"/>
    </xf>
    <xf numFmtId="3" fontId="13" fillId="10" borderId="47" xfId="0" applyNumberFormat="1" applyFont="1" applyFill="1" applyBorder="1" applyAlignment="1" applyProtection="1">
      <alignment horizontal="right"/>
    </xf>
    <xf numFmtId="3" fontId="13" fillId="10" borderId="119" xfId="0" applyNumberFormat="1" applyFont="1" applyFill="1" applyBorder="1" applyAlignment="1" applyProtection="1">
      <alignment horizontal="right"/>
    </xf>
    <xf numFmtId="3" fontId="13" fillId="10" borderId="28" xfId="0" applyNumberFormat="1" applyFont="1" applyFill="1" applyBorder="1" applyAlignment="1" applyProtection="1">
      <alignment horizontal="right"/>
    </xf>
    <xf numFmtId="3" fontId="13" fillId="10" borderId="103" xfId="0" applyNumberFormat="1" applyFont="1" applyFill="1" applyBorder="1" applyAlignment="1" applyProtection="1">
      <alignment horizontal="right"/>
    </xf>
    <xf numFmtId="3" fontId="13" fillId="10" borderId="29" xfId="0" applyNumberFormat="1" applyFont="1" applyFill="1" applyBorder="1" applyAlignment="1" applyProtection="1">
      <alignment horizontal="right"/>
    </xf>
    <xf numFmtId="3" fontId="13" fillId="10" borderId="32" xfId="0" applyNumberFormat="1" applyFont="1" applyFill="1" applyBorder="1" applyAlignment="1" applyProtection="1">
      <alignment horizontal="right"/>
    </xf>
    <xf numFmtId="3" fontId="13" fillId="10" borderId="22" xfId="0" applyNumberFormat="1" applyFont="1" applyFill="1" applyBorder="1" applyAlignment="1" applyProtection="1">
      <alignment horizontal="right"/>
    </xf>
    <xf numFmtId="3" fontId="13" fillId="10" borderId="5" xfId="0" applyNumberFormat="1" applyFont="1" applyFill="1" applyBorder="1" applyAlignment="1" applyProtection="1">
      <alignment horizontal="right"/>
    </xf>
    <xf numFmtId="3" fontId="13" fillId="10" borderId="19" xfId="0" applyNumberFormat="1" applyFont="1" applyFill="1" applyBorder="1" applyAlignment="1" applyProtection="1">
      <alignment horizontal="right"/>
    </xf>
    <xf numFmtId="3" fontId="13" fillId="10" borderId="6" xfId="0" applyNumberFormat="1" applyFont="1" applyFill="1" applyBorder="1" applyAlignment="1" applyProtection="1">
      <alignment horizontal="right"/>
    </xf>
    <xf numFmtId="3" fontId="13" fillId="10" borderId="7" xfId="0" applyNumberFormat="1" applyFont="1" applyFill="1" applyBorder="1" applyAlignment="1" applyProtection="1">
      <alignment horizontal="right"/>
    </xf>
    <xf numFmtId="0" fontId="23" fillId="10" borderId="96" xfId="0" applyFont="1" applyFill="1" applyBorder="1" applyProtection="1"/>
    <xf numFmtId="0" fontId="23" fillId="10" borderId="120" xfId="0" applyFont="1" applyFill="1" applyBorder="1" applyProtection="1"/>
    <xf numFmtId="0" fontId="23" fillId="10" borderId="121" xfId="0" applyFont="1" applyFill="1" applyBorder="1" applyProtection="1"/>
    <xf numFmtId="0" fontId="23" fillId="10" borderId="65" xfId="0" applyFont="1" applyFill="1" applyBorder="1" applyProtection="1"/>
    <xf numFmtId="0" fontId="23" fillId="10" borderId="82" xfId="0" applyFont="1" applyFill="1" applyBorder="1" applyProtection="1"/>
    <xf numFmtId="0" fontId="23" fillId="10" borderId="53" xfId="0" applyFont="1" applyFill="1" applyBorder="1" applyProtection="1"/>
    <xf numFmtId="0" fontId="23" fillId="10" borderId="98" xfId="0" applyFont="1" applyFill="1" applyBorder="1" applyProtection="1"/>
    <xf numFmtId="0" fontId="23" fillId="10" borderId="118" xfId="0" applyFont="1" applyFill="1" applyBorder="1" applyProtection="1"/>
    <xf numFmtId="0" fontId="23" fillId="10" borderId="21" xfId="0" applyFont="1" applyFill="1" applyBorder="1" applyProtection="1"/>
    <xf numFmtId="0" fontId="23" fillId="10" borderId="2" xfId="0" applyFont="1" applyFill="1" applyBorder="1" applyProtection="1"/>
    <xf numFmtId="0" fontId="23" fillId="10" borderId="47" xfId="0" applyFont="1" applyFill="1" applyBorder="1" applyProtection="1"/>
    <xf numFmtId="0" fontId="23" fillId="10" borderId="119" xfId="0" applyFont="1" applyFill="1" applyBorder="1" applyProtection="1"/>
    <xf numFmtId="0" fontId="23" fillId="10" borderId="28" xfId="0" applyFont="1" applyFill="1" applyBorder="1" applyProtection="1"/>
    <xf numFmtId="0" fontId="23" fillId="10" borderId="103" xfId="0" applyFont="1" applyFill="1" applyBorder="1" applyProtection="1"/>
    <xf numFmtId="3" fontId="13" fillId="10" borderId="109" xfId="0" applyNumberFormat="1" applyFont="1" applyFill="1" applyBorder="1" applyAlignment="1" applyProtection="1">
      <alignment horizontal="right"/>
    </xf>
    <xf numFmtId="3" fontId="13" fillId="2" borderId="82" xfId="0" applyNumberFormat="1" applyFont="1" applyFill="1" applyBorder="1" applyAlignment="1" applyProtection="1">
      <alignment horizontal="right"/>
      <protection locked="0"/>
    </xf>
    <xf numFmtId="0" fontId="23" fillId="10" borderId="7" xfId="0" applyFont="1" applyFill="1" applyBorder="1" applyProtection="1"/>
    <xf numFmtId="0" fontId="23" fillId="10" borderId="6" xfId="0" applyFont="1" applyFill="1" applyBorder="1" applyProtection="1"/>
    <xf numFmtId="0" fontId="23" fillId="10" borderId="5" xfId="0" applyFont="1" applyFill="1" applyBorder="1" applyProtection="1"/>
    <xf numFmtId="3" fontId="13" fillId="15" borderId="5" xfId="0" applyNumberFormat="1" applyFont="1" applyFill="1" applyBorder="1" applyAlignment="1" applyProtection="1">
      <alignment horizontal="right"/>
    </xf>
    <xf numFmtId="3" fontId="13" fillId="15" borderId="6" xfId="0" applyNumberFormat="1" applyFont="1" applyFill="1" applyBorder="1" applyAlignment="1" applyProtection="1">
      <alignment horizontal="right"/>
    </xf>
    <xf numFmtId="0" fontId="23" fillId="10" borderId="19" xfId="0" applyFont="1" applyFill="1" applyBorder="1" applyProtection="1"/>
    <xf numFmtId="0" fontId="23" fillId="10" borderId="22" xfId="0" applyFont="1" applyFill="1" applyBorder="1" applyProtection="1"/>
    <xf numFmtId="0" fontId="23" fillId="10" borderId="29" xfId="0" applyFont="1" applyFill="1" applyBorder="1" applyProtection="1"/>
    <xf numFmtId="0" fontId="23" fillId="10" borderId="32" xfId="0" applyFont="1" applyFill="1" applyBorder="1" applyProtection="1"/>
    <xf numFmtId="3" fontId="13" fillId="2" borderId="122" xfId="0" applyNumberFormat="1" applyFont="1" applyFill="1" applyBorder="1" applyAlignment="1" applyProtection="1">
      <alignment horizontal="right"/>
    </xf>
    <xf numFmtId="3" fontId="13" fillId="10" borderId="14" xfId="0" applyNumberFormat="1" applyFont="1" applyFill="1" applyBorder="1" applyAlignment="1" applyProtection="1">
      <alignment horizontal="left"/>
    </xf>
    <xf numFmtId="3" fontId="13" fillId="10" borderId="10" xfId="0" applyNumberFormat="1" applyFont="1" applyFill="1" applyBorder="1" applyAlignment="1" applyProtection="1">
      <alignment horizontal="left"/>
    </xf>
    <xf numFmtId="3" fontId="13" fillId="10" borderId="9" xfId="0" applyNumberFormat="1" applyFont="1" applyFill="1" applyBorder="1" applyAlignment="1" applyProtection="1">
      <alignment horizontal="left"/>
    </xf>
    <xf numFmtId="3" fontId="13" fillId="10" borderId="20" xfId="0" applyNumberFormat="1" applyFont="1" applyFill="1" applyBorder="1" applyAlignment="1" applyProtection="1">
      <alignment horizontal="left"/>
    </xf>
    <xf numFmtId="3" fontId="13" fillId="10" borderId="23" xfId="0" applyNumberFormat="1" applyFont="1" applyFill="1" applyBorder="1" applyAlignment="1" applyProtection="1">
      <alignment horizontal="left"/>
    </xf>
    <xf numFmtId="3" fontId="13" fillId="16" borderId="20" xfId="0" applyNumberFormat="1" applyFont="1" applyFill="1" applyBorder="1" applyAlignment="1" applyProtection="1">
      <alignment horizontal="left"/>
    </xf>
    <xf numFmtId="3" fontId="13" fillId="10" borderId="30" xfId="0" applyNumberFormat="1" applyFont="1" applyFill="1" applyBorder="1" applyAlignment="1" applyProtection="1">
      <alignment horizontal="left"/>
    </xf>
    <xf numFmtId="3" fontId="13" fillId="10" borderId="31" xfId="0" applyNumberFormat="1" applyFont="1" applyFill="1" applyBorder="1" applyAlignment="1" applyProtection="1">
      <alignment horizontal="left"/>
    </xf>
    <xf numFmtId="0" fontId="89" fillId="0" borderId="11" xfId="6" applyFont="1" applyBorder="1" applyProtection="1"/>
    <xf numFmtId="0" fontId="22" fillId="0" borderId="87" xfId="6" applyBorder="1" applyProtection="1"/>
    <xf numFmtId="0" fontId="89" fillId="0" borderId="74" xfId="6" applyFont="1" applyBorder="1" applyProtection="1"/>
    <xf numFmtId="49" fontId="94" fillId="7" borderId="0" xfId="0" applyNumberFormat="1" applyFont="1" applyFill="1" applyProtection="1"/>
    <xf numFmtId="0" fontId="94" fillId="7" borderId="0" xfId="0" applyFont="1" applyFill="1" applyProtection="1"/>
    <xf numFmtId="49" fontId="96" fillId="7" borderId="0" xfId="0" applyNumberFormat="1" applyFont="1" applyFill="1" applyProtection="1"/>
    <xf numFmtId="0" fontId="96" fillId="7" borderId="0" xfId="0" applyFont="1" applyFill="1" applyProtection="1"/>
    <xf numFmtId="0" fontId="0" fillId="7" borderId="0" xfId="0" applyFill="1" applyAlignment="1" applyProtection="1">
      <alignment horizontal="right"/>
    </xf>
    <xf numFmtId="0" fontId="97" fillId="7" borderId="0" xfId="0" applyFont="1" applyFill="1" applyProtection="1"/>
    <xf numFmtId="49" fontId="96" fillId="7" borderId="0" xfId="0" applyNumberFormat="1" applyFont="1" applyFill="1" applyAlignment="1" applyProtection="1">
      <alignment horizontal="right"/>
    </xf>
    <xf numFmtId="49" fontId="95" fillId="7" borderId="0" xfId="0" applyNumberFormat="1" applyFont="1" applyFill="1" applyAlignment="1" applyProtection="1">
      <alignment horizontal="right"/>
    </xf>
    <xf numFmtId="0" fontId="95" fillId="7" borderId="0" xfId="0" applyFont="1" applyFill="1" applyAlignment="1" applyProtection="1">
      <alignment horizontal="left"/>
    </xf>
    <xf numFmtId="49" fontId="96" fillId="7" borderId="0" xfId="6" applyNumberFormat="1" applyFont="1" applyFill="1" applyBorder="1" applyAlignment="1" applyProtection="1">
      <alignment horizontal="left"/>
    </xf>
    <xf numFmtId="0" fontId="96" fillId="7" borderId="0" xfId="6" applyFont="1" applyFill="1" applyProtection="1"/>
    <xf numFmtId="49" fontId="96" fillId="7" borderId="0" xfId="0" applyNumberFormat="1" applyFont="1" applyFill="1" applyAlignment="1" applyProtection="1"/>
    <xf numFmtId="0" fontId="96" fillId="7" borderId="0" xfId="0" applyFont="1" applyFill="1" applyAlignment="1" applyProtection="1"/>
    <xf numFmtId="3" fontId="2" fillId="0" borderId="18" xfId="0" applyNumberFormat="1" applyFont="1" applyFill="1" applyBorder="1" applyAlignment="1" applyProtection="1">
      <alignment horizontal="right"/>
      <protection locked="0"/>
    </xf>
    <xf numFmtId="3" fontId="48" fillId="0" borderId="39" xfId="0" applyNumberFormat="1" applyFont="1" applyFill="1" applyBorder="1" applyProtection="1"/>
    <xf numFmtId="3" fontId="7" fillId="0" borderId="39" xfId="0" applyNumberFormat="1" applyFont="1" applyFill="1" applyBorder="1" applyProtection="1"/>
    <xf numFmtId="3" fontId="3" fillId="0" borderId="67" xfId="0" applyNumberFormat="1" applyFont="1" applyFill="1" applyBorder="1" applyAlignment="1" applyProtection="1">
      <alignment horizontal="right"/>
    </xf>
    <xf numFmtId="3" fontId="34" fillId="0" borderId="39" xfId="0" applyNumberFormat="1" applyFont="1" applyFill="1" applyBorder="1" applyAlignment="1" applyProtection="1">
      <alignment horizontal="right"/>
    </xf>
    <xf numFmtId="0" fontId="80" fillId="2" borderId="67" xfId="11" applyFont="1" applyFill="1" applyBorder="1" applyProtection="1"/>
    <xf numFmtId="0" fontId="7" fillId="0" borderId="39" xfId="0" applyFont="1" applyFill="1" applyBorder="1" applyProtection="1"/>
    <xf numFmtId="3" fontId="13" fillId="3" borderId="8" xfId="0" applyNumberFormat="1" applyFont="1" applyFill="1" applyBorder="1" applyAlignment="1" applyProtection="1">
      <alignment horizontal="right"/>
    </xf>
    <xf numFmtId="3" fontId="34" fillId="2" borderId="39" xfId="0" applyNumberFormat="1" applyFont="1" applyFill="1" applyBorder="1" applyAlignment="1" applyProtection="1">
      <alignment horizontal="left"/>
    </xf>
    <xf numFmtId="3" fontId="102" fillId="2" borderId="0" xfId="0" applyNumberFormat="1" applyFont="1" applyFill="1" applyBorder="1" applyAlignment="1" applyProtection="1">
      <alignment horizontal="right"/>
    </xf>
    <xf numFmtId="3" fontId="102" fillId="5" borderId="0" xfId="0" applyNumberFormat="1" applyFont="1" applyFill="1" applyBorder="1" applyAlignment="1" applyProtection="1">
      <alignment horizontal="right"/>
    </xf>
    <xf numFmtId="3" fontId="102" fillId="4" borderId="0" xfId="0" applyNumberFormat="1" applyFont="1" applyFill="1" applyBorder="1" applyAlignment="1" applyProtection="1">
      <alignment horizontal="right"/>
    </xf>
    <xf numFmtId="3" fontId="102" fillId="6" borderId="0" xfId="0" applyNumberFormat="1" applyFont="1" applyFill="1" applyBorder="1" applyAlignment="1" applyProtection="1">
      <alignment horizontal="right"/>
    </xf>
    <xf numFmtId="0" fontId="103" fillId="0" borderId="0" xfId="0" applyFont="1" applyFill="1" applyBorder="1" applyProtection="1"/>
    <xf numFmtId="49" fontId="3" fillId="20" borderId="127" xfId="0" applyNumberFormat="1" applyFont="1" applyFill="1" applyBorder="1" applyAlignment="1" applyProtection="1">
      <alignment horizontal="center"/>
    </xf>
    <xf numFmtId="0" fontId="5" fillId="20" borderId="13" xfId="0" applyFont="1" applyFill="1" applyBorder="1" applyProtection="1"/>
    <xf numFmtId="49" fontId="3" fillId="20" borderId="5" xfId="0" applyNumberFormat="1" applyFont="1" applyFill="1" applyBorder="1" applyAlignment="1" applyProtection="1">
      <alignment horizontal="center" wrapText="1"/>
    </xf>
    <xf numFmtId="49" fontId="3" fillId="20" borderId="84" xfId="0" applyNumberFormat="1" applyFont="1" applyFill="1" applyBorder="1" applyAlignment="1" applyProtection="1">
      <alignment horizontal="center" wrapText="1"/>
    </xf>
    <xf numFmtId="0" fontId="8" fillId="20" borderId="9" xfId="0" applyFont="1" applyFill="1" applyBorder="1" applyAlignment="1" applyProtection="1">
      <alignment horizontal="center" wrapText="1"/>
    </xf>
    <xf numFmtId="49" fontId="3" fillId="20" borderId="2" xfId="0" applyNumberFormat="1" applyFont="1" applyFill="1" applyBorder="1" applyAlignment="1" applyProtection="1">
      <alignment horizontal="center" wrapText="1"/>
    </xf>
    <xf numFmtId="0" fontId="8" fillId="20" borderId="5" xfId="0" applyFont="1" applyFill="1" applyBorder="1" applyAlignment="1" applyProtection="1">
      <alignment horizontal="center"/>
    </xf>
    <xf numFmtId="0" fontId="3" fillId="20" borderId="68" xfId="0" applyFont="1" applyFill="1" applyBorder="1" applyAlignment="1" applyProtection="1">
      <alignment horizontal="center"/>
    </xf>
    <xf numFmtId="3" fontId="3" fillId="20" borderId="128" xfId="0" applyNumberFormat="1" applyFont="1" applyFill="1" applyBorder="1" applyAlignment="1" applyProtection="1"/>
    <xf numFmtId="0" fontId="3" fillId="20" borderId="23" xfId="0" applyFont="1" applyFill="1" applyBorder="1" applyAlignment="1" applyProtection="1">
      <alignment horizontal="center"/>
    </xf>
    <xf numFmtId="0" fontId="3" fillId="20" borderId="9" xfId="0" applyFont="1" applyFill="1" applyBorder="1" applyAlignment="1" applyProtection="1">
      <alignment horizontal="center"/>
    </xf>
    <xf numFmtId="0" fontId="5" fillId="20" borderId="9" xfId="0" applyFont="1" applyFill="1" applyBorder="1" applyAlignment="1" applyProtection="1">
      <alignment horizontal="left"/>
    </xf>
    <xf numFmtId="0" fontId="3" fillId="20" borderId="129" xfId="0" applyFont="1" applyFill="1" applyBorder="1" applyAlignment="1" applyProtection="1">
      <alignment horizontal="center"/>
    </xf>
    <xf numFmtId="0" fontId="8" fillId="20" borderId="13" xfId="0" applyFont="1" applyFill="1" applyBorder="1" applyAlignment="1" applyProtection="1">
      <alignment horizontal="center"/>
    </xf>
    <xf numFmtId="0" fontId="14" fillId="20" borderId="13" xfId="0" applyFont="1" applyFill="1" applyBorder="1" applyAlignment="1" applyProtection="1">
      <alignment horizontal="left"/>
    </xf>
    <xf numFmtId="0" fontId="3" fillId="20" borderId="22" xfId="0" applyFont="1" applyFill="1" applyBorder="1" applyAlignment="1" applyProtection="1">
      <alignment horizontal="center"/>
    </xf>
    <xf numFmtId="0" fontId="8" fillId="20" borderId="5" xfId="0" applyFont="1" applyFill="1" applyBorder="1" applyAlignment="1" applyProtection="1">
      <alignment wrapText="1"/>
    </xf>
    <xf numFmtId="0" fontId="3" fillId="20" borderId="21" xfId="0" applyFont="1" applyFill="1" applyBorder="1" applyAlignment="1" applyProtection="1">
      <alignment horizontal="center"/>
    </xf>
    <xf numFmtId="0" fontId="3" fillId="20" borderId="2" xfId="0" applyFont="1" applyFill="1" applyBorder="1" applyProtection="1"/>
    <xf numFmtId="0" fontId="3" fillId="20" borderId="130" xfId="0" applyFont="1" applyFill="1" applyBorder="1" applyAlignment="1" applyProtection="1">
      <alignment horizontal="center"/>
    </xf>
    <xf numFmtId="1" fontId="3" fillId="20" borderId="15" xfId="0" applyNumberFormat="1" applyFont="1" applyFill="1" applyBorder="1" applyAlignment="1" applyProtection="1">
      <alignment horizontal="center"/>
    </xf>
    <xf numFmtId="0" fontId="3" fillId="20" borderId="15" xfId="0" applyFont="1" applyFill="1" applyBorder="1" applyProtection="1"/>
    <xf numFmtId="1" fontId="3" fillId="20" borderId="5" xfId="0" applyNumberFormat="1" applyFont="1" applyFill="1" applyBorder="1" applyAlignment="1" applyProtection="1">
      <alignment horizontal="center"/>
    </xf>
    <xf numFmtId="0" fontId="3" fillId="20" borderId="5" xfId="0" applyFont="1" applyFill="1" applyBorder="1" applyProtection="1"/>
    <xf numFmtId="0" fontId="3" fillId="20" borderId="50" xfId="0" applyFont="1" applyFill="1" applyBorder="1" applyAlignment="1" applyProtection="1">
      <alignment horizontal="center"/>
    </xf>
    <xf numFmtId="1" fontId="3" fillId="20" borderId="2" xfId="0" applyNumberFormat="1" applyFont="1" applyFill="1" applyBorder="1" applyAlignment="1" applyProtection="1">
      <alignment horizontal="center"/>
    </xf>
    <xf numFmtId="0" fontId="3" fillId="20" borderId="24" xfId="0" applyFont="1" applyFill="1" applyBorder="1" applyAlignment="1" applyProtection="1">
      <alignment horizontal="center"/>
    </xf>
    <xf numFmtId="1" fontId="5" fillId="20" borderId="13" xfId="0" applyNumberFormat="1" applyFont="1" applyFill="1" applyBorder="1" applyAlignment="1" applyProtection="1">
      <alignment horizontal="center"/>
    </xf>
    <xf numFmtId="0" fontId="8" fillId="20" borderId="131" xfId="0" applyFont="1" applyFill="1" applyBorder="1" applyAlignment="1" applyProtection="1">
      <alignment horizontal="center"/>
    </xf>
    <xf numFmtId="1" fontId="8" fillId="20" borderId="2" xfId="0" applyNumberFormat="1" applyFont="1" applyFill="1" applyBorder="1" applyAlignment="1" applyProtection="1">
      <alignment horizontal="center"/>
    </xf>
    <xf numFmtId="0" fontId="8" fillId="20" borderId="2" xfId="0" applyFont="1" applyFill="1" applyBorder="1" applyProtection="1"/>
    <xf numFmtId="1" fontId="14" fillId="20" borderId="13" xfId="0" applyNumberFormat="1" applyFont="1" applyFill="1" applyBorder="1" applyAlignment="1" applyProtection="1">
      <alignment horizontal="center"/>
    </xf>
    <xf numFmtId="0" fontId="14" fillId="20" borderId="13" xfId="0" applyFont="1" applyFill="1" applyBorder="1" applyProtection="1"/>
    <xf numFmtId="0" fontId="3" fillId="20" borderId="51" xfId="0" applyFont="1" applyFill="1" applyBorder="1" applyAlignment="1" applyProtection="1">
      <alignment horizontal="center"/>
    </xf>
    <xf numFmtId="1" fontId="5" fillId="20" borderId="25" xfId="0" applyNumberFormat="1" applyFont="1" applyFill="1" applyBorder="1" applyAlignment="1" applyProtection="1">
      <alignment horizontal="center"/>
    </xf>
    <xf numFmtId="0" fontId="5" fillId="20" borderId="25" xfId="0" applyFont="1" applyFill="1" applyBorder="1" applyProtection="1"/>
    <xf numFmtId="0" fontId="3" fillId="20" borderId="131" xfId="0" applyFont="1" applyFill="1" applyBorder="1" applyAlignment="1" applyProtection="1">
      <alignment horizontal="center"/>
    </xf>
    <xf numFmtId="0" fontId="3" fillId="20" borderId="25" xfId="0" applyFont="1" applyFill="1" applyBorder="1" applyAlignment="1" applyProtection="1">
      <alignment horizontal="center"/>
    </xf>
    <xf numFmtId="0" fontId="3" fillId="20" borderId="25" xfId="0" applyFont="1" applyFill="1" applyBorder="1" applyProtection="1"/>
    <xf numFmtId="0" fontId="5" fillId="20" borderId="2" xfId="0" applyFont="1" applyFill="1" applyBorder="1" applyProtection="1"/>
    <xf numFmtId="49" fontId="3" fillId="20" borderId="129" xfId="0" applyNumberFormat="1" applyFont="1" applyFill="1" applyBorder="1" applyAlignment="1" applyProtection="1">
      <alignment horizontal="center"/>
    </xf>
    <xf numFmtId="0" fontId="3" fillId="20" borderId="106" xfId="0" applyFont="1" applyFill="1" applyBorder="1" applyAlignment="1" applyProtection="1">
      <alignment horizontal="center"/>
    </xf>
    <xf numFmtId="1" fontId="3" fillId="20" borderId="42" xfId="0" applyNumberFormat="1" applyFont="1" applyFill="1" applyBorder="1" applyAlignment="1" applyProtection="1">
      <alignment horizontal="left"/>
    </xf>
    <xf numFmtId="0" fontId="3" fillId="20" borderId="132" xfId="0" applyFont="1" applyFill="1" applyBorder="1" applyAlignment="1" applyProtection="1">
      <alignment horizontal="center"/>
    </xf>
    <xf numFmtId="1" fontId="3" fillId="20" borderId="133" xfId="0" applyNumberFormat="1" applyFont="1" applyFill="1" applyBorder="1" applyAlignment="1" applyProtection="1">
      <alignment horizontal="left"/>
    </xf>
    <xf numFmtId="49" fontId="3" fillId="20" borderId="134" xfId="0" applyNumberFormat="1" applyFont="1" applyFill="1" applyBorder="1" applyAlignment="1" applyProtection="1">
      <alignment horizontal="center"/>
    </xf>
    <xf numFmtId="0" fontId="63" fillId="20" borderId="81" xfId="0" applyFont="1" applyFill="1" applyBorder="1" applyAlignment="1" applyProtection="1">
      <alignment horizontal="center"/>
    </xf>
    <xf numFmtId="49" fontId="3" fillId="20" borderId="21" xfId="0" applyNumberFormat="1" applyFont="1" applyFill="1" applyBorder="1" applyAlignment="1" applyProtection="1">
      <alignment horizontal="center"/>
    </xf>
    <xf numFmtId="49" fontId="16" fillId="20" borderId="8" xfId="0" applyNumberFormat="1" applyFont="1" applyFill="1" applyBorder="1" applyAlignment="1" applyProtection="1">
      <alignment horizontal="left"/>
    </xf>
    <xf numFmtId="49" fontId="3" fillId="20" borderId="22" xfId="0" applyNumberFormat="1" applyFont="1" applyFill="1" applyBorder="1" applyAlignment="1" applyProtection="1">
      <alignment horizontal="center"/>
    </xf>
    <xf numFmtId="49" fontId="3" fillId="20" borderId="130" xfId="0" applyNumberFormat="1" applyFont="1" applyFill="1" applyBorder="1" applyAlignment="1" applyProtection="1">
      <alignment horizontal="center"/>
    </xf>
    <xf numFmtId="49" fontId="3" fillId="20" borderId="24" xfId="0" applyNumberFormat="1" applyFont="1" applyFill="1" applyBorder="1" applyAlignment="1" applyProtection="1">
      <alignment horizontal="center"/>
    </xf>
    <xf numFmtId="49" fontId="63" fillId="20" borderId="66" xfId="0" applyNumberFormat="1" applyFont="1" applyFill="1" applyBorder="1" applyAlignment="1" applyProtection="1">
      <alignment horizontal="center"/>
    </xf>
    <xf numFmtId="49" fontId="8" fillId="20" borderId="135" xfId="0" applyNumberFormat="1" applyFont="1" applyFill="1" applyBorder="1" applyAlignment="1" applyProtection="1">
      <alignment horizontal="center"/>
    </xf>
    <xf numFmtId="0" fontId="14" fillId="20" borderId="136" xfId="0" applyFont="1" applyFill="1" applyBorder="1" applyAlignment="1" applyProtection="1">
      <alignment wrapText="1"/>
    </xf>
    <xf numFmtId="0" fontId="3" fillId="20" borderId="2" xfId="0" applyFont="1" applyFill="1" applyBorder="1" applyAlignment="1" applyProtection="1">
      <alignment wrapText="1"/>
    </xf>
    <xf numFmtId="49" fontId="3" fillId="20" borderId="131" xfId="0" applyNumberFormat="1" applyFont="1" applyFill="1" applyBorder="1" applyAlignment="1" applyProtection="1">
      <alignment horizontal="center"/>
    </xf>
    <xf numFmtId="0" fontId="5" fillId="20" borderId="42" xfId="0" applyFont="1" applyFill="1" applyBorder="1" applyProtection="1"/>
    <xf numFmtId="49" fontId="8" fillId="20" borderId="125" xfId="0" applyNumberFormat="1" applyFont="1" applyFill="1" applyBorder="1" applyAlignment="1" applyProtection="1">
      <alignment horizontal="center"/>
    </xf>
    <xf numFmtId="0" fontId="14" fillId="20" borderId="42" xfId="0" applyFont="1" applyFill="1" applyBorder="1" applyProtection="1"/>
    <xf numFmtId="0" fontId="5" fillId="20" borderId="2" xfId="0" applyFont="1" applyFill="1" applyBorder="1" applyAlignment="1" applyProtection="1">
      <alignment wrapText="1"/>
    </xf>
    <xf numFmtId="49" fontId="8" fillId="20" borderId="22" xfId="0" applyNumberFormat="1" applyFont="1" applyFill="1" applyBorder="1" applyAlignment="1" applyProtection="1">
      <alignment horizontal="center"/>
    </xf>
    <xf numFmtId="0" fontId="3" fillId="20" borderId="5" xfId="0" applyFont="1" applyFill="1" applyBorder="1" applyAlignment="1" applyProtection="1">
      <alignment wrapText="1"/>
    </xf>
    <xf numFmtId="0" fontId="5" fillId="20" borderId="120" xfId="0" applyFont="1" applyFill="1" applyBorder="1" applyAlignment="1" applyProtection="1">
      <alignment horizontal="right"/>
    </xf>
    <xf numFmtId="0" fontId="3" fillId="20" borderId="98" xfId="0" applyFont="1" applyFill="1" applyBorder="1" applyAlignment="1" applyProtection="1">
      <alignment horizontal="left"/>
    </xf>
    <xf numFmtId="0" fontId="5" fillId="20" borderId="118" xfId="0" applyFont="1" applyFill="1" applyBorder="1" applyAlignment="1" applyProtection="1">
      <alignment horizontal="right"/>
    </xf>
    <xf numFmtId="0" fontId="3" fillId="20" borderId="127" xfId="0" applyFont="1" applyFill="1" applyBorder="1" applyAlignment="1" applyProtection="1">
      <alignment horizontal="left"/>
    </xf>
    <xf numFmtId="0" fontId="5" fillId="20" borderId="15" xfId="0" applyFont="1" applyFill="1" applyBorder="1" applyAlignment="1" applyProtection="1">
      <alignment horizontal="right"/>
    </xf>
    <xf numFmtId="0" fontId="5" fillId="20" borderId="2" xfId="0" applyFont="1" applyFill="1" applyBorder="1" applyAlignment="1" applyProtection="1">
      <alignment horizontal="left"/>
    </xf>
    <xf numFmtId="0" fontId="3" fillId="20" borderId="2" xfId="0" applyFont="1" applyFill="1" applyBorder="1" applyAlignment="1" applyProtection="1">
      <alignment horizontal="left"/>
    </xf>
    <xf numFmtId="0" fontId="5" fillId="20" borderId="13" xfId="0" applyFont="1" applyFill="1" applyBorder="1" applyAlignment="1" applyProtection="1">
      <alignment horizontal="left"/>
    </xf>
    <xf numFmtId="49" fontId="3" fillId="20" borderId="23" xfId="0" applyNumberFormat="1" applyFont="1" applyFill="1" applyBorder="1" applyAlignment="1" applyProtection="1">
      <alignment horizontal="center"/>
    </xf>
    <xf numFmtId="0" fontId="3" fillId="20" borderId="9" xfId="0" applyFont="1" applyFill="1" applyBorder="1" applyAlignment="1" applyProtection="1">
      <alignment horizontal="left"/>
    </xf>
    <xf numFmtId="0" fontId="3" fillId="20" borderId="5" xfId="0" applyFont="1" applyFill="1" applyBorder="1" applyAlignment="1" applyProtection="1">
      <alignment horizontal="left"/>
    </xf>
    <xf numFmtId="0" fontId="5" fillId="20" borderId="15" xfId="0" applyFont="1" applyFill="1" applyBorder="1" applyAlignment="1" applyProtection="1">
      <alignment horizontal="left"/>
    </xf>
    <xf numFmtId="0" fontId="5" fillId="20" borderId="118" xfId="0" applyFont="1" applyFill="1" applyBorder="1" applyAlignment="1" applyProtection="1">
      <alignment horizontal="left"/>
    </xf>
    <xf numFmtId="0" fontId="5" fillId="20" borderId="121" xfId="0" applyFont="1" applyFill="1" applyBorder="1" applyAlignment="1" applyProtection="1">
      <alignment horizontal="left"/>
    </xf>
    <xf numFmtId="0" fontId="3" fillId="20" borderId="15" xfId="0" applyFont="1" applyFill="1" applyBorder="1" applyAlignment="1" applyProtection="1">
      <alignment horizontal="left"/>
    </xf>
    <xf numFmtId="0" fontId="3" fillId="20" borderId="57" xfId="0" applyFont="1" applyFill="1" applyBorder="1" applyAlignment="1" applyProtection="1">
      <alignment horizontal="left"/>
    </xf>
    <xf numFmtId="0" fontId="5" fillId="20" borderId="57" xfId="0" applyFont="1" applyFill="1" applyBorder="1" applyAlignment="1" applyProtection="1">
      <alignment horizontal="right"/>
    </xf>
    <xf numFmtId="0" fontId="3" fillId="20" borderId="54" xfId="0" applyFont="1" applyFill="1" applyBorder="1" applyAlignment="1" applyProtection="1">
      <alignment horizontal="left"/>
    </xf>
    <xf numFmtId="0" fontId="5" fillId="20" borderId="127" xfId="0" applyFont="1" applyFill="1" applyBorder="1" applyAlignment="1" applyProtection="1">
      <alignment horizontal="left" vertical="top"/>
    </xf>
    <xf numFmtId="0" fontId="5" fillId="20" borderId="57" xfId="0" applyFont="1" applyFill="1" applyBorder="1" applyAlignment="1" applyProtection="1">
      <alignment horizontal="left" vertical="top"/>
    </xf>
    <xf numFmtId="0" fontId="5" fillId="20" borderId="21" xfId="0" applyFont="1" applyFill="1" applyBorder="1" applyAlignment="1" applyProtection="1">
      <alignment horizontal="right"/>
    </xf>
    <xf numFmtId="0" fontId="5" fillId="20" borderId="53" xfId="0" applyFont="1" applyFill="1" applyBorder="1" applyAlignment="1" applyProtection="1">
      <alignment horizontal="right"/>
    </xf>
    <xf numFmtId="3" fontId="43" fillId="21" borderId="22" xfId="0" applyNumberFormat="1" applyFont="1" applyFill="1" applyBorder="1" applyProtection="1"/>
    <xf numFmtId="3" fontId="43" fillId="21" borderId="19" xfId="0" applyNumberFormat="1" applyFont="1" applyFill="1" applyBorder="1" applyProtection="1"/>
    <xf numFmtId="3" fontId="43" fillId="21" borderId="22" xfId="0" applyNumberFormat="1" applyFont="1" applyFill="1" applyBorder="1" applyAlignment="1" applyProtection="1">
      <alignment horizontal="right"/>
    </xf>
    <xf numFmtId="3" fontId="43" fillId="21" borderId="24" xfId="0" applyNumberFormat="1" applyFont="1" applyFill="1" applyBorder="1" applyProtection="1"/>
    <xf numFmtId="3" fontId="43" fillId="21" borderId="23" xfId="0" applyNumberFormat="1" applyFont="1" applyFill="1" applyBorder="1" applyProtection="1"/>
    <xf numFmtId="3" fontId="43" fillId="21" borderId="41" xfId="0" applyNumberFormat="1" applyFont="1" applyFill="1" applyBorder="1" applyProtection="1"/>
    <xf numFmtId="3" fontId="43" fillId="21" borderId="53" xfId="0" applyNumberFormat="1" applyFont="1" applyFill="1" applyBorder="1" applyProtection="1"/>
    <xf numFmtId="3" fontId="43" fillId="21" borderId="52" xfId="0" applyNumberFormat="1" applyFont="1" applyFill="1" applyBorder="1" applyProtection="1"/>
    <xf numFmtId="3" fontId="43" fillId="22" borderId="22" xfId="0" applyNumberFormat="1" applyFont="1" applyFill="1" applyBorder="1" applyProtection="1"/>
    <xf numFmtId="3" fontId="43" fillId="22" borderId="52" xfId="0" applyNumberFormat="1" applyFont="1" applyFill="1" applyBorder="1" applyProtection="1"/>
    <xf numFmtId="3" fontId="43" fillId="21" borderId="80" xfId="0" applyNumberFormat="1" applyFont="1" applyFill="1" applyBorder="1" applyProtection="1"/>
    <xf numFmtId="0" fontId="5" fillId="20" borderId="137" xfId="0" applyFont="1" applyFill="1" applyBorder="1" applyAlignment="1" applyProtection="1">
      <alignment horizontal="center" vertical="center" wrapText="1"/>
    </xf>
    <xf numFmtId="3" fontId="43" fillId="21" borderId="138" xfId="0" applyNumberFormat="1" applyFont="1" applyFill="1" applyBorder="1" applyProtection="1"/>
    <xf numFmtId="3" fontId="43" fillId="22" borderId="139" xfId="0" applyNumberFormat="1" applyFont="1" applyFill="1" applyBorder="1" applyProtection="1"/>
    <xf numFmtId="3" fontId="43" fillId="22" borderId="140" xfId="0" applyNumberFormat="1" applyFont="1" applyFill="1" applyBorder="1" applyProtection="1"/>
    <xf numFmtId="3" fontId="43" fillId="22" borderId="122" xfId="0" applyNumberFormat="1" applyFont="1" applyFill="1" applyBorder="1" applyProtection="1"/>
    <xf numFmtId="3" fontId="43" fillId="21" borderId="141" xfId="0" applyNumberFormat="1" applyFont="1" applyFill="1" applyBorder="1" applyProtection="1"/>
    <xf numFmtId="0" fontId="5" fillId="20" borderId="36" xfId="0" applyFont="1" applyFill="1" applyBorder="1" applyProtection="1"/>
    <xf numFmtId="166" fontId="4" fillId="20" borderId="121" xfId="0" applyNumberFormat="1" applyFont="1" applyFill="1" applyBorder="1" applyProtection="1"/>
    <xf numFmtId="0" fontId="5" fillId="20" borderId="142" xfId="0" applyFont="1" applyFill="1" applyBorder="1" applyProtection="1"/>
    <xf numFmtId="166" fontId="6" fillId="20" borderId="143" xfId="0" applyNumberFormat="1" applyFont="1" applyFill="1" applyBorder="1" applyProtection="1"/>
    <xf numFmtId="0" fontId="5" fillId="20" borderId="21" xfId="0" applyFont="1" applyFill="1" applyBorder="1" applyAlignment="1" applyProtection="1">
      <alignment horizontal="left" vertical="top"/>
    </xf>
    <xf numFmtId="0" fontId="5" fillId="20" borderId="53" xfId="0" applyFont="1" applyFill="1" applyBorder="1" applyAlignment="1" applyProtection="1">
      <alignment horizontal="left" vertical="top"/>
    </xf>
    <xf numFmtId="3" fontId="43" fillId="21" borderId="19" xfId="0" applyNumberFormat="1" applyFont="1" applyFill="1" applyBorder="1" applyAlignment="1" applyProtection="1">
      <alignment horizontal="right"/>
    </xf>
    <xf numFmtId="0" fontId="3" fillId="20" borderId="131" xfId="0" applyFont="1" applyFill="1" applyBorder="1" applyProtection="1"/>
    <xf numFmtId="166" fontId="6" fillId="20" borderId="53" xfId="0" applyNumberFormat="1" applyFont="1" applyFill="1" applyBorder="1" applyProtection="1"/>
    <xf numFmtId="0" fontId="3" fillId="20" borderId="50" xfId="0" applyFont="1" applyFill="1" applyBorder="1" applyProtection="1"/>
    <xf numFmtId="166" fontId="6" fillId="20" borderId="52" xfId="0" applyNumberFormat="1" applyFont="1" applyFill="1" applyBorder="1" applyProtection="1"/>
    <xf numFmtId="3" fontId="43" fillId="22" borderId="69" xfId="0" applyNumberFormat="1" applyFont="1" applyFill="1" applyBorder="1" applyProtection="1"/>
    <xf numFmtId="3" fontId="43" fillId="22" borderId="60" xfId="0" applyNumberFormat="1" applyFont="1" applyFill="1" applyBorder="1" applyProtection="1"/>
    <xf numFmtId="0" fontId="3" fillId="20" borderId="144" xfId="0" applyFont="1" applyFill="1" applyBorder="1" applyProtection="1"/>
    <xf numFmtId="3" fontId="43" fillId="21" borderId="24" xfId="0" applyNumberFormat="1" applyFont="1" applyFill="1" applyBorder="1" applyAlignment="1" applyProtection="1">
      <alignment horizontal="right"/>
    </xf>
    <xf numFmtId="3" fontId="43" fillId="22" borderId="85" xfId="0" applyNumberFormat="1" applyFont="1" applyFill="1" applyBorder="1" applyProtection="1"/>
    <xf numFmtId="49" fontId="3" fillId="20" borderId="36" xfId="0" applyNumberFormat="1" applyFont="1" applyFill="1" applyBorder="1" applyAlignment="1" applyProtection="1">
      <alignment horizontal="left"/>
    </xf>
    <xf numFmtId="0" fontId="5" fillId="20" borderId="118" xfId="0" applyFont="1" applyFill="1" applyBorder="1" applyAlignment="1" applyProtection="1"/>
    <xf numFmtId="49" fontId="3" fillId="20" borderId="58" xfId="0" applyNumberFormat="1" applyFont="1" applyFill="1" applyBorder="1" applyAlignment="1" applyProtection="1">
      <alignment horizontal="left"/>
    </xf>
    <xf numFmtId="0" fontId="25" fillId="20" borderId="15" xfId="0" applyFont="1" applyFill="1" applyBorder="1" applyProtection="1"/>
    <xf numFmtId="49" fontId="3" fillId="20" borderId="142" xfId="0" applyNumberFormat="1" applyFont="1" applyFill="1" applyBorder="1" applyAlignment="1" applyProtection="1">
      <alignment horizontal="left"/>
    </xf>
    <xf numFmtId="0" fontId="25" fillId="20" borderId="42" xfId="0" applyFont="1" applyFill="1" applyBorder="1" applyProtection="1"/>
    <xf numFmtId="49" fontId="3" fillId="20" borderId="127" xfId="0" applyNumberFormat="1" applyFont="1" applyFill="1" applyBorder="1" applyProtection="1"/>
    <xf numFmtId="165" fontId="3" fillId="20" borderId="15" xfId="0" applyNumberFormat="1" applyFont="1" applyFill="1" applyBorder="1" applyProtection="1"/>
    <xf numFmtId="0" fontId="24" fillId="20" borderId="145" xfId="0" applyFont="1" applyFill="1" applyBorder="1" applyProtection="1"/>
    <xf numFmtId="0" fontId="24" fillId="20" borderId="15" xfId="0" applyFont="1" applyFill="1" applyBorder="1" applyProtection="1"/>
    <xf numFmtId="0" fontId="5" fillId="20" borderId="2" xfId="0" applyNumberFormat="1" applyFont="1" applyFill="1" applyBorder="1" applyAlignment="1" applyProtection="1">
      <alignment horizontal="center"/>
    </xf>
    <xf numFmtId="0" fontId="14" fillId="20" borderId="2" xfId="0" applyFont="1" applyFill="1" applyBorder="1" applyProtection="1"/>
    <xf numFmtId="49" fontId="3" fillId="20" borderId="2" xfId="0" applyNumberFormat="1" applyFont="1" applyFill="1" applyBorder="1" applyAlignment="1" applyProtection="1">
      <alignment horizontal="center"/>
    </xf>
    <xf numFmtId="0" fontId="14" fillId="20" borderId="15" xfId="0" applyFont="1" applyFill="1" applyBorder="1" applyProtection="1"/>
    <xf numFmtId="0" fontId="3" fillId="20" borderId="5" xfId="0" applyFont="1" applyFill="1" applyBorder="1" applyAlignment="1" applyProtection="1">
      <alignment horizontal="center"/>
    </xf>
    <xf numFmtId="49" fontId="8" fillId="20" borderId="2" xfId="0" applyNumberFormat="1" applyFont="1" applyFill="1" applyBorder="1" applyAlignment="1" applyProtection="1">
      <alignment horizontal="center"/>
    </xf>
    <xf numFmtId="0" fontId="24" fillId="20" borderId="118" xfId="0" applyFont="1" applyFill="1" applyBorder="1" applyProtection="1"/>
    <xf numFmtId="49" fontId="5" fillId="20" borderId="13" xfId="0" applyNumberFormat="1" applyFont="1" applyFill="1" applyBorder="1" applyAlignment="1" applyProtection="1">
      <alignment horizontal="center"/>
    </xf>
    <xf numFmtId="49" fontId="5" fillId="20" borderId="84" xfId="0" applyNumberFormat="1" applyFont="1" applyFill="1" applyBorder="1" applyAlignment="1" applyProtection="1">
      <alignment horizontal="center"/>
    </xf>
    <xf numFmtId="0" fontId="14" fillId="20" borderId="84" xfId="0" applyFont="1" applyFill="1" applyBorder="1" applyProtection="1"/>
    <xf numFmtId="3" fontId="5" fillId="20" borderId="95" xfId="0" applyNumberFormat="1" applyFont="1" applyFill="1" applyBorder="1" applyProtection="1"/>
    <xf numFmtId="3" fontId="5" fillId="20" borderId="88" xfId="0" applyNumberFormat="1" applyFont="1" applyFill="1" applyBorder="1" applyProtection="1"/>
    <xf numFmtId="166" fontId="26" fillId="20" borderId="56" xfId="0" applyNumberFormat="1" applyFont="1" applyFill="1" applyBorder="1" applyAlignment="1" applyProtection="1">
      <alignment horizontal="center"/>
    </xf>
    <xf numFmtId="166" fontId="26" fillId="20" borderId="60" xfId="0" applyNumberFormat="1" applyFont="1" applyFill="1" applyBorder="1" applyAlignment="1" applyProtection="1">
      <alignment horizontal="center"/>
    </xf>
    <xf numFmtId="166" fontId="27" fillId="20" borderId="147" xfId="0" applyNumberFormat="1" applyFont="1" applyFill="1" applyBorder="1" applyProtection="1"/>
    <xf numFmtId="166" fontId="27" fillId="20" borderId="90" xfId="0" applyNumberFormat="1" applyFont="1" applyFill="1" applyBorder="1" applyProtection="1"/>
    <xf numFmtId="166" fontId="6" fillId="20" borderId="148" xfId="0" applyNumberFormat="1" applyFont="1" applyFill="1" applyBorder="1" applyProtection="1"/>
    <xf numFmtId="166" fontId="6" fillId="20" borderId="149" xfId="0" applyNumberFormat="1" applyFont="1" applyFill="1" applyBorder="1" applyProtection="1"/>
    <xf numFmtId="166" fontId="6" fillId="20" borderId="54" xfId="0" applyNumberFormat="1" applyFont="1" applyFill="1" applyBorder="1" applyProtection="1"/>
    <xf numFmtId="166" fontId="6" fillId="20" borderId="18" xfId="0" applyNumberFormat="1" applyFont="1" applyFill="1" applyBorder="1" applyProtection="1"/>
    <xf numFmtId="0" fontId="7" fillId="20" borderId="19" xfId="0" applyFont="1" applyFill="1" applyBorder="1" applyProtection="1"/>
    <xf numFmtId="0" fontId="5" fillId="20" borderId="58" xfId="0" applyFont="1" applyFill="1" applyBorder="1" applyAlignment="1" applyProtection="1">
      <alignment horizontal="center"/>
    </xf>
    <xf numFmtId="0" fontId="5" fillId="20" borderId="57" xfId="0" applyFont="1" applyFill="1" applyBorder="1" applyAlignment="1" applyProtection="1"/>
    <xf numFmtId="0" fontId="5" fillId="20" borderId="142" xfId="0" applyFont="1" applyFill="1" applyBorder="1" applyAlignment="1" applyProtection="1">
      <alignment horizontal="right"/>
    </xf>
    <xf numFmtId="0" fontId="5" fillId="20" borderId="143" xfId="0" applyFont="1" applyFill="1" applyBorder="1" applyAlignment="1" applyProtection="1">
      <alignment horizontal="right"/>
    </xf>
    <xf numFmtId="3" fontId="2" fillId="22" borderId="58" xfId="0" applyNumberFormat="1" applyFont="1" applyFill="1" applyBorder="1" applyAlignment="1" applyProtection="1">
      <alignment horizontal="right"/>
    </xf>
    <xf numFmtId="3" fontId="2" fillId="22" borderId="57" xfId="0" applyNumberFormat="1" applyFont="1" applyFill="1" applyBorder="1" applyAlignment="1" applyProtection="1">
      <alignment horizontal="right"/>
    </xf>
    <xf numFmtId="3" fontId="2" fillId="22" borderId="58" xfId="0" applyNumberFormat="1" applyFont="1" applyFill="1" applyBorder="1" applyProtection="1"/>
    <xf numFmtId="3" fontId="2" fillId="22" borderId="57" xfId="0" applyNumberFormat="1" applyFont="1" applyFill="1" applyBorder="1" applyProtection="1"/>
    <xf numFmtId="3" fontId="2" fillId="21" borderId="58" xfId="0" applyNumberFormat="1" applyFont="1" applyFill="1" applyBorder="1" applyProtection="1"/>
    <xf numFmtId="3" fontId="2" fillId="21" borderId="57" xfId="0" applyNumberFormat="1" applyFont="1" applyFill="1" applyBorder="1" applyProtection="1"/>
    <xf numFmtId="3" fontId="43" fillId="22" borderId="58" xfId="0" applyNumberFormat="1" applyFont="1" applyFill="1" applyBorder="1" applyProtection="1"/>
    <xf numFmtId="3" fontId="43" fillId="22" borderId="57" xfId="0" applyNumberFormat="1" applyFont="1" applyFill="1" applyBorder="1" applyProtection="1"/>
    <xf numFmtId="3" fontId="43" fillId="21" borderId="58" xfId="0" applyNumberFormat="1" applyFont="1" applyFill="1" applyBorder="1" applyProtection="1"/>
    <xf numFmtId="3" fontId="43" fillId="21" borderId="57" xfId="0" applyNumberFormat="1" applyFont="1" applyFill="1" applyBorder="1" applyProtection="1"/>
    <xf numFmtId="0" fontId="98" fillId="20" borderId="58" xfId="0" applyFont="1" applyFill="1" applyBorder="1" applyProtection="1"/>
    <xf numFmtId="0" fontId="98" fillId="20" borderId="57" xfId="0" applyFont="1" applyFill="1" applyBorder="1" applyProtection="1"/>
    <xf numFmtId="49" fontId="8" fillId="20" borderId="132" xfId="0" applyNumberFormat="1" applyFont="1" applyFill="1" applyBorder="1" applyAlignment="1" applyProtection="1">
      <alignment horizontal="center"/>
    </xf>
    <xf numFmtId="49" fontId="8" fillId="20" borderId="133" xfId="0" applyNumberFormat="1" applyFont="1" applyFill="1" applyBorder="1" applyAlignment="1" applyProtection="1">
      <alignment horizontal="center"/>
    </xf>
    <xf numFmtId="49" fontId="8" fillId="20" borderId="133" xfId="0" applyNumberFormat="1" applyFont="1" applyFill="1" applyBorder="1" applyAlignment="1" applyProtection="1">
      <alignment horizontal="left"/>
    </xf>
    <xf numFmtId="49" fontId="8" fillId="20" borderId="34" xfId="0" applyNumberFormat="1" applyFont="1" applyFill="1" applyBorder="1" applyAlignment="1" applyProtection="1">
      <alignment horizontal="center"/>
    </xf>
    <xf numFmtId="49" fontId="8" fillId="20" borderId="35" xfId="0" applyNumberFormat="1" applyFont="1" applyFill="1" applyBorder="1" applyAlignment="1" applyProtection="1">
      <alignment horizontal="center"/>
    </xf>
    <xf numFmtId="49" fontId="8" fillId="20" borderId="35" xfId="0" applyNumberFormat="1" applyFont="1" applyFill="1" applyBorder="1" applyAlignment="1" applyProtection="1">
      <alignment horizontal="left"/>
    </xf>
    <xf numFmtId="49" fontId="8" fillId="20" borderId="7" xfId="0" applyNumberFormat="1" applyFont="1" applyFill="1" applyBorder="1" applyAlignment="1" applyProtection="1">
      <alignment horizontal="center"/>
    </xf>
    <xf numFmtId="49" fontId="8" fillId="20" borderId="5" xfId="0" applyNumberFormat="1" applyFont="1" applyFill="1" applyBorder="1" applyAlignment="1" applyProtection="1">
      <alignment horizontal="center"/>
    </xf>
    <xf numFmtId="49" fontId="8" fillId="20" borderId="150" xfId="0" applyNumberFormat="1" applyFont="1" applyFill="1" applyBorder="1" applyAlignment="1" applyProtection="1">
      <alignment horizontal="center"/>
    </xf>
    <xf numFmtId="49" fontId="8" fillId="20" borderId="42" xfId="0" applyNumberFormat="1" applyFont="1" applyFill="1" applyBorder="1" applyAlignment="1" applyProtection="1">
      <alignment horizontal="left"/>
    </xf>
    <xf numFmtId="166" fontId="6" fillId="20" borderId="9" xfId="0" applyNumberFormat="1" applyFont="1" applyFill="1" applyBorder="1" applyProtection="1"/>
    <xf numFmtId="3" fontId="9" fillId="23" borderId="20" xfId="0" applyNumberFormat="1" applyFont="1" applyFill="1" applyBorder="1" applyProtection="1"/>
    <xf numFmtId="0" fontId="5" fillId="20" borderId="124" xfId="0" applyFont="1" applyFill="1" applyBorder="1" applyAlignment="1" applyProtection="1">
      <alignment horizontal="left"/>
    </xf>
    <xf numFmtId="1" fontId="5" fillId="20" borderId="42" xfId="0" applyNumberFormat="1" applyFont="1" applyFill="1" applyBorder="1" applyAlignment="1" applyProtection="1">
      <alignment horizontal="left"/>
    </xf>
    <xf numFmtId="0" fontId="5" fillId="20" borderId="1" xfId="0" applyFont="1" applyFill="1" applyBorder="1" applyProtection="1"/>
    <xf numFmtId="3" fontId="15" fillId="20" borderId="147" xfId="0" applyNumberFormat="1" applyFont="1" applyFill="1" applyBorder="1" applyProtection="1"/>
    <xf numFmtId="3" fontId="15" fillId="20" borderId="90" xfId="0" applyNumberFormat="1" applyFont="1" applyFill="1" applyBorder="1" applyProtection="1"/>
    <xf numFmtId="3" fontId="2" fillId="20" borderId="18" xfId="0" applyNumberFormat="1" applyFont="1" applyFill="1" applyBorder="1" applyProtection="1"/>
    <xf numFmtId="49" fontId="3" fillId="20" borderId="5" xfId="0" applyNumberFormat="1" applyFont="1" applyFill="1" applyBorder="1" applyAlignment="1" applyProtection="1">
      <alignment horizontal="center"/>
    </xf>
    <xf numFmtId="166" fontId="3" fillId="20" borderId="2" xfId="0" applyNumberFormat="1" applyFont="1" applyFill="1" applyBorder="1" applyAlignment="1" applyProtection="1">
      <alignment horizontal="left"/>
    </xf>
    <xf numFmtId="49" fontId="5" fillId="20" borderId="25" xfId="0" applyNumberFormat="1" applyFont="1" applyFill="1" applyBorder="1" applyAlignment="1" applyProtection="1">
      <alignment horizontal="center"/>
    </xf>
    <xf numFmtId="0" fontId="3" fillId="20" borderId="2" xfId="0" applyFont="1" applyFill="1" applyBorder="1" applyAlignment="1" applyProtection="1">
      <alignment horizontal="center"/>
    </xf>
    <xf numFmtId="49" fontId="5" fillId="20" borderId="5" xfId="0" applyNumberFormat="1" applyFont="1" applyFill="1" applyBorder="1" applyAlignment="1" applyProtection="1">
      <alignment horizontal="center"/>
    </xf>
    <xf numFmtId="0" fontId="5" fillId="20" borderId="5" xfId="0" applyFont="1" applyFill="1" applyBorder="1" applyProtection="1"/>
    <xf numFmtId="3" fontId="8" fillId="20" borderId="146" xfId="0" applyNumberFormat="1" applyFont="1" applyFill="1" applyBorder="1" applyAlignment="1" applyProtection="1">
      <alignment horizontal="center"/>
    </xf>
    <xf numFmtId="3" fontId="5" fillId="20" borderId="151" xfId="0" applyNumberFormat="1" applyFont="1" applyFill="1" applyBorder="1" applyAlignment="1" applyProtection="1">
      <alignment horizontal="center"/>
    </xf>
    <xf numFmtId="3" fontId="5" fillId="20" borderId="151" xfId="0" applyNumberFormat="1" applyFont="1" applyFill="1" applyBorder="1" applyProtection="1"/>
    <xf numFmtId="3" fontId="2" fillId="21" borderId="18" xfId="0" applyNumberFormat="1" applyFont="1" applyFill="1" applyBorder="1" applyProtection="1"/>
    <xf numFmtId="3" fontId="2" fillId="21" borderId="60" xfId="0" applyNumberFormat="1" applyFont="1" applyFill="1" applyBorder="1" applyProtection="1"/>
    <xf numFmtId="3" fontId="2" fillId="21" borderId="19" xfId="0" applyNumberFormat="1" applyFont="1" applyFill="1" applyBorder="1" applyProtection="1"/>
    <xf numFmtId="3" fontId="5" fillId="20" borderId="142" xfId="0" applyNumberFormat="1" applyFont="1" applyFill="1" applyBorder="1" applyProtection="1"/>
    <xf numFmtId="3" fontId="5" fillId="20" borderId="143" xfId="0" applyNumberFormat="1" applyFont="1" applyFill="1" applyBorder="1" applyProtection="1"/>
    <xf numFmtId="3" fontId="2" fillId="20" borderId="58" xfId="0" applyNumberFormat="1" applyFont="1" applyFill="1" applyBorder="1" applyProtection="1"/>
    <xf numFmtId="3" fontId="2" fillId="20" borderId="57" xfId="0" applyNumberFormat="1" applyFont="1" applyFill="1" applyBorder="1" applyProtection="1"/>
    <xf numFmtId="3" fontId="43" fillId="21" borderId="50" xfId="0" applyNumberFormat="1" applyFont="1" applyFill="1" applyBorder="1" applyProtection="1"/>
    <xf numFmtId="3" fontId="43" fillId="20" borderId="58" xfId="0" applyNumberFormat="1" applyFont="1" applyFill="1" applyBorder="1" applyProtection="1"/>
    <xf numFmtId="3" fontId="43" fillId="20" borderId="57" xfId="0" applyNumberFormat="1" applyFont="1" applyFill="1" applyBorder="1" applyProtection="1"/>
    <xf numFmtId="3" fontId="43" fillId="20" borderId="60" xfId="0" applyNumberFormat="1" applyFont="1" applyFill="1" applyBorder="1" applyProtection="1"/>
    <xf numFmtId="3" fontId="43" fillId="20" borderId="131" xfId="0" applyNumberFormat="1" applyFont="1" applyFill="1" applyBorder="1" applyProtection="1"/>
    <xf numFmtId="3" fontId="43" fillId="21" borderId="51" xfId="0" applyNumberFormat="1" applyFont="1" applyFill="1" applyBorder="1" applyProtection="1"/>
    <xf numFmtId="3" fontId="43" fillId="21" borderId="26" xfId="0" applyNumberFormat="1" applyFont="1" applyFill="1" applyBorder="1" applyProtection="1"/>
    <xf numFmtId="3" fontId="2" fillId="21" borderId="88" xfId="0" applyNumberFormat="1" applyFont="1" applyFill="1" applyBorder="1" applyProtection="1"/>
    <xf numFmtId="0" fontId="3" fillId="20" borderId="73" xfId="0" applyFont="1" applyFill="1" applyBorder="1" applyProtection="1"/>
    <xf numFmtId="0" fontId="0" fillId="20" borderId="74" xfId="0" applyFill="1" applyBorder="1" applyProtection="1"/>
    <xf numFmtId="0" fontId="0" fillId="20" borderId="64" xfId="0" applyFill="1" applyBorder="1" applyProtection="1"/>
    <xf numFmtId="0" fontId="3" fillId="20" borderId="75" xfId="0" applyFont="1" applyFill="1" applyBorder="1" applyProtection="1"/>
    <xf numFmtId="0" fontId="0" fillId="20" borderId="76" xfId="0" applyFill="1" applyBorder="1" applyProtection="1"/>
    <xf numFmtId="0" fontId="0" fillId="20" borderId="92" xfId="0" applyFill="1" applyBorder="1" applyProtection="1"/>
    <xf numFmtId="0" fontId="3" fillId="20" borderId="75" xfId="0" applyFont="1" applyFill="1" applyBorder="1" applyAlignment="1" applyProtection="1">
      <alignment horizontal="left"/>
    </xf>
    <xf numFmtId="0" fontId="0" fillId="20" borderId="76" xfId="0" applyFill="1" applyBorder="1" applyAlignment="1" applyProtection="1">
      <alignment horizontal="left"/>
    </xf>
    <xf numFmtId="3" fontId="5" fillId="20" borderId="137" xfId="0" applyNumberFormat="1" applyFont="1" applyFill="1" applyBorder="1" applyAlignment="1" applyProtection="1">
      <alignment horizontal="center" vertical="center" wrapText="1"/>
    </xf>
    <xf numFmtId="3" fontId="15" fillId="20" borderId="152" xfId="0" applyNumberFormat="1" applyFont="1" applyFill="1" applyBorder="1" applyAlignment="1" applyProtection="1">
      <alignment horizontal="center" vertical="center" wrapText="1"/>
    </xf>
    <xf numFmtId="3" fontId="5" fillId="20" borderId="152" xfId="0" applyNumberFormat="1" applyFont="1" applyFill="1" applyBorder="1" applyAlignment="1" applyProtection="1">
      <alignment horizontal="center" vertical="center" wrapText="1"/>
    </xf>
    <xf numFmtId="9" fontId="43" fillId="20" borderId="140" xfId="0" applyNumberFormat="1" applyFont="1" applyFill="1" applyBorder="1" applyProtection="1"/>
    <xf numFmtId="3" fontId="43" fillId="21" borderId="140" xfId="0" applyNumberFormat="1" applyFont="1" applyFill="1" applyBorder="1" applyProtection="1"/>
    <xf numFmtId="9" fontId="43" fillId="20" borderId="138" xfId="0" applyNumberFormat="1" applyFont="1" applyFill="1" applyBorder="1" applyProtection="1"/>
    <xf numFmtId="9" fontId="43" fillId="20" borderId="153" xfId="0" applyNumberFormat="1" applyFont="1" applyFill="1" applyBorder="1" applyProtection="1"/>
    <xf numFmtId="49" fontId="3" fillId="20" borderId="35" xfId="0" applyNumberFormat="1" applyFont="1" applyFill="1" applyBorder="1" applyAlignment="1" applyProtection="1">
      <alignment horizontal="left"/>
    </xf>
    <xf numFmtId="3" fontId="2" fillId="20" borderId="35" xfId="0" applyNumberFormat="1" applyFont="1" applyFill="1" applyBorder="1" applyProtection="1"/>
    <xf numFmtId="49" fontId="3" fillId="20" borderId="2" xfId="0" applyNumberFormat="1" applyFont="1" applyFill="1" applyBorder="1" applyAlignment="1" applyProtection="1">
      <alignment horizontal="left"/>
    </xf>
    <xf numFmtId="3" fontId="2" fillId="20" borderId="5" xfId="0" applyNumberFormat="1" applyFont="1" applyFill="1" applyBorder="1" applyProtection="1"/>
    <xf numFmtId="49" fontId="5" fillId="20" borderId="25" xfId="0" applyNumberFormat="1" applyFont="1" applyFill="1" applyBorder="1" applyAlignment="1" applyProtection="1">
      <alignment horizontal="left"/>
    </xf>
    <xf numFmtId="0" fontId="8" fillId="20" borderId="25" xfId="0" applyFont="1" applyFill="1" applyBorder="1" applyProtection="1"/>
    <xf numFmtId="3" fontId="2" fillId="20" borderId="25" xfId="0" applyNumberFormat="1" applyFont="1" applyFill="1" applyBorder="1" applyProtection="1"/>
    <xf numFmtId="49" fontId="3" fillId="20" borderId="95" xfId="0" applyNumberFormat="1" applyFont="1" applyFill="1" applyBorder="1" applyAlignment="1" applyProtection="1">
      <alignment horizontal="left"/>
    </xf>
    <xf numFmtId="49" fontId="3" fillId="20" borderId="120" xfId="0" applyNumberFormat="1" applyFont="1" applyFill="1" applyBorder="1" applyAlignment="1" applyProtection="1">
      <alignment horizontal="left"/>
    </xf>
    <xf numFmtId="0" fontId="3" fillId="20" borderId="127" xfId="0" applyFont="1" applyFill="1" applyBorder="1" applyAlignment="1" applyProtection="1">
      <alignment horizontal="left" vertical="top"/>
    </xf>
    <xf numFmtId="0" fontId="3" fillId="20" borderId="15" xfId="0" applyFont="1" applyFill="1" applyBorder="1" applyAlignment="1" applyProtection="1">
      <alignment horizontal="right"/>
    </xf>
    <xf numFmtId="0" fontId="5" fillId="20" borderId="154" xfId="0" applyFont="1" applyFill="1" applyBorder="1" applyAlignment="1" applyProtection="1">
      <alignment horizontal="right"/>
    </xf>
    <xf numFmtId="0" fontId="5" fillId="20" borderId="116" xfId="0" applyFont="1" applyFill="1" applyBorder="1" applyAlignment="1" applyProtection="1">
      <alignment horizontal="left"/>
    </xf>
    <xf numFmtId="0" fontId="5" fillId="20" borderId="89" xfId="0" applyFont="1" applyFill="1" applyBorder="1" applyAlignment="1" applyProtection="1">
      <alignment horizontal="right"/>
    </xf>
    <xf numFmtId="0" fontId="3" fillId="20" borderId="13" xfId="0" applyFont="1" applyFill="1" applyBorder="1" applyAlignment="1" applyProtection="1">
      <alignment horizontal="center"/>
    </xf>
    <xf numFmtId="0" fontId="8" fillId="20" borderId="21" xfId="0" applyFont="1" applyFill="1" applyBorder="1" applyAlignment="1" applyProtection="1">
      <alignment horizontal="center"/>
    </xf>
    <xf numFmtId="0" fontId="8" fillId="20" borderId="9" xfId="0" applyFont="1" applyFill="1" applyBorder="1" applyAlignment="1" applyProtection="1">
      <alignment horizontal="center"/>
    </xf>
    <xf numFmtId="0" fontId="8" fillId="20" borderId="82" xfId="0" applyFont="1" applyFill="1" applyBorder="1" applyAlignment="1" applyProtection="1">
      <alignment horizontal="left"/>
    </xf>
    <xf numFmtId="0" fontId="8" fillId="20" borderId="22" xfId="0" applyFont="1" applyFill="1" applyBorder="1" applyAlignment="1" applyProtection="1">
      <alignment horizontal="center"/>
    </xf>
    <xf numFmtId="0" fontId="8" fillId="20" borderId="24" xfId="0" applyFont="1" applyFill="1" applyBorder="1" applyAlignment="1" applyProtection="1">
      <alignment horizontal="center"/>
    </xf>
    <xf numFmtId="0" fontId="14" fillId="20" borderId="66" xfId="0" applyFont="1" applyFill="1" applyBorder="1" applyAlignment="1" applyProtection="1">
      <alignment horizontal="left"/>
    </xf>
    <xf numFmtId="0" fontId="3" fillId="20" borderId="82" xfId="0" applyFont="1" applyFill="1" applyBorder="1" applyAlignment="1" applyProtection="1">
      <alignment horizontal="left"/>
    </xf>
    <xf numFmtId="0" fontId="5" fillId="20" borderId="155" xfId="0" applyFont="1" applyFill="1" applyBorder="1" applyAlignment="1" applyProtection="1">
      <alignment horizontal="left"/>
    </xf>
    <xf numFmtId="0" fontId="5" fillId="20" borderId="121" xfId="0" applyFont="1" applyFill="1" applyBorder="1" applyAlignment="1" applyProtection="1">
      <alignment horizontal="center"/>
    </xf>
    <xf numFmtId="0" fontId="5" fillId="20" borderId="57" xfId="0" applyFont="1" applyFill="1" applyBorder="1" applyAlignment="1" applyProtection="1">
      <alignment horizontal="center"/>
    </xf>
    <xf numFmtId="0" fontId="3" fillId="20" borderId="2" xfId="0" applyFont="1" applyFill="1" applyBorder="1" applyAlignment="1" applyProtection="1">
      <alignment horizontal="right"/>
    </xf>
    <xf numFmtId="0" fontId="3" fillId="20" borderId="146" xfId="0" applyFont="1" applyFill="1" applyBorder="1" applyAlignment="1" applyProtection="1">
      <alignment horizontal="center"/>
    </xf>
    <xf numFmtId="0" fontId="5" fillId="20" borderId="118" xfId="0" applyFont="1" applyFill="1" applyBorder="1" applyProtection="1"/>
    <xf numFmtId="0" fontId="3" fillId="20" borderId="127" xfId="0" applyFont="1" applyFill="1" applyBorder="1" applyAlignment="1" applyProtection="1">
      <alignment vertical="top"/>
    </xf>
    <xf numFmtId="1" fontId="3" fillId="20" borderId="15" xfId="0" applyNumberFormat="1" applyFont="1" applyFill="1" applyBorder="1" applyAlignment="1" applyProtection="1">
      <alignment horizontal="left"/>
    </xf>
    <xf numFmtId="0" fontId="5" fillId="20" borderId="15" xfId="0" applyFont="1" applyFill="1" applyBorder="1" applyProtection="1"/>
    <xf numFmtId="0" fontId="7" fillId="20" borderId="129" xfId="0" applyFont="1" applyFill="1" applyBorder="1" applyProtection="1"/>
    <xf numFmtId="0" fontId="8" fillId="20" borderId="1" xfId="0" applyFont="1" applyFill="1" applyBorder="1" applyProtection="1"/>
    <xf numFmtId="3" fontId="2" fillId="20" borderId="90" xfId="0" applyNumberFormat="1" applyFont="1" applyFill="1" applyBorder="1" applyProtection="1"/>
    <xf numFmtId="0" fontId="3" fillId="20" borderId="127" xfId="0" applyFont="1" applyFill="1" applyBorder="1" applyAlignment="1" applyProtection="1">
      <alignment horizontal="center"/>
    </xf>
    <xf numFmtId="1" fontId="3" fillId="20" borderId="9" xfId="0" applyNumberFormat="1" applyFont="1" applyFill="1" applyBorder="1" applyAlignment="1" applyProtection="1">
      <alignment horizontal="center"/>
    </xf>
    <xf numFmtId="0" fontId="3" fillId="20" borderId="9" xfId="0" applyFont="1" applyFill="1" applyBorder="1" applyProtection="1"/>
    <xf numFmtId="0" fontId="3" fillId="20" borderId="47" xfId="0" applyFont="1" applyFill="1" applyBorder="1" applyAlignment="1" applyProtection="1">
      <alignment horizontal="left"/>
    </xf>
    <xf numFmtId="0" fontId="5" fillId="20" borderId="157" xfId="0" applyFont="1" applyFill="1" applyBorder="1" applyAlignment="1" applyProtection="1">
      <alignment horizontal="center"/>
    </xf>
    <xf numFmtId="0" fontId="3" fillId="20" borderId="158" xfId="0" applyFont="1" applyFill="1" applyBorder="1" applyAlignment="1" applyProtection="1">
      <alignment horizontal="left" vertical="top"/>
    </xf>
    <xf numFmtId="0" fontId="5" fillId="20" borderId="159" xfId="0" applyFont="1" applyFill="1" applyBorder="1" applyAlignment="1" applyProtection="1">
      <alignment horizontal="center"/>
    </xf>
    <xf numFmtId="0" fontId="5" fillId="20" borderId="158" xfId="0" applyFont="1" applyFill="1" applyBorder="1" applyAlignment="1" applyProtection="1">
      <alignment horizontal="left"/>
    </xf>
    <xf numFmtId="0" fontId="5" fillId="20" borderId="159" xfId="0" applyFont="1" applyFill="1" applyBorder="1" applyAlignment="1" applyProtection="1">
      <alignment horizontal="right"/>
    </xf>
    <xf numFmtId="49" fontId="8" fillId="20" borderId="14" xfId="0" applyNumberFormat="1" applyFont="1" applyFill="1" applyBorder="1" applyAlignment="1" applyProtection="1">
      <alignment horizontal="center"/>
    </xf>
    <xf numFmtId="49" fontId="8" fillId="20" borderId="9" xfId="0" applyNumberFormat="1" applyFont="1" applyFill="1" applyBorder="1" applyAlignment="1" applyProtection="1">
      <alignment horizontal="center"/>
    </xf>
    <xf numFmtId="1" fontId="8" fillId="20" borderId="133" xfId="0" applyNumberFormat="1" applyFont="1" applyFill="1" applyBorder="1" applyAlignment="1" applyProtection="1">
      <alignment horizontal="center"/>
    </xf>
    <xf numFmtId="1" fontId="8" fillId="20" borderId="133" xfId="0" applyNumberFormat="1" applyFont="1" applyFill="1" applyBorder="1" applyAlignment="1" applyProtection="1">
      <alignment horizontal="left"/>
    </xf>
    <xf numFmtId="1" fontId="8" fillId="20" borderId="42" xfId="0" applyNumberFormat="1" applyFont="1" applyFill="1" applyBorder="1" applyAlignment="1" applyProtection="1">
      <alignment horizontal="center"/>
    </xf>
    <xf numFmtId="49" fontId="8" fillId="20" borderId="161" xfId="0" applyNumberFormat="1" applyFont="1" applyFill="1" applyBorder="1" applyAlignment="1" applyProtection="1">
      <alignment horizontal="center"/>
    </xf>
    <xf numFmtId="0" fontId="14" fillId="20" borderId="118" xfId="0" applyFont="1" applyFill="1" applyBorder="1" applyAlignment="1" applyProtection="1">
      <alignment horizontal="left"/>
    </xf>
    <xf numFmtId="0" fontId="14" fillId="20" borderId="15" xfId="0" applyFont="1" applyFill="1" applyBorder="1" applyAlignment="1" applyProtection="1">
      <alignment horizontal="left"/>
    </xf>
    <xf numFmtId="0" fontId="5" fillId="20" borderId="162" xfId="0" applyFont="1" applyFill="1" applyBorder="1" applyAlignment="1" applyProtection="1">
      <alignment horizontal="left"/>
    </xf>
    <xf numFmtId="0" fontId="3" fillId="20" borderId="89" xfId="0" applyFont="1" applyFill="1" applyBorder="1" applyAlignment="1" applyProtection="1">
      <alignment horizontal="left"/>
    </xf>
    <xf numFmtId="0" fontId="5" fillId="20" borderId="42" xfId="0" applyFont="1" applyFill="1" applyBorder="1" applyAlignment="1" applyProtection="1">
      <alignment horizontal="left"/>
    </xf>
    <xf numFmtId="1" fontId="8" fillId="20" borderId="5" xfId="0" applyNumberFormat="1" applyFont="1" applyFill="1" applyBorder="1" applyAlignment="1" applyProtection="1">
      <alignment horizontal="center"/>
    </xf>
    <xf numFmtId="0" fontId="8" fillId="20" borderId="5" xfId="0" applyFont="1" applyFill="1" applyBorder="1" applyProtection="1"/>
    <xf numFmtId="166" fontId="14" fillId="20" borderId="60" xfId="0" applyNumberFormat="1" applyFont="1" applyFill="1" applyBorder="1" applyAlignment="1" applyProtection="1">
      <alignment horizontal="left"/>
    </xf>
    <xf numFmtId="166" fontId="14" fillId="20" borderId="88" xfId="0" applyNumberFormat="1" applyFont="1" applyFill="1" applyBorder="1" applyAlignment="1" applyProtection="1">
      <alignment horizontal="left"/>
    </xf>
    <xf numFmtId="166" fontId="20" fillId="20" borderId="90" xfId="0" applyNumberFormat="1" applyFont="1" applyFill="1" applyBorder="1" applyAlignment="1" applyProtection="1">
      <alignment horizontal="left"/>
    </xf>
    <xf numFmtId="0" fontId="14" fillId="20" borderId="116" xfId="0" applyFont="1" applyFill="1" applyBorder="1" applyProtection="1"/>
    <xf numFmtId="0" fontId="14" fillId="20" borderId="90" xfId="0" applyFont="1" applyFill="1" applyBorder="1" applyProtection="1"/>
    <xf numFmtId="166" fontId="4" fillId="20" borderId="60" xfId="0" applyNumberFormat="1" applyFont="1" applyFill="1" applyBorder="1" applyAlignment="1" applyProtection="1">
      <alignment horizontal="left"/>
    </xf>
    <xf numFmtId="0" fontId="7" fillId="20" borderId="163" xfId="0" applyFont="1" applyFill="1" applyBorder="1" applyProtection="1"/>
    <xf numFmtId="166" fontId="20" fillId="20" borderId="90" xfId="0" applyNumberFormat="1" applyFont="1" applyFill="1" applyBorder="1" applyProtection="1"/>
    <xf numFmtId="1" fontId="3" fillId="20" borderId="154" xfId="0" applyNumberFormat="1" applyFont="1" applyFill="1" applyBorder="1" applyAlignment="1" applyProtection="1">
      <alignment horizontal="left"/>
    </xf>
    <xf numFmtId="0" fontId="12" fillId="20" borderId="116" xfId="0" applyFont="1" applyFill="1" applyBorder="1" applyAlignment="1" applyProtection="1">
      <alignment horizontal="left"/>
    </xf>
    <xf numFmtId="0" fontId="5" fillId="20" borderId="1" xfId="0" applyFont="1" applyFill="1" applyBorder="1" applyAlignment="1" applyProtection="1">
      <alignment horizontal="left"/>
    </xf>
    <xf numFmtId="166" fontId="5" fillId="20" borderId="90" xfId="0" applyNumberFormat="1" applyFont="1" applyFill="1" applyBorder="1" applyAlignment="1" applyProtection="1">
      <alignment horizontal="left"/>
    </xf>
    <xf numFmtId="1" fontId="14" fillId="20" borderId="25" xfId="0" applyNumberFormat="1" applyFont="1" applyFill="1" applyBorder="1" applyAlignment="1" applyProtection="1">
      <alignment horizontal="center"/>
    </xf>
    <xf numFmtId="1" fontId="3" fillId="20" borderId="84" xfId="0" applyNumberFormat="1" applyFont="1" applyFill="1" applyBorder="1" applyAlignment="1" applyProtection="1">
      <alignment horizontal="center"/>
    </xf>
    <xf numFmtId="0" fontId="3" fillId="20" borderId="98" xfId="0" applyFont="1" applyFill="1" applyBorder="1" applyAlignment="1" applyProtection="1">
      <alignment horizontal="left" vertical="top" wrapText="1"/>
    </xf>
    <xf numFmtId="0" fontId="58" fillId="20" borderId="120" xfId="0" applyFont="1" applyFill="1" applyBorder="1" applyProtection="1"/>
    <xf numFmtId="0" fontId="4" fillId="20" borderId="89" xfId="0" applyFont="1" applyFill="1" applyBorder="1" applyAlignment="1" applyProtection="1"/>
    <xf numFmtId="0" fontId="88" fillId="20" borderId="89" xfId="0" applyFont="1" applyFill="1" applyBorder="1" applyAlignment="1"/>
    <xf numFmtId="1" fontId="3" fillId="20" borderId="98" xfId="0" applyNumberFormat="1" applyFont="1" applyFill="1" applyBorder="1" applyAlignment="1" applyProtection="1">
      <alignment horizontal="left"/>
    </xf>
    <xf numFmtId="0" fontId="3" fillId="20" borderId="118" xfId="0" applyFont="1" applyFill="1" applyBorder="1" applyAlignment="1" applyProtection="1">
      <alignment horizontal="left"/>
    </xf>
    <xf numFmtId="3" fontId="3" fillId="20" borderId="164" xfId="0" applyNumberFormat="1" applyFont="1" applyFill="1" applyBorder="1" applyAlignment="1" applyProtection="1">
      <alignment horizontal="left"/>
    </xf>
    <xf numFmtId="3" fontId="3" fillId="20" borderId="165" xfId="0" applyNumberFormat="1" applyFont="1" applyFill="1" applyBorder="1" applyProtection="1"/>
    <xf numFmtId="1" fontId="3" fillId="20" borderId="127" xfId="0" applyNumberFormat="1" applyFont="1" applyFill="1" applyBorder="1" applyAlignment="1" applyProtection="1">
      <alignment horizontal="left"/>
    </xf>
    <xf numFmtId="3" fontId="3" fillId="20" borderId="15" xfId="0" applyNumberFormat="1" applyFont="1" applyFill="1" applyBorder="1" applyAlignment="1" applyProtection="1">
      <alignment horizontal="left"/>
    </xf>
    <xf numFmtId="0" fontId="3" fillId="20" borderId="0" xfId="0" applyFont="1" applyFill="1" applyBorder="1" applyProtection="1"/>
    <xf numFmtId="3" fontId="3" fillId="20" borderId="15" xfId="0" applyNumberFormat="1" applyFont="1" applyFill="1" applyBorder="1" applyProtection="1"/>
    <xf numFmtId="0" fontId="7" fillId="20" borderId="116" xfId="0" applyFont="1" applyFill="1" applyBorder="1" applyProtection="1"/>
    <xf numFmtId="0" fontId="3" fillId="20" borderId="1" xfId="0" applyFont="1" applyFill="1" applyBorder="1" applyProtection="1"/>
    <xf numFmtId="0" fontId="3" fillId="20" borderId="42" xfId="0" applyFont="1" applyFill="1" applyBorder="1" applyProtection="1"/>
    <xf numFmtId="49" fontId="3" fillId="20" borderId="135" xfId="0" applyNumberFormat="1" applyFont="1" applyFill="1" applyBorder="1" applyAlignment="1" applyProtection="1">
      <alignment horizontal="left"/>
    </xf>
    <xf numFmtId="0" fontId="3" fillId="20" borderId="136" xfId="0" applyFont="1" applyFill="1" applyBorder="1" applyProtection="1"/>
    <xf numFmtId="170" fontId="3" fillId="20" borderId="35" xfId="0" applyNumberFormat="1" applyFont="1" applyFill="1" applyBorder="1" applyAlignment="1" applyProtection="1">
      <alignment horizontal="left"/>
    </xf>
    <xf numFmtId="49" fontId="8" fillId="20" borderId="134" xfId="0" applyNumberFormat="1" applyFont="1" applyFill="1" applyBorder="1" applyAlignment="1" applyProtection="1">
      <alignment horizontal="center"/>
    </xf>
    <xf numFmtId="49" fontId="3" fillId="20" borderId="125" xfId="0" applyNumberFormat="1" applyFont="1" applyFill="1" applyBorder="1" applyAlignment="1" applyProtection="1">
      <alignment horizontal="center"/>
    </xf>
    <xf numFmtId="3" fontId="2" fillId="20" borderId="35" xfId="0" applyNumberFormat="1" applyFont="1" applyFill="1" applyBorder="1" applyAlignment="1" applyProtection="1">
      <alignment horizontal="right"/>
    </xf>
    <xf numFmtId="0" fontId="5" fillId="20" borderId="70" xfId="0" applyFont="1" applyFill="1" applyBorder="1" applyProtection="1"/>
    <xf numFmtId="49" fontId="8" fillId="20" borderId="131" xfId="0" applyNumberFormat="1" applyFont="1" applyFill="1" applyBorder="1" applyAlignment="1" applyProtection="1">
      <alignment horizontal="center"/>
    </xf>
    <xf numFmtId="0" fontId="14" fillId="20" borderId="42" xfId="0" applyFont="1" applyFill="1" applyBorder="1" applyAlignment="1" applyProtection="1">
      <alignment horizontal="left"/>
    </xf>
    <xf numFmtId="0" fontId="5" fillId="20" borderId="2" xfId="0" applyFont="1" applyFill="1" applyBorder="1" applyAlignment="1" applyProtection="1">
      <alignment horizontal="left" wrapText="1"/>
    </xf>
    <xf numFmtId="0" fontId="8" fillId="20" borderId="2" xfId="0" applyFont="1" applyFill="1" applyBorder="1" applyAlignment="1" applyProtection="1">
      <alignment horizontal="left"/>
    </xf>
    <xf numFmtId="49" fontId="8" fillId="20" borderId="144" xfId="0" applyNumberFormat="1" applyFont="1" applyFill="1" applyBorder="1" applyAlignment="1" applyProtection="1">
      <alignment horizontal="center"/>
    </xf>
    <xf numFmtId="0" fontId="8" fillId="20" borderId="13" xfId="0" applyFont="1" applyFill="1" applyBorder="1" applyProtection="1"/>
    <xf numFmtId="49" fontId="8" fillId="20" borderId="100" xfId="0" applyNumberFormat="1" applyFont="1" applyFill="1" applyBorder="1" applyAlignment="1" applyProtection="1">
      <alignment horizontal="center"/>
    </xf>
    <xf numFmtId="1" fontId="3" fillId="20" borderId="23" xfId="0" applyNumberFormat="1" applyFont="1" applyFill="1" applyBorder="1" applyAlignment="1" applyProtection="1">
      <alignment horizontal="left" vertical="top" wrapText="1"/>
    </xf>
    <xf numFmtId="0" fontId="3" fillId="20" borderId="166" xfId="0" applyFont="1" applyFill="1" applyBorder="1" applyAlignment="1" applyProtection="1">
      <alignment vertical="top"/>
    </xf>
    <xf numFmtId="0" fontId="8" fillId="20" borderId="167" xfId="0" applyFont="1" applyFill="1" applyBorder="1" applyProtection="1"/>
    <xf numFmtId="0" fontId="11" fillId="20" borderId="127" xfId="0" applyFont="1" applyFill="1" applyBorder="1" applyProtection="1"/>
    <xf numFmtId="0" fontId="8" fillId="20" borderId="44" xfId="0" applyFont="1" applyFill="1" applyBorder="1" applyProtection="1"/>
    <xf numFmtId="0" fontId="0" fillId="20" borderId="127" xfId="0" applyFill="1" applyBorder="1" applyProtection="1"/>
    <xf numFmtId="0" fontId="12" fillId="24" borderId="116" xfId="0" applyFont="1" applyFill="1" applyBorder="1" applyProtection="1"/>
    <xf numFmtId="49" fontId="11" fillId="24" borderId="58" xfId="0" applyNumberFormat="1" applyFont="1" applyFill="1" applyBorder="1" applyProtection="1"/>
    <xf numFmtId="0" fontId="19" fillId="20" borderId="168" xfId="0" applyFont="1" applyFill="1" applyBorder="1" applyProtection="1"/>
    <xf numFmtId="49" fontId="13" fillId="20" borderId="127" xfId="0" applyNumberFormat="1" applyFont="1" applyFill="1" applyBorder="1" applyAlignment="1" applyProtection="1">
      <alignment horizontal="left"/>
    </xf>
    <xf numFmtId="0" fontId="14" fillId="20" borderId="169" xfId="0" applyFont="1" applyFill="1" applyBorder="1" applyAlignment="1" applyProtection="1">
      <alignment wrapText="1"/>
    </xf>
    <xf numFmtId="0" fontId="8" fillId="20" borderId="3" xfId="0" applyFont="1" applyFill="1" applyBorder="1" applyAlignment="1" applyProtection="1"/>
    <xf numFmtId="0" fontId="8" fillId="20" borderId="6" xfId="0" applyFont="1" applyFill="1" applyBorder="1" applyProtection="1"/>
    <xf numFmtId="0" fontId="14" fillId="20" borderId="117" xfId="0" applyFont="1" applyFill="1" applyBorder="1" applyProtection="1"/>
    <xf numFmtId="0" fontId="8" fillId="20" borderId="3" xfId="0" applyFont="1" applyFill="1" applyBorder="1" applyProtection="1"/>
    <xf numFmtId="0" fontId="14" fillId="20" borderId="96" xfId="0" applyFont="1" applyFill="1" applyBorder="1" applyProtection="1"/>
    <xf numFmtId="0" fontId="14" fillId="20" borderId="44" xfId="0" applyFont="1" applyFill="1" applyBorder="1" applyProtection="1"/>
    <xf numFmtId="0" fontId="8" fillId="20" borderId="72" xfId="0" applyFont="1" applyFill="1" applyBorder="1" applyProtection="1"/>
    <xf numFmtId="0" fontId="14" fillId="20" borderId="169" xfId="0" applyFont="1" applyFill="1" applyBorder="1" applyProtection="1"/>
    <xf numFmtId="0" fontId="5" fillId="20" borderId="169" xfId="0" applyFont="1" applyFill="1" applyBorder="1" applyAlignment="1" applyProtection="1">
      <alignment wrapText="1"/>
    </xf>
    <xf numFmtId="0" fontId="3" fillId="20" borderId="6" xfId="0" applyFont="1" applyFill="1" applyBorder="1" applyProtection="1"/>
    <xf numFmtId="0" fontId="14" fillId="20" borderId="94" xfId="0" applyFont="1" applyFill="1" applyBorder="1" applyProtection="1"/>
    <xf numFmtId="49" fontId="3" fillId="20" borderId="3" xfId="0" applyNumberFormat="1" applyFont="1" applyFill="1" applyBorder="1" applyAlignment="1" applyProtection="1">
      <alignment horizontal="left"/>
    </xf>
    <xf numFmtId="49" fontId="3" fillId="20" borderId="92" xfId="0" applyNumberFormat="1" applyFont="1" applyFill="1" applyBorder="1" applyAlignment="1" applyProtection="1">
      <alignment horizontal="left"/>
    </xf>
    <xf numFmtId="0" fontId="3" fillId="20" borderId="3" xfId="0" applyFont="1" applyFill="1" applyBorder="1" applyAlignment="1" applyProtection="1">
      <alignment wrapText="1"/>
    </xf>
    <xf numFmtId="0" fontId="14" fillId="20" borderId="94" xfId="0" applyFont="1" applyFill="1" applyBorder="1" applyAlignment="1" applyProtection="1"/>
    <xf numFmtId="0" fontId="3" fillId="20" borderId="3" xfId="0" applyFont="1" applyFill="1" applyBorder="1" applyProtection="1"/>
    <xf numFmtId="0" fontId="104" fillId="20" borderId="3" xfId="0" applyFont="1" applyFill="1" applyBorder="1" applyProtection="1"/>
    <xf numFmtId="0" fontId="8" fillId="20" borderId="10" xfId="0" applyFont="1" applyFill="1" applyBorder="1" applyProtection="1"/>
    <xf numFmtId="0" fontId="8" fillId="20" borderId="99" xfId="0" applyFont="1" applyFill="1" applyBorder="1" applyProtection="1"/>
    <xf numFmtId="3" fontId="3" fillId="20" borderId="128" xfId="0" applyNumberFormat="1" applyFont="1" applyFill="1" applyBorder="1" applyAlignment="1" applyProtection="1">
      <alignment horizontal="left" vertical="top" wrapText="1"/>
    </xf>
    <xf numFmtId="3" fontId="3" fillId="20" borderId="15" xfId="0" applyNumberFormat="1" applyFont="1" applyFill="1" applyBorder="1" applyAlignment="1" applyProtection="1">
      <alignment horizontal="left" vertical="top"/>
    </xf>
    <xf numFmtId="3" fontId="3" fillId="20" borderId="68" xfId="0" applyNumberFormat="1" applyFont="1" applyFill="1" applyBorder="1" applyAlignment="1" applyProtection="1">
      <alignment horizontal="left" vertical="top" wrapText="1"/>
    </xf>
    <xf numFmtId="3" fontId="3" fillId="20" borderId="16" xfId="0" applyNumberFormat="1" applyFont="1" applyFill="1" applyBorder="1" applyAlignment="1" applyProtection="1">
      <alignment horizontal="left" vertical="top" wrapText="1"/>
    </xf>
    <xf numFmtId="3" fontId="3" fillId="20" borderId="60" xfId="0" applyNumberFormat="1" applyFont="1" applyFill="1" applyBorder="1" applyAlignment="1" applyProtection="1">
      <alignment horizontal="left" vertical="top" wrapText="1"/>
    </xf>
    <xf numFmtId="3" fontId="3" fillId="20" borderId="154" xfId="0" applyNumberFormat="1" applyFont="1" applyFill="1" applyBorder="1" applyProtection="1"/>
    <xf numFmtId="0" fontId="3" fillId="20" borderId="154" xfId="0" applyFont="1" applyFill="1" applyBorder="1" applyAlignment="1" applyProtection="1">
      <alignment horizontal="left" vertical="top" wrapText="1"/>
    </xf>
    <xf numFmtId="0" fontId="3" fillId="20" borderId="154" xfId="0" applyFont="1" applyFill="1" applyBorder="1" applyProtection="1"/>
    <xf numFmtId="3" fontId="8" fillId="20" borderId="16" xfId="0" applyNumberFormat="1" applyFont="1" applyFill="1" applyBorder="1" applyProtection="1"/>
    <xf numFmtId="0" fontId="8" fillId="20" borderId="150" xfId="0" applyFont="1" applyFill="1" applyBorder="1" applyProtection="1"/>
    <xf numFmtId="49" fontId="11" fillId="20" borderId="170" xfId="0" applyNumberFormat="1" applyFont="1" applyFill="1" applyBorder="1" applyProtection="1"/>
    <xf numFmtId="49" fontId="11" fillId="20" borderId="168" xfId="0" applyNumberFormat="1" applyFont="1" applyFill="1" applyBorder="1" applyProtection="1"/>
    <xf numFmtId="49" fontId="11" fillId="20" borderId="136" xfId="0" applyNumberFormat="1" applyFont="1" applyFill="1" applyBorder="1" applyProtection="1"/>
    <xf numFmtId="49" fontId="11" fillId="20" borderId="113" xfId="0" applyNumberFormat="1" applyFont="1" applyFill="1" applyBorder="1" applyProtection="1"/>
    <xf numFmtId="49" fontId="11" fillId="20" borderId="126" xfId="0" applyNumberFormat="1" applyFont="1" applyFill="1" applyBorder="1" applyProtection="1"/>
    <xf numFmtId="49" fontId="11" fillId="20" borderId="171" xfId="0" applyNumberFormat="1" applyFont="1" applyFill="1" applyBorder="1" applyProtection="1"/>
    <xf numFmtId="49" fontId="11" fillId="20" borderId="4" xfId="0" applyNumberFormat="1" applyFont="1" applyFill="1" applyBorder="1" applyProtection="1"/>
    <xf numFmtId="49" fontId="11" fillId="20" borderId="3" xfId="0" applyNumberFormat="1" applyFont="1" applyFill="1" applyBorder="1" applyProtection="1"/>
    <xf numFmtId="49" fontId="11" fillId="20" borderId="2" xfId="0" applyNumberFormat="1" applyFont="1" applyFill="1" applyBorder="1" applyProtection="1"/>
    <xf numFmtId="49" fontId="11" fillId="20" borderId="82" xfId="0" applyNumberFormat="1" applyFont="1" applyFill="1" applyBorder="1" applyProtection="1"/>
    <xf numFmtId="49" fontId="11" fillId="20" borderId="65" xfId="0" applyNumberFormat="1" applyFont="1" applyFill="1" applyBorder="1" applyProtection="1"/>
    <xf numFmtId="49" fontId="11" fillId="20" borderId="53" xfId="0" applyNumberFormat="1" applyFont="1" applyFill="1" applyBorder="1" applyProtection="1"/>
    <xf numFmtId="3" fontId="13" fillId="20" borderId="14" xfId="0" applyNumberFormat="1" applyFont="1" applyFill="1" applyBorder="1" applyAlignment="1" applyProtection="1">
      <alignment horizontal="right"/>
    </xf>
    <xf numFmtId="3" fontId="13" fillId="20" borderId="10" xfId="0" applyNumberFormat="1" applyFont="1" applyFill="1" applyBorder="1" applyAlignment="1" applyProtection="1">
      <alignment horizontal="right"/>
    </xf>
    <xf numFmtId="3" fontId="13" fillId="20" borderId="9" xfId="0" applyNumberFormat="1" applyFont="1" applyFill="1" applyBorder="1" applyAlignment="1" applyProtection="1">
      <alignment horizontal="right"/>
    </xf>
    <xf numFmtId="3" fontId="13" fillId="20" borderId="20" xfId="0" applyNumberFormat="1" applyFont="1" applyFill="1" applyBorder="1" applyAlignment="1" applyProtection="1">
      <alignment horizontal="right"/>
    </xf>
    <xf numFmtId="3" fontId="13" fillId="20" borderId="101" xfId="0" applyNumberFormat="1" applyFont="1" applyFill="1" applyBorder="1" applyAlignment="1" applyProtection="1">
      <alignment horizontal="right"/>
    </xf>
    <xf numFmtId="3" fontId="13" fillId="20" borderId="117" xfId="0" applyNumberFormat="1" applyFont="1" applyFill="1" applyBorder="1" applyAlignment="1" applyProtection="1">
      <alignment horizontal="right"/>
    </xf>
    <xf numFmtId="3" fontId="13" fillId="20" borderId="124" xfId="0" applyNumberFormat="1" applyFont="1" applyFill="1" applyBorder="1" applyAlignment="1" applyProtection="1">
      <alignment horizontal="right"/>
    </xf>
    <xf numFmtId="3" fontId="13" fillId="20" borderId="95" xfId="0" applyNumberFormat="1" applyFont="1" applyFill="1" applyBorder="1" applyAlignment="1" applyProtection="1">
      <alignment horizontal="right"/>
    </xf>
    <xf numFmtId="3" fontId="13" fillId="20" borderId="118" xfId="0" applyNumberFormat="1" applyFont="1" applyFill="1" applyBorder="1" applyAlignment="1" applyProtection="1">
      <alignment horizontal="right"/>
    </xf>
    <xf numFmtId="3" fontId="13" fillId="20" borderId="96" xfId="0" applyNumberFormat="1" applyFont="1" applyFill="1" applyBorder="1" applyAlignment="1" applyProtection="1">
      <alignment horizontal="right"/>
    </xf>
    <xf numFmtId="3" fontId="13" fillId="20" borderId="88" xfId="0" applyNumberFormat="1" applyFont="1" applyFill="1" applyBorder="1" applyAlignment="1" applyProtection="1">
      <alignment horizontal="right"/>
    </xf>
    <xf numFmtId="3" fontId="13" fillId="20" borderId="4" xfId="0" applyNumberFormat="1" applyFont="1" applyFill="1" applyBorder="1" applyAlignment="1" applyProtection="1">
      <alignment horizontal="right"/>
    </xf>
    <xf numFmtId="3" fontId="13" fillId="20" borderId="3" xfId="0" applyNumberFormat="1" applyFont="1" applyFill="1" applyBorder="1" applyAlignment="1" applyProtection="1">
      <alignment horizontal="right"/>
    </xf>
    <xf numFmtId="3" fontId="13" fillId="20" borderId="55" xfId="0" applyNumberFormat="1" applyFont="1" applyFill="1" applyBorder="1" applyAlignment="1" applyProtection="1">
      <alignment horizontal="right"/>
    </xf>
    <xf numFmtId="3" fontId="13" fillId="20" borderId="54" xfId="0" applyNumberFormat="1" applyFont="1" applyFill="1" applyBorder="1" applyAlignment="1" applyProtection="1">
      <alignment horizontal="right"/>
    </xf>
    <xf numFmtId="3" fontId="13" fillId="20" borderId="2" xfId="0" applyNumberFormat="1" applyFont="1" applyFill="1" applyBorder="1" applyAlignment="1" applyProtection="1">
      <alignment horizontal="right"/>
    </xf>
    <xf numFmtId="3" fontId="13" fillId="20" borderId="65" xfId="0" applyNumberFormat="1" applyFont="1" applyFill="1" applyBorder="1" applyAlignment="1" applyProtection="1">
      <alignment horizontal="right"/>
    </xf>
    <xf numFmtId="3" fontId="13" fillId="20" borderId="18" xfId="0" applyNumberFormat="1" applyFont="1" applyFill="1" applyBorder="1" applyAlignment="1" applyProtection="1">
      <alignment horizontal="right"/>
    </xf>
    <xf numFmtId="3" fontId="13" fillId="20" borderId="7" xfId="0" applyNumberFormat="1" applyFont="1" applyFill="1" applyBorder="1" applyAlignment="1" applyProtection="1">
      <alignment horizontal="right"/>
    </xf>
    <xf numFmtId="3" fontId="13" fillId="20" borderId="6" xfId="0" applyNumberFormat="1" applyFont="1" applyFill="1" applyBorder="1" applyAlignment="1" applyProtection="1">
      <alignment horizontal="right"/>
    </xf>
    <xf numFmtId="3" fontId="13" fillId="20" borderId="5" xfId="0" applyNumberFormat="1" applyFont="1" applyFill="1" applyBorder="1" applyAlignment="1" applyProtection="1">
      <alignment horizontal="right"/>
    </xf>
    <xf numFmtId="3" fontId="13" fillId="20" borderId="19" xfId="0" applyNumberFormat="1" applyFont="1" applyFill="1" applyBorder="1" applyAlignment="1" applyProtection="1">
      <alignment horizontal="right"/>
    </xf>
    <xf numFmtId="3" fontId="5" fillId="20" borderId="119" xfId="0" applyNumberFormat="1" applyFont="1" applyFill="1" applyBorder="1" applyAlignment="1" applyProtection="1">
      <alignment horizontal="left" vertical="top" wrapText="1"/>
    </xf>
    <xf numFmtId="3" fontId="3" fillId="20" borderId="127" xfId="0" applyNumberFormat="1" applyFont="1" applyFill="1" applyBorder="1" applyAlignment="1" applyProtection="1">
      <alignment horizontal="left" vertical="top" wrapText="1"/>
    </xf>
    <xf numFmtId="0" fontId="3" fillId="20" borderId="161" xfId="0" applyFont="1" applyFill="1" applyBorder="1" applyAlignment="1" applyProtection="1">
      <alignment horizontal="left" vertical="top" wrapText="1"/>
    </xf>
    <xf numFmtId="3" fontId="5" fillId="20" borderId="160" xfId="0" applyNumberFormat="1" applyFont="1" applyFill="1" applyBorder="1" applyAlignment="1" applyProtection="1">
      <alignment vertical="top" wrapText="1"/>
    </xf>
    <xf numFmtId="3" fontId="8" fillId="20" borderId="127" xfId="0" applyNumberFormat="1" applyFont="1" applyFill="1" applyBorder="1" applyProtection="1"/>
    <xf numFmtId="3" fontId="5" fillId="20" borderId="160" xfId="0" applyNumberFormat="1" applyFont="1" applyFill="1" applyBorder="1" applyProtection="1"/>
    <xf numFmtId="3" fontId="8" fillId="20" borderId="160" xfId="0" applyNumberFormat="1" applyFont="1" applyFill="1" applyBorder="1" applyProtection="1"/>
    <xf numFmtId="0" fontId="8" fillId="20" borderId="127" xfId="0" applyFont="1" applyFill="1" applyBorder="1" applyProtection="1"/>
    <xf numFmtId="0" fontId="8" fillId="20" borderId="116" xfId="0" applyFont="1" applyFill="1" applyBorder="1" applyProtection="1"/>
    <xf numFmtId="0" fontId="11" fillId="20" borderId="173" xfId="0" applyFont="1" applyFill="1" applyBorder="1" applyProtection="1"/>
    <xf numFmtId="49" fontId="11" fillId="20" borderId="135" xfId="0" applyNumberFormat="1" applyFont="1" applyFill="1" applyBorder="1" applyProtection="1"/>
    <xf numFmtId="49" fontId="11" fillId="20" borderId="174" xfId="0" applyNumberFormat="1" applyFont="1" applyFill="1" applyBorder="1" applyProtection="1"/>
    <xf numFmtId="49" fontId="11" fillId="20" borderId="21" xfId="0" applyNumberFormat="1" applyFont="1" applyFill="1" applyBorder="1" applyProtection="1"/>
    <xf numFmtId="49" fontId="11" fillId="20" borderId="108" xfId="0" applyNumberFormat="1" applyFont="1" applyFill="1" applyBorder="1" applyProtection="1"/>
    <xf numFmtId="3" fontId="13" fillId="20" borderId="23" xfId="0" applyNumberFormat="1" applyFont="1" applyFill="1" applyBorder="1" applyAlignment="1" applyProtection="1">
      <alignment horizontal="right"/>
    </xf>
    <xf numFmtId="3" fontId="13" fillId="20" borderId="98" xfId="0" applyNumberFormat="1" applyFont="1" applyFill="1" applyBorder="1" applyAlignment="1" applyProtection="1">
      <alignment horizontal="right"/>
    </xf>
    <xf numFmtId="3" fontId="13" fillId="20" borderId="21" xfId="0" applyNumberFormat="1" applyFont="1" applyFill="1" applyBorder="1" applyAlignment="1" applyProtection="1">
      <alignment horizontal="right"/>
    </xf>
    <xf numFmtId="3" fontId="13" fillId="20" borderId="22" xfId="0" applyNumberFormat="1" applyFont="1" applyFill="1" applyBorder="1" applyAlignment="1" applyProtection="1">
      <alignment horizontal="right"/>
    </xf>
    <xf numFmtId="3" fontId="3" fillId="20" borderId="130" xfId="0" applyNumberFormat="1" applyFont="1" applyFill="1" applyBorder="1" applyAlignment="1" applyProtection="1">
      <alignment horizontal="left" vertical="top" wrapText="1"/>
    </xf>
    <xf numFmtId="3" fontId="3" fillId="20" borderId="69" xfId="0" applyNumberFormat="1" applyFont="1" applyFill="1" applyBorder="1" applyAlignment="1" applyProtection="1">
      <alignment horizontal="left" vertical="top" wrapText="1"/>
    </xf>
    <xf numFmtId="3" fontId="5" fillId="20" borderId="119" xfId="0" applyNumberFormat="1" applyFont="1" applyFill="1" applyBorder="1" applyAlignment="1" applyProtection="1">
      <alignment horizontal="left" vertical="top"/>
    </xf>
    <xf numFmtId="3" fontId="5" fillId="20" borderId="160" xfId="0" applyNumberFormat="1" applyFont="1" applyFill="1" applyBorder="1" applyAlignment="1" applyProtection="1">
      <alignment horizontal="left" vertical="top" wrapText="1"/>
    </xf>
    <xf numFmtId="0" fontId="8" fillId="20" borderId="160" xfId="0" applyFont="1" applyFill="1" applyBorder="1" applyProtection="1"/>
    <xf numFmtId="0" fontId="8" fillId="20" borderId="173" xfId="0" applyFont="1" applyFill="1" applyBorder="1" applyProtection="1"/>
    <xf numFmtId="49" fontId="11" fillId="20" borderId="175" xfId="0" applyNumberFormat="1" applyFont="1" applyFill="1" applyBorder="1" applyProtection="1"/>
    <xf numFmtId="49" fontId="11" fillId="20" borderId="176" xfId="0" applyNumberFormat="1" applyFont="1" applyFill="1" applyBorder="1" applyProtection="1"/>
    <xf numFmtId="49" fontId="11" fillId="20" borderId="28" xfId="0" applyNumberFormat="1" applyFont="1" applyFill="1" applyBorder="1" applyProtection="1"/>
    <xf numFmtId="49" fontId="11" fillId="20" borderId="103" xfId="0" applyNumberFormat="1" applyFont="1" applyFill="1" applyBorder="1" applyProtection="1"/>
    <xf numFmtId="3" fontId="13" fillId="20" borderId="30" xfId="0" applyNumberFormat="1" applyFont="1" applyFill="1" applyBorder="1" applyAlignment="1" applyProtection="1">
      <alignment horizontal="right"/>
    </xf>
    <xf numFmtId="3" fontId="13" fillId="20" borderId="31" xfId="0" applyNumberFormat="1" applyFont="1" applyFill="1" applyBorder="1" applyAlignment="1" applyProtection="1">
      <alignment horizontal="right"/>
    </xf>
    <xf numFmtId="3" fontId="13" fillId="20" borderId="47" xfId="0" applyNumberFormat="1" applyFont="1" applyFill="1" applyBorder="1" applyAlignment="1" applyProtection="1">
      <alignment horizontal="right"/>
    </xf>
    <xf numFmtId="3" fontId="13" fillId="20" borderId="119" xfId="0" applyNumberFormat="1" applyFont="1" applyFill="1" applyBorder="1" applyAlignment="1" applyProtection="1">
      <alignment horizontal="right"/>
    </xf>
    <xf numFmtId="3" fontId="13" fillId="20" borderId="28" xfId="0" applyNumberFormat="1" applyFont="1" applyFill="1" applyBorder="1" applyAlignment="1" applyProtection="1">
      <alignment horizontal="right"/>
    </xf>
    <xf numFmtId="3" fontId="13" fillId="20" borderId="103" xfId="0" applyNumberFormat="1" applyFont="1" applyFill="1" applyBorder="1" applyAlignment="1" applyProtection="1">
      <alignment horizontal="right"/>
    </xf>
    <xf numFmtId="3" fontId="13" fillId="20" borderId="29" xfId="0" applyNumberFormat="1" applyFont="1" applyFill="1" applyBorder="1" applyAlignment="1" applyProtection="1">
      <alignment horizontal="right"/>
    </xf>
    <xf numFmtId="3" fontId="13" fillId="20" borderId="32" xfId="0" applyNumberFormat="1" applyFont="1" applyFill="1" applyBorder="1" applyAlignment="1" applyProtection="1">
      <alignment horizontal="right"/>
    </xf>
    <xf numFmtId="0" fontId="8" fillId="20" borderId="154" xfId="0" applyFont="1" applyFill="1" applyBorder="1" applyAlignment="1" applyProtection="1">
      <alignment horizontal="left"/>
    </xf>
    <xf numFmtId="0" fontId="3" fillId="20" borderId="154" xfId="0" applyFont="1" applyFill="1" applyBorder="1" applyAlignment="1" applyProtection="1">
      <alignment horizontal="left"/>
    </xf>
    <xf numFmtId="0" fontId="8" fillId="20" borderId="15" xfId="0" applyFont="1" applyFill="1" applyBorder="1" applyAlignment="1" applyProtection="1">
      <alignment horizontal="left"/>
    </xf>
    <xf numFmtId="0" fontId="8" fillId="20" borderId="154" xfId="0" applyFont="1" applyFill="1" applyBorder="1" applyProtection="1"/>
    <xf numFmtId="0" fontId="8" fillId="20" borderId="154" xfId="0" applyFont="1" applyFill="1" applyBorder="1" applyAlignment="1" applyProtection="1">
      <alignment horizontal="center"/>
    </xf>
    <xf numFmtId="0" fontId="22" fillId="20" borderId="154" xfId="0" applyFont="1" applyFill="1" applyBorder="1" applyProtection="1"/>
    <xf numFmtId="0" fontId="33" fillId="20" borderId="154" xfId="0" applyFont="1" applyFill="1" applyBorder="1" applyProtection="1"/>
    <xf numFmtId="3" fontId="16" fillId="20" borderId="154" xfId="0" applyNumberFormat="1" applyFont="1" applyFill="1" applyBorder="1" applyProtection="1"/>
    <xf numFmtId="3" fontId="42" fillId="20" borderId="154" xfId="0" applyNumberFormat="1" applyFont="1" applyFill="1" applyBorder="1" applyProtection="1"/>
    <xf numFmtId="3" fontId="90" fillId="20" borderId="154" xfId="0" applyNumberFormat="1" applyFont="1" applyFill="1" applyBorder="1" applyProtection="1"/>
    <xf numFmtId="3" fontId="40" fillId="20" borderId="158" xfId="0" applyNumberFormat="1" applyFont="1" applyFill="1" applyBorder="1" applyProtection="1"/>
    <xf numFmtId="3" fontId="40" fillId="20" borderId="28" xfId="0" applyNumberFormat="1" applyFont="1" applyFill="1" applyBorder="1" applyAlignment="1" applyProtection="1">
      <alignment horizontal="right"/>
    </xf>
    <xf numFmtId="3" fontId="2" fillId="20" borderId="29" xfId="0" applyNumberFormat="1" applyFont="1" applyFill="1" applyBorder="1" applyAlignment="1" applyProtection="1">
      <alignment horizontal="right"/>
    </xf>
    <xf numFmtId="3" fontId="43" fillId="20" borderId="66" xfId="0" applyNumberFormat="1" applyFont="1" applyFill="1" applyBorder="1" applyProtection="1"/>
    <xf numFmtId="3" fontId="43" fillId="20" borderId="5" xfId="0" applyNumberFormat="1" applyFont="1" applyFill="1" applyBorder="1" applyProtection="1"/>
    <xf numFmtId="3" fontId="43" fillId="20" borderId="4" xfId="0" applyNumberFormat="1" applyFont="1" applyFill="1" applyBorder="1" applyProtection="1"/>
    <xf numFmtId="3" fontId="43" fillId="20" borderId="82" xfId="0" applyNumberFormat="1" applyFont="1" applyFill="1" applyBorder="1" applyProtection="1"/>
    <xf numFmtId="3" fontId="41" fillId="20" borderId="91" xfId="0" applyNumberFormat="1" applyFont="1" applyFill="1" applyBorder="1" applyProtection="1"/>
    <xf numFmtId="3" fontId="42" fillId="20" borderId="155" xfId="0" applyNumberFormat="1" applyFont="1" applyFill="1" applyBorder="1" applyProtection="1"/>
    <xf numFmtId="3" fontId="90" fillId="20" borderId="155" xfId="0" applyNumberFormat="1" applyFont="1" applyFill="1" applyBorder="1" applyProtection="1"/>
    <xf numFmtId="3" fontId="13" fillId="25" borderId="103" xfId="0" applyNumberFormat="1" applyFont="1" applyFill="1" applyBorder="1" applyAlignment="1" applyProtection="1">
      <alignment horizontal="right"/>
    </xf>
    <xf numFmtId="0" fontId="23" fillId="20" borderId="101" xfId="0" applyFont="1" applyFill="1" applyBorder="1" applyProtection="1"/>
    <xf numFmtId="0" fontId="23" fillId="20" borderId="96" xfId="0" applyFont="1" applyFill="1" applyBorder="1" applyProtection="1"/>
    <xf numFmtId="0" fontId="23" fillId="20" borderId="120" xfId="0" applyFont="1" applyFill="1" applyBorder="1" applyProtection="1"/>
    <xf numFmtId="0" fontId="23" fillId="20" borderId="121" xfId="0" applyFont="1" applyFill="1" applyBorder="1" applyProtection="1"/>
    <xf numFmtId="0" fontId="23" fillId="20" borderId="4" xfId="0" applyFont="1" applyFill="1" applyBorder="1" applyProtection="1"/>
    <xf numFmtId="0" fontId="23" fillId="20" borderId="65" xfId="0" applyFont="1" applyFill="1" applyBorder="1" applyProtection="1"/>
    <xf numFmtId="0" fontId="23" fillId="20" borderId="82" xfId="0" applyFont="1" applyFill="1" applyBorder="1" applyProtection="1"/>
    <xf numFmtId="0" fontId="23" fillId="20" borderId="53" xfId="0" applyFont="1" applyFill="1" applyBorder="1" applyProtection="1"/>
    <xf numFmtId="3" fontId="2" fillId="20" borderId="15" xfId="0" applyNumberFormat="1" applyFont="1" applyFill="1" applyBorder="1" applyProtection="1"/>
    <xf numFmtId="3" fontId="43" fillId="20" borderId="2" xfId="0" applyNumberFormat="1" applyFont="1" applyFill="1" applyBorder="1" applyProtection="1"/>
    <xf numFmtId="3" fontId="34" fillId="20" borderId="0" xfId="0" applyNumberFormat="1" applyFont="1" applyFill="1" applyBorder="1" applyAlignment="1" applyProtection="1"/>
    <xf numFmtId="3" fontId="2" fillId="20" borderId="28" xfId="0" applyNumberFormat="1" applyFont="1" applyFill="1" applyBorder="1" applyAlignment="1" applyProtection="1">
      <alignment horizontal="right"/>
    </xf>
    <xf numFmtId="3" fontId="43" fillId="20" borderId="154" xfId="0" applyNumberFormat="1" applyFont="1" applyFill="1" applyBorder="1" applyProtection="1"/>
    <xf numFmtId="3" fontId="2" fillId="21" borderId="28" xfId="0" applyNumberFormat="1" applyFont="1" applyFill="1" applyBorder="1" applyAlignment="1" applyProtection="1">
      <alignment horizontal="right"/>
    </xf>
    <xf numFmtId="3" fontId="42" fillId="20" borderId="4" xfId="0" applyNumberFormat="1" applyFont="1" applyFill="1" applyBorder="1" applyProtection="1"/>
    <xf numFmtId="3" fontId="42" fillId="20" borderId="82" xfId="0" applyNumberFormat="1" applyFont="1" applyFill="1" applyBorder="1" applyProtection="1"/>
    <xf numFmtId="3" fontId="90" fillId="20" borderId="82" xfId="0" applyNumberFormat="1" applyFont="1" applyFill="1" applyBorder="1" applyProtection="1"/>
    <xf numFmtId="3" fontId="46" fillId="20" borderId="2" xfId="0" applyNumberFormat="1" applyFont="1" applyFill="1" applyBorder="1" applyAlignment="1" applyProtection="1">
      <alignment horizontal="right"/>
    </xf>
    <xf numFmtId="3" fontId="2" fillId="20" borderId="45" xfId="0" applyNumberFormat="1" applyFont="1" applyFill="1" applyBorder="1" applyAlignment="1" applyProtection="1">
      <alignment horizontal="right"/>
    </xf>
    <xf numFmtId="3" fontId="43" fillId="20" borderId="91" xfId="0" applyNumberFormat="1" applyFont="1" applyFill="1" applyBorder="1" applyProtection="1"/>
    <xf numFmtId="3" fontId="43" fillId="20" borderId="155" xfId="0" applyNumberFormat="1" applyFont="1" applyFill="1" applyBorder="1" applyProtection="1"/>
    <xf numFmtId="3" fontId="103" fillId="20" borderId="4" xfId="0" applyNumberFormat="1" applyFont="1" applyFill="1" applyBorder="1" applyProtection="1"/>
    <xf numFmtId="3" fontId="103" fillId="20" borderId="82" xfId="0" applyNumberFormat="1" applyFont="1" applyFill="1" applyBorder="1" applyProtection="1"/>
    <xf numFmtId="3" fontId="47" fillId="20" borderId="4" xfId="0" applyNumberFormat="1" applyFont="1" applyFill="1" applyBorder="1" applyProtection="1"/>
    <xf numFmtId="3" fontId="40" fillId="20" borderId="30" xfId="0" applyNumberFormat="1" applyFont="1" applyFill="1" applyBorder="1" applyAlignment="1" applyProtection="1">
      <alignment horizontal="right"/>
    </xf>
    <xf numFmtId="3" fontId="42" fillId="20" borderId="91" xfId="0" applyNumberFormat="1" applyFont="1" applyFill="1" applyBorder="1" applyProtection="1"/>
    <xf numFmtId="3" fontId="40" fillId="20" borderId="105" xfId="0" applyNumberFormat="1" applyFont="1" applyFill="1" applyBorder="1" applyAlignment="1" applyProtection="1">
      <alignment horizontal="right"/>
    </xf>
    <xf numFmtId="3" fontId="42" fillId="20" borderId="180" xfId="0" applyNumberFormat="1" applyFont="1" applyFill="1" applyBorder="1" applyProtection="1"/>
    <xf numFmtId="3" fontId="42" fillId="20" borderId="39" xfId="0" applyNumberFormat="1" applyFont="1" applyFill="1" applyBorder="1" applyProtection="1"/>
    <xf numFmtId="3" fontId="90" fillId="20" borderId="39" xfId="0" applyNumberFormat="1" applyFont="1" applyFill="1" applyBorder="1" applyProtection="1"/>
    <xf numFmtId="3" fontId="3" fillId="20" borderId="30" xfId="0" applyNumberFormat="1" applyFont="1" applyFill="1" applyBorder="1" applyAlignment="1" applyProtection="1">
      <alignment horizontal="center"/>
    </xf>
    <xf numFmtId="3" fontId="3" fillId="20" borderId="49" xfId="0" applyNumberFormat="1" applyFont="1" applyFill="1" applyBorder="1" applyAlignment="1" applyProtection="1"/>
    <xf numFmtId="3" fontId="8" fillId="20" borderId="48" xfId="0" applyNumberFormat="1" applyFont="1" applyFill="1" applyBorder="1" applyAlignment="1" applyProtection="1">
      <alignment horizontal="left" vertical="top" wrapText="1"/>
    </xf>
    <xf numFmtId="3" fontId="8" fillId="20" borderId="166" xfId="0" applyNumberFormat="1" applyFont="1" applyFill="1" applyBorder="1" applyAlignment="1" applyProtection="1">
      <alignment horizontal="left" vertical="top" wrapText="1"/>
    </xf>
    <xf numFmtId="3" fontId="3" fillId="20" borderId="182" xfId="0" applyNumberFormat="1" applyFont="1" applyFill="1" applyBorder="1" applyAlignment="1" applyProtection="1">
      <alignment horizontal="center"/>
    </xf>
    <xf numFmtId="3" fontId="3" fillId="20" borderId="29" xfId="0" applyNumberFormat="1" applyFont="1" applyFill="1" applyBorder="1" applyAlignment="1" applyProtection="1">
      <alignment horizontal="center"/>
    </xf>
    <xf numFmtId="3" fontId="3" fillId="20" borderId="183" xfId="0" applyNumberFormat="1" applyFont="1" applyFill="1" applyBorder="1" applyAlignment="1" applyProtection="1"/>
    <xf numFmtId="3" fontId="8" fillId="20" borderId="184" xfId="0" applyNumberFormat="1" applyFont="1" applyFill="1" applyBorder="1" applyAlignment="1" applyProtection="1"/>
    <xf numFmtId="3" fontId="8" fillId="20" borderId="185" xfId="0" applyNumberFormat="1" applyFont="1" applyFill="1" applyBorder="1" applyAlignment="1" applyProtection="1"/>
    <xf numFmtId="3" fontId="3" fillId="20" borderId="45" xfId="0" applyNumberFormat="1" applyFont="1" applyFill="1" applyBorder="1" applyAlignment="1" applyProtection="1">
      <alignment horizontal="center"/>
    </xf>
    <xf numFmtId="3" fontId="5" fillId="20" borderId="77" xfId="0" applyNumberFormat="1" applyFont="1" applyFill="1" applyBorder="1" applyAlignment="1" applyProtection="1"/>
    <xf numFmtId="3" fontId="8" fillId="20" borderId="78" xfId="0" applyNumberFormat="1" applyFont="1" applyFill="1" applyBorder="1" applyAlignment="1" applyProtection="1"/>
    <xf numFmtId="3" fontId="8" fillId="20" borderId="179" xfId="0" applyNumberFormat="1" applyFont="1" applyFill="1" applyBorder="1" applyAlignment="1" applyProtection="1"/>
    <xf numFmtId="3" fontId="3" fillId="20" borderId="186" xfId="0" applyNumberFormat="1" applyFont="1" applyFill="1" applyBorder="1" applyAlignment="1" applyProtection="1">
      <alignment vertical="center"/>
    </xf>
    <xf numFmtId="3" fontId="8" fillId="20" borderId="186" xfId="0" applyNumberFormat="1" applyFont="1" applyFill="1" applyBorder="1" applyProtection="1"/>
    <xf numFmtId="3" fontId="3" fillId="20" borderId="109" xfId="0" applyNumberFormat="1" applyFont="1" applyFill="1" applyBorder="1" applyAlignment="1" applyProtection="1">
      <alignment vertical="center"/>
    </xf>
    <xf numFmtId="3" fontId="8" fillId="20" borderId="75" xfId="0" applyNumberFormat="1" applyFont="1" applyFill="1" applyBorder="1" applyProtection="1"/>
    <xf numFmtId="3" fontId="8" fillId="20" borderId="92" xfId="0" applyNumberFormat="1" applyFont="1" applyFill="1" applyBorder="1" applyProtection="1"/>
    <xf numFmtId="3" fontId="3" fillId="20" borderId="187" xfId="0" applyNumberFormat="1" applyFont="1" applyFill="1" applyBorder="1" applyAlignment="1" applyProtection="1"/>
    <xf numFmtId="3" fontId="3" fillId="20" borderId="109" xfId="0" applyNumberFormat="1" applyFont="1" applyFill="1" applyBorder="1" applyProtection="1"/>
    <xf numFmtId="3" fontId="8" fillId="20" borderId="109" xfId="0" applyNumberFormat="1" applyFont="1" applyFill="1" applyBorder="1" applyProtection="1"/>
    <xf numFmtId="3" fontId="8" fillId="20" borderId="78" xfId="0" applyNumberFormat="1" applyFont="1" applyFill="1" applyBorder="1" applyProtection="1"/>
    <xf numFmtId="3" fontId="8" fillId="20" borderId="179" xfId="0" applyNumberFormat="1" applyFont="1" applyFill="1" applyBorder="1" applyProtection="1"/>
    <xf numFmtId="0" fontId="3" fillId="20" borderId="60" xfId="0" applyFont="1" applyFill="1" applyBorder="1" applyAlignment="1" applyProtection="1">
      <alignment horizontal="left"/>
    </xf>
    <xf numFmtId="0" fontId="3" fillId="20" borderId="124" xfId="0" applyFont="1" applyFill="1" applyBorder="1" applyProtection="1"/>
    <xf numFmtId="0" fontId="3" fillId="20" borderId="188" xfId="0" applyFont="1" applyFill="1" applyBorder="1" applyAlignment="1" applyProtection="1">
      <alignment vertical="top" wrapText="1"/>
    </xf>
    <xf numFmtId="0" fontId="3" fillId="20" borderId="113" xfId="0" applyFont="1" applyFill="1" applyBorder="1" applyAlignment="1" applyProtection="1">
      <alignment horizontal="left" vertical="top" wrapText="1"/>
    </xf>
    <xf numFmtId="0" fontId="3" fillId="20" borderId="136" xfId="0" applyFont="1" applyFill="1" applyBorder="1" applyAlignment="1" applyProtection="1">
      <alignment horizontal="left" vertical="top" wrapText="1"/>
    </xf>
    <xf numFmtId="0" fontId="3" fillId="20" borderId="188" xfId="0" applyFont="1" applyFill="1" applyBorder="1" applyAlignment="1" applyProtection="1">
      <alignment horizontal="left" vertical="top" wrapText="1"/>
    </xf>
    <xf numFmtId="0" fontId="3" fillId="20" borderId="60" xfId="0" applyFont="1" applyFill="1" applyBorder="1" applyProtection="1"/>
    <xf numFmtId="0" fontId="7" fillId="20" borderId="90" xfId="0" applyFont="1" applyFill="1" applyBorder="1" applyProtection="1"/>
    <xf numFmtId="0" fontId="3" fillId="20" borderId="44" xfId="0" applyFont="1" applyFill="1" applyBorder="1" applyProtection="1"/>
    <xf numFmtId="0" fontId="3" fillId="20" borderId="170" xfId="0" applyFont="1" applyFill="1" applyBorder="1" applyAlignment="1" applyProtection="1">
      <alignment horizontal="left" vertical="top" wrapText="1"/>
    </xf>
    <xf numFmtId="0" fontId="3" fillId="20" borderId="127" xfId="0" applyFont="1" applyFill="1" applyBorder="1" applyProtection="1"/>
    <xf numFmtId="0" fontId="5" fillId="20" borderId="127" xfId="0" applyFont="1" applyFill="1" applyBorder="1" applyProtection="1"/>
    <xf numFmtId="0" fontId="3" fillId="20" borderId="16" xfId="0" applyFont="1" applyFill="1" applyBorder="1" applyProtection="1"/>
    <xf numFmtId="0" fontId="3" fillId="20" borderId="64" xfId="0" applyFont="1" applyFill="1" applyBorder="1" applyProtection="1"/>
    <xf numFmtId="0" fontId="3" fillId="20" borderId="68" xfId="0" applyFont="1" applyFill="1" applyBorder="1" applyProtection="1"/>
    <xf numFmtId="0" fontId="3" fillId="20" borderId="147" xfId="0" applyFont="1" applyFill="1" applyBorder="1" applyProtection="1"/>
    <xf numFmtId="0" fontId="3" fillId="20" borderId="114" xfId="0" applyFont="1" applyFill="1" applyBorder="1" applyProtection="1"/>
    <xf numFmtId="0" fontId="44" fillId="20" borderId="178" xfId="0" applyFont="1" applyFill="1" applyBorder="1" applyProtection="1"/>
    <xf numFmtId="0" fontId="5" fillId="20" borderId="101" xfId="0" applyFont="1" applyFill="1" applyBorder="1" applyProtection="1"/>
    <xf numFmtId="0" fontId="5" fillId="20" borderId="16" xfId="0" applyFont="1" applyFill="1" applyBorder="1" applyProtection="1"/>
    <xf numFmtId="49" fontId="7" fillId="20" borderId="127" xfId="0" applyNumberFormat="1" applyFont="1" applyFill="1" applyBorder="1" applyAlignment="1" applyProtection="1">
      <alignment horizontal="left"/>
    </xf>
    <xf numFmtId="3" fontId="35" fillId="20" borderId="15" xfId="0" applyNumberFormat="1" applyFont="1" applyFill="1" applyBorder="1" applyAlignment="1" applyProtection="1"/>
    <xf numFmtId="3" fontId="35" fillId="20" borderId="56" xfId="0" applyNumberFormat="1" applyFont="1" applyFill="1" applyBorder="1" applyAlignment="1" applyProtection="1"/>
    <xf numFmtId="49" fontId="5" fillId="20" borderId="154" xfId="0" applyNumberFormat="1" applyFont="1" applyFill="1" applyBorder="1" applyAlignment="1" applyProtection="1"/>
    <xf numFmtId="49" fontId="5" fillId="20" borderId="0" xfId="0" applyNumberFormat="1" applyFont="1" applyFill="1" applyBorder="1" applyAlignment="1" applyProtection="1"/>
    <xf numFmtId="49" fontId="5" fillId="20" borderId="123" xfId="0" applyNumberFormat="1" applyFont="1" applyFill="1" applyBorder="1" applyAlignment="1" applyProtection="1"/>
    <xf numFmtId="49" fontId="5" fillId="20" borderId="27" xfId="0" applyNumberFormat="1" applyFont="1" applyFill="1" applyBorder="1" applyAlignment="1" applyProtection="1"/>
    <xf numFmtId="3" fontId="2" fillId="20" borderId="15" xfId="0" applyNumberFormat="1" applyFont="1" applyFill="1" applyBorder="1" applyAlignment="1" applyProtection="1">
      <alignment horizontal="right"/>
    </xf>
    <xf numFmtId="3" fontId="10" fillId="20" borderId="15" xfId="0" applyNumberFormat="1" applyFont="1" applyFill="1" applyBorder="1" applyProtection="1"/>
    <xf numFmtId="3" fontId="10" fillId="20" borderId="56" xfId="0" applyNumberFormat="1" applyFont="1" applyFill="1" applyBorder="1" applyProtection="1"/>
    <xf numFmtId="3" fontId="10" fillId="20" borderId="0" xfId="0" applyNumberFormat="1" applyFont="1" applyFill="1" applyBorder="1" applyProtection="1"/>
    <xf numFmtId="49" fontId="3" fillId="20" borderId="39" xfId="0" applyNumberFormat="1" applyFont="1" applyFill="1" applyBorder="1" applyAlignment="1" applyProtection="1"/>
    <xf numFmtId="49" fontId="5" fillId="20" borderId="11" xfId="0" applyNumberFormat="1" applyFont="1" applyFill="1" applyBorder="1" applyAlignment="1" applyProtection="1"/>
    <xf numFmtId="3" fontId="35" fillId="20" borderId="60" xfId="0" applyNumberFormat="1" applyFont="1" applyFill="1" applyBorder="1" applyAlignment="1" applyProtection="1"/>
    <xf numFmtId="49" fontId="5" fillId="20" borderId="57" xfId="0" applyNumberFormat="1" applyFont="1" applyFill="1" applyBorder="1" applyAlignment="1" applyProtection="1"/>
    <xf numFmtId="3" fontId="35" fillId="20" borderId="0" xfId="0" applyNumberFormat="1" applyFont="1" applyFill="1" applyBorder="1" applyAlignment="1" applyProtection="1"/>
    <xf numFmtId="3" fontId="2" fillId="20" borderId="68" xfId="0" applyNumberFormat="1" applyFont="1" applyFill="1" applyBorder="1" applyAlignment="1" applyProtection="1">
      <alignment horizontal="right"/>
    </xf>
    <xf numFmtId="3" fontId="35" fillId="20" borderId="57" xfId="0" applyNumberFormat="1" applyFont="1" applyFill="1" applyBorder="1" applyAlignment="1" applyProtection="1"/>
    <xf numFmtId="3" fontId="35" fillId="20" borderId="15" xfId="0" applyNumberFormat="1" applyFont="1" applyFill="1" applyBorder="1" applyProtection="1"/>
    <xf numFmtId="49" fontId="5" fillId="20" borderId="15" xfId="0" applyNumberFormat="1" applyFont="1" applyFill="1" applyBorder="1" applyAlignment="1" applyProtection="1"/>
    <xf numFmtId="3" fontId="2" fillId="26" borderId="17" xfId="0" applyNumberFormat="1" applyFont="1" applyFill="1" applyBorder="1" applyAlignment="1" applyProtection="1">
      <alignment horizontal="right"/>
    </xf>
    <xf numFmtId="49" fontId="3" fillId="20" borderId="134" xfId="0" applyNumberFormat="1" applyFont="1" applyFill="1" applyBorder="1" applyAlignment="1" applyProtection="1">
      <alignment horizontal="left"/>
    </xf>
    <xf numFmtId="0" fontId="5" fillId="20" borderId="64" xfId="0" applyFont="1" applyFill="1" applyBorder="1" applyProtection="1"/>
    <xf numFmtId="49" fontId="3" fillId="20" borderId="22" xfId="0" applyNumberFormat="1" applyFont="1" applyFill="1" applyBorder="1" applyAlignment="1" applyProtection="1">
      <alignment horizontal="left"/>
    </xf>
    <xf numFmtId="49" fontId="3" fillId="20" borderId="92" xfId="0" applyNumberFormat="1" applyFont="1" applyFill="1" applyBorder="1" applyProtection="1"/>
    <xf numFmtId="49" fontId="3" fillId="20" borderId="92" xfId="0" applyNumberFormat="1" applyFont="1" applyFill="1" applyBorder="1" applyAlignment="1" applyProtection="1">
      <alignment wrapText="1"/>
    </xf>
    <xf numFmtId="49" fontId="3" fillId="20" borderId="21" xfId="0" applyNumberFormat="1" applyFont="1" applyFill="1" applyBorder="1" applyAlignment="1" applyProtection="1">
      <alignment horizontal="left"/>
    </xf>
    <xf numFmtId="49" fontId="3" fillId="20" borderId="55" xfId="0" applyNumberFormat="1" applyFont="1" applyFill="1" applyBorder="1" applyAlignment="1" applyProtection="1">
      <alignment wrapText="1"/>
    </xf>
    <xf numFmtId="49" fontId="3" fillId="20" borderId="23" xfId="0" applyNumberFormat="1" applyFont="1" applyFill="1" applyBorder="1" applyAlignment="1" applyProtection="1">
      <alignment horizontal="left"/>
    </xf>
    <xf numFmtId="0" fontId="5" fillId="20" borderId="48" xfId="0" applyFont="1" applyFill="1" applyBorder="1" applyProtection="1"/>
    <xf numFmtId="49" fontId="3" fillId="20" borderId="76" xfId="0" applyNumberFormat="1" applyFont="1" applyFill="1" applyBorder="1" applyProtection="1"/>
    <xf numFmtId="49" fontId="3" fillId="20" borderId="65" xfId="0" applyNumberFormat="1" applyFont="1" applyFill="1" applyBorder="1" applyAlignment="1" applyProtection="1">
      <alignment wrapText="1"/>
    </xf>
    <xf numFmtId="0" fontId="5" fillId="20" borderId="166" xfId="0" applyFont="1" applyFill="1" applyBorder="1" applyProtection="1"/>
    <xf numFmtId="49" fontId="3" fillId="20" borderId="55" xfId="0" applyNumberFormat="1" applyFont="1" applyFill="1" applyBorder="1" applyProtection="1"/>
    <xf numFmtId="49" fontId="3" fillId="20" borderId="6" xfId="0" applyNumberFormat="1" applyFont="1" applyFill="1" applyBorder="1" applyAlignment="1" applyProtection="1">
      <alignment wrapText="1"/>
    </xf>
    <xf numFmtId="49" fontId="3" fillId="20" borderId="3" xfId="0" applyNumberFormat="1" applyFont="1" applyFill="1" applyBorder="1" applyAlignment="1" applyProtection="1">
      <alignment wrapText="1"/>
    </xf>
    <xf numFmtId="49" fontId="3" fillId="20" borderId="178" xfId="0" applyNumberFormat="1" applyFont="1" applyFill="1" applyBorder="1" applyAlignment="1" applyProtection="1">
      <alignment wrapText="1"/>
    </xf>
    <xf numFmtId="0" fontId="5" fillId="20" borderId="189" xfId="0" applyFont="1" applyFill="1" applyBorder="1" applyProtection="1"/>
    <xf numFmtId="49" fontId="3" fillId="20" borderId="12" xfId="0" applyNumberFormat="1" applyFont="1" applyFill="1" applyBorder="1" applyProtection="1"/>
    <xf numFmtId="49" fontId="3" fillId="20" borderId="54" xfId="0" applyNumberFormat="1" applyFont="1" applyFill="1" applyBorder="1" applyProtection="1"/>
    <xf numFmtId="49" fontId="3" fillId="20" borderId="54" xfId="0" applyNumberFormat="1" applyFont="1" applyFill="1" applyBorder="1" applyAlignment="1" applyProtection="1">
      <alignment wrapText="1"/>
    </xf>
    <xf numFmtId="49" fontId="3" fillId="20" borderId="6" xfId="12" applyNumberFormat="1" applyFont="1" applyFill="1" applyBorder="1" applyAlignment="1" applyProtection="1"/>
    <xf numFmtId="49" fontId="3" fillId="20" borderId="130" xfId="0" applyNumberFormat="1" applyFont="1" applyFill="1" applyBorder="1" applyAlignment="1" applyProtection="1">
      <alignment horizontal="left"/>
    </xf>
    <xf numFmtId="49" fontId="3" fillId="20" borderId="172" xfId="12" applyNumberFormat="1" applyFont="1" applyFill="1" applyBorder="1" applyAlignment="1" applyProtection="1"/>
    <xf numFmtId="49" fontId="3" fillId="20" borderId="127" xfId="0" applyNumberFormat="1" applyFont="1" applyFill="1" applyBorder="1" applyAlignment="1" applyProtection="1">
      <alignment horizontal="left"/>
    </xf>
    <xf numFmtId="49" fontId="3" fillId="20" borderId="56" xfId="12" applyNumberFormat="1" applyFont="1" applyFill="1" applyBorder="1" applyAlignment="1" applyProtection="1"/>
    <xf numFmtId="49" fontId="3" fillId="20" borderId="169" xfId="12" applyNumberFormat="1" applyFont="1" applyFill="1" applyBorder="1" applyAlignment="1" applyProtection="1"/>
    <xf numFmtId="49" fontId="3" fillId="20" borderId="178" xfId="12" applyNumberFormat="1" applyFont="1" applyFill="1" applyBorder="1" applyAlignment="1" applyProtection="1"/>
    <xf numFmtId="49" fontId="3" fillId="20" borderId="6" xfId="0" applyNumberFormat="1" applyFont="1" applyFill="1" applyBorder="1" applyProtection="1"/>
    <xf numFmtId="49" fontId="3" fillId="20" borderId="92" xfId="12" applyNumberFormat="1" applyFont="1" applyFill="1" applyBorder="1" applyAlignment="1" applyProtection="1"/>
    <xf numFmtId="49" fontId="3" fillId="20" borderId="24" xfId="0" applyNumberFormat="1" applyFont="1" applyFill="1" applyBorder="1" applyAlignment="1" applyProtection="1">
      <alignment horizontal="left"/>
    </xf>
    <xf numFmtId="49" fontId="3" fillId="20" borderId="72" xfId="12" applyNumberFormat="1" applyFont="1" applyFill="1" applyBorder="1" applyAlignment="1" applyProtection="1"/>
    <xf numFmtId="49" fontId="3" fillId="20" borderId="12" xfId="12" applyNumberFormat="1" applyFont="1" applyFill="1" applyBorder="1" applyAlignment="1" applyProtection="1"/>
    <xf numFmtId="0" fontId="3" fillId="20" borderId="0" xfId="0" applyFont="1" applyFill="1" applyBorder="1" applyAlignment="1" applyProtection="1">
      <alignment horizontal="center"/>
    </xf>
    <xf numFmtId="0" fontId="2" fillId="20" borderId="39" xfId="0" applyFont="1" applyFill="1" applyBorder="1" applyProtection="1"/>
    <xf numFmtId="0" fontId="3" fillId="20" borderId="58" xfId="0" applyFont="1" applyFill="1" applyBorder="1" applyProtection="1"/>
    <xf numFmtId="0" fontId="9" fillId="20" borderId="39" xfId="0" applyFont="1" applyFill="1" applyBorder="1" applyProtection="1"/>
    <xf numFmtId="0" fontId="2" fillId="20" borderId="0" xfId="0" applyFont="1" applyFill="1" applyBorder="1" applyProtection="1"/>
    <xf numFmtId="0" fontId="9" fillId="20" borderId="144" xfId="0" applyFont="1" applyFill="1" applyBorder="1" applyProtection="1"/>
    <xf numFmtId="0" fontId="7" fillId="20" borderId="124" xfId="0" applyFont="1" applyFill="1" applyBorder="1" applyProtection="1"/>
    <xf numFmtId="0" fontId="2" fillId="20" borderId="124" xfId="0" applyFont="1" applyFill="1" applyBorder="1" applyProtection="1"/>
    <xf numFmtId="0" fontId="7" fillId="20" borderId="0" xfId="0" applyFont="1" applyFill="1" applyBorder="1" applyProtection="1"/>
    <xf numFmtId="0" fontId="7" fillId="20" borderId="0" xfId="0" applyFont="1" applyFill="1" applyBorder="1" applyAlignment="1" applyProtection="1">
      <alignment horizontal="left" vertical="top" wrapText="1"/>
    </xf>
    <xf numFmtId="0" fontId="2" fillId="20" borderId="0" xfId="0" applyFont="1" applyFill="1" applyBorder="1" applyAlignment="1" applyProtection="1">
      <alignment horizontal="left" vertical="top" wrapText="1"/>
    </xf>
    <xf numFmtId="49" fontId="3" fillId="20" borderId="36" xfId="6" applyNumberFormat="1" applyFont="1" applyFill="1" applyBorder="1" applyAlignment="1" applyProtection="1">
      <alignment horizontal="left"/>
    </xf>
    <xf numFmtId="0" fontId="3" fillId="20" borderId="118" xfId="6" applyFont="1" applyFill="1" applyBorder="1" applyAlignment="1" applyProtection="1"/>
    <xf numFmtId="0" fontId="3" fillId="20" borderId="120" xfId="6" applyFont="1" applyFill="1" applyBorder="1" applyProtection="1"/>
    <xf numFmtId="0" fontId="3" fillId="20" borderId="124" xfId="6" applyFont="1" applyFill="1" applyBorder="1" applyProtection="1"/>
    <xf numFmtId="0" fontId="3" fillId="20" borderId="95" xfId="6" applyFont="1" applyFill="1" applyBorder="1" applyProtection="1"/>
    <xf numFmtId="49" fontId="3" fillId="20" borderId="58" xfId="6" applyNumberFormat="1" applyFont="1" applyFill="1" applyBorder="1" applyAlignment="1" applyProtection="1">
      <alignment horizontal="left" vertical="top"/>
    </xf>
    <xf numFmtId="0" fontId="3" fillId="20" borderId="15" xfId="6" applyFont="1" applyFill="1" applyBorder="1" applyProtection="1"/>
    <xf numFmtId="0" fontId="22" fillId="20" borderId="161" xfId="6" applyFont="1" applyFill="1" applyBorder="1" applyProtection="1"/>
    <xf numFmtId="0" fontId="22" fillId="20" borderId="68" xfId="6" applyFont="1" applyFill="1" applyBorder="1" applyProtection="1"/>
    <xf numFmtId="3" fontId="3" fillId="20" borderId="167" xfId="6" applyNumberFormat="1" applyFont="1" applyFill="1" applyBorder="1" applyAlignment="1" applyProtection="1">
      <alignment wrapText="1"/>
    </xf>
    <xf numFmtId="3" fontId="3" fillId="20" borderId="159" xfId="6" applyNumberFormat="1" applyFont="1" applyFill="1" applyBorder="1" applyProtection="1"/>
    <xf numFmtId="0" fontId="3" fillId="20" borderId="159" xfId="6" applyFont="1" applyFill="1" applyBorder="1" applyProtection="1"/>
    <xf numFmtId="49" fontId="3" fillId="20" borderId="58" xfId="6" applyNumberFormat="1" applyFont="1" applyFill="1" applyBorder="1" applyAlignment="1" applyProtection="1">
      <alignment horizontal="left"/>
    </xf>
    <xf numFmtId="0" fontId="3" fillId="20" borderId="56" xfId="6" applyFont="1" applyFill="1" applyBorder="1" applyProtection="1"/>
    <xf numFmtId="3" fontId="3" fillId="20" borderId="16" xfId="6" applyNumberFormat="1" applyFont="1" applyFill="1" applyBorder="1" applyProtection="1"/>
    <xf numFmtId="49" fontId="7" fillId="20" borderId="58" xfId="6" applyNumberFormat="1" applyFont="1" applyFill="1" applyBorder="1" applyAlignment="1" applyProtection="1">
      <alignment horizontal="left"/>
    </xf>
    <xf numFmtId="0" fontId="3" fillId="20" borderId="169" xfId="6" applyFont="1" applyFill="1" applyBorder="1" applyProtection="1"/>
    <xf numFmtId="0" fontId="3" fillId="20" borderId="159" xfId="6" applyFont="1" applyFill="1" applyBorder="1" applyAlignment="1" applyProtection="1">
      <alignment horizontal="left"/>
    </xf>
    <xf numFmtId="0" fontId="3" fillId="20" borderId="0" xfId="6" applyFont="1" applyFill="1" applyBorder="1" applyProtection="1"/>
    <xf numFmtId="0" fontId="5" fillId="20" borderId="169" xfId="6" applyFont="1" applyFill="1" applyBorder="1" applyProtection="1"/>
    <xf numFmtId="49" fontId="5" fillId="20" borderId="58" xfId="6" applyNumberFormat="1" applyFont="1" applyFill="1" applyBorder="1" applyAlignment="1" applyProtection="1">
      <alignment horizontal="left"/>
    </xf>
    <xf numFmtId="0" fontId="7" fillId="20" borderId="177" xfId="6" applyFont="1" applyFill="1" applyBorder="1" applyProtection="1"/>
    <xf numFmtId="0" fontId="3" fillId="20" borderId="192" xfId="6" applyFont="1" applyFill="1" applyBorder="1" applyProtection="1"/>
    <xf numFmtId="0" fontId="3" fillId="20" borderId="177" xfId="6" applyFont="1" applyFill="1" applyBorder="1" applyProtection="1"/>
    <xf numFmtId="0" fontId="5" fillId="20" borderId="35" xfId="6" applyFont="1" applyFill="1" applyBorder="1" applyAlignment="1" applyProtection="1">
      <alignment horizontal="left"/>
    </xf>
    <xf numFmtId="0" fontId="5" fillId="20" borderId="35" xfId="6" applyFont="1" applyFill="1" applyBorder="1" applyProtection="1"/>
    <xf numFmtId="0" fontId="3" fillId="20" borderId="2" xfId="6" applyFont="1" applyFill="1" applyBorder="1" applyAlignment="1" applyProtection="1">
      <alignment horizontal="left"/>
    </xf>
    <xf numFmtId="0" fontId="3" fillId="20" borderId="2" xfId="6" applyFont="1" applyFill="1" applyBorder="1" applyProtection="1"/>
    <xf numFmtId="0" fontId="3" fillId="20" borderId="5" xfId="6" applyFont="1" applyFill="1" applyBorder="1" applyProtection="1"/>
    <xf numFmtId="1" fontId="5" fillId="20" borderId="50" xfId="6" applyNumberFormat="1" applyFont="1" applyFill="1" applyBorder="1" applyAlignment="1" applyProtection="1">
      <alignment horizontal="left"/>
    </xf>
    <xf numFmtId="0" fontId="5" fillId="20" borderId="5" xfId="6" applyFont="1" applyFill="1" applyBorder="1" applyProtection="1"/>
    <xf numFmtId="1" fontId="3" fillId="20" borderId="51" xfId="6" applyNumberFormat="1" applyFont="1" applyFill="1" applyBorder="1" applyAlignment="1" applyProtection="1">
      <alignment horizontal="left"/>
    </xf>
    <xf numFmtId="0" fontId="5" fillId="20" borderId="2" xfId="6" applyFont="1" applyFill="1" applyBorder="1" applyAlignment="1" applyProtection="1">
      <alignment horizontal="left"/>
    </xf>
    <xf numFmtId="0" fontId="5" fillId="20" borderId="2" xfId="6" applyFont="1" applyFill="1" applyBorder="1" applyAlignment="1" applyProtection="1">
      <alignment wrapText="1"/>
    </xf>
    <xf numFmtId="0" fontId="5" fillId="20" borderId="5" xfId="6" applyFont="1" applyFill="1" applyBorder="1" applyAlignment="1" applyProtection="1">
      <alignment wrapText="1"/>
    </xf>
    <xf numFmtId="1" fontId="3" fillId="20" borderId="51" xfId="6" applyNumberFormat="1" applyFont="1" applyFill="1" applyBorder="1" applyProtection="1"/>
    <xf numFmtId="1" fontId="5" fillId="20" borderId="193" xfId="6" applyNumberFormat="1" applyFont="1" applyFill="1" applyBorder="1" applyAlignment="1" applyProtection="1">
      <alignment horizontal="left"/>
    </xf>
    <xf numFmtId="0" fontId="5" fillId="20" borderId="9" xfId="6" applyFont="1" applyFill="1" applyBorder="1" applyProtection="1"/>
    <xf numFmtId="1" fontId="3" fillId="20" borderId="50" xfId="6" applyNumberFormat="1" applyFont="1" applyFill="1" applyBorder="1" applyAlignment="1" applyProtection="1">
      <alignment horizontal="left"/>
    </xf>
    <xf numFmtId="49" fontId="3" fillId="20" borderId="5" xfId="6" applyNumberFormat="1" applyFont="1" applyFill="1" applyBorder="1" applyAlignment="1" applyProtection="1">
      <alignment horizontal="left"/>
    </xf>
    <xf numFmtId="0" fontId="3" fillId="20" borderId="6" xfId="6" applyFont="1" applyFill="1" applyBorder="1" applyAlignment="1" applyProtection="1">
      <alignment wrapText="1"/>
    </xf>
    <xf numFmtId="3" fontId="2" fillId="20" borderId="136" xfId="6" applyNumberFormat="1" applyFont="1" applyFill="1" applyBorder="1" applyProtection="1"/>
    <xf numFmtId="3" fontId="2" fillId="20" borderId="5" xfId="6" applyNumberFormat="1" applyFont="1" applyFill="1" applyBorder="1" applyProtection="1"/>
    <xf numFmtId="3" fontId="43" fillId="20" borderId="5" xfId="6" applyNumberFormat="1" applyFont="1" applyFill="1" applyBorder="1" applyAlignment="1" applyProtection="1">
      <alignment horizontal="right"/>
    </xf>
    <xf numFmtId="3" fontId="43" fillId="20" borderId="2" xfId="6" applyNumberFormat="1" applyFont="1" applyFill="1" applyBorder="1" applyAlignment="1" applyProtection="1">
      <alignment horizontal="right"/>
    </xf>
    <xf numFmtId="3" fontId="43" fillId="20" borderId="15" xfId="6" applyNumberFormat="1" applyFont="1" applyFill="1" applyBorder="1" applyAlignment="1" applyProtection="1">
      <alignment horizontal="right"/>
    </xf>
    <xf numFmtId="3" fontId="40" fillId="20" borderId="11" xfId="6" applyNumberFormat="1" applyFont="1" applyFill="1" applyBorder="1" applyAlignment="1" applyProtection="1">
      <alignment horizontal="right"/>
    </xf>
    <xf numFmtId="3" fontId="40" fillId="20" borderId="172" xfId="6" applyNumberFormat="1" applyFont="1" applyFill="1" applyBorder="1" applyAlignment="1" applyProtection="1">
      <alignment horizontal="right"/>
    </xf>
    <xf numFmtId="3" fontId="40" fillId="20" borderId="0" xfId="6" applyNumberFormat="1" applyFont="1" applyFill="1" applyBorder="1" applyAlignment="1" applyProtection="1">
      <alignment horizontal="right"/>
    </xf>
    <xf numFmtId="3" fontId="40" fillId="20" borderId="86" xfId="6" applyNumberFormat="1" applyFont="1" applyFill="1" applyBorder="1" applyAlignment="1" applyProtection="1">
      <alignment horizontal="right"/>
    </xf>
    <xf numFmtId="3" fontId="40" fillId="20" borderId="39" xfId="6" applyNumberFormat="1" applyFont="1" applyFill="1" applyBorder="1" applyAlignment="1" applyProtection="1">
      <alignment horizontal="right"/>
    </xf>
    <xf numFmtId="3" fontId="2" fillId="20" borderId="9" xfId="6" applyNumberFormat="1" applyFont="1" applyFill="1" applyBorder="1" applyProtection="1"/>
    <xf numFmtId="3" fontId="43" fillId="20" borderId="9" xfId="6" applyNumberFormat="1" applyFont="1" applyFill="1" applyBorder="1" applyProtection="1"/>
    <xf numFmtId="3" fontId="2" fillId="20" borderId="2" xfId="6" applyNumberFormat="1" applyFont="1" applyFill="1" applyBorder="1" applyAlignment="1" applyProtection="1">
      <alignment horizontal="right"/>
    </xf>
    <xf numFmtId="3" fontId="2" fillId="20" borderId="5" xfId="6" applyNumberFormat="1" applyFont="1" applyFill="1" applyBorder="1" applyAlignment="1" applyProtection="1">
      <alignment horizontal="right"/>
    </xf>
    <xf numFmtId="3" fontId="2" fillId="20" borderId="9" xfId="6" applyNumberFormat="1" applyFont="1" applyFill="1" applyBorder="1" applyAlignment="1" applyProtection="1">
      <alignment horizontal="right"/>
    </xf>
    <xf numFmtId="0" fontId="2" fillId="20" borderId="0" xfId="6" applyFont="1" applyFill="1" applyProtection="1"/>
    <xf numFmtId="0" fontId="22" fillId="20" borderId="0" xfId="6" applyFill="1" applyProtection="1"/>
    <xf numFmtId="3" fontId="35" fillId="20" borderId="0" xfId="6" applyNumberFormat="1" applyFont="1" applyFill="1" applyBorder="1" applyProtection="1"/>
    <xf numFmtId="0" fontId="22" fillId="20" borderId="0" xfId="6" applyFont="1" applyFill="1" applyProtection="1"/>
    <xf numFmtId="0" fontId="2" fillId="20" borderId="0" xfId="6" applyFont="1" applyFill="1" applyBorder="1" applyProtection="1"/>
    <xf numFmtId="0" fontId="3" fillId="20" borderId="118" xfId="6" applyFont="1" applyFill="1" applyBorder="1" applyProtection="1"/>
    <xf numFmtId="0" fontId="3" fillId="20" borderId="121" xfId="6" applyFont="1" applyFill="1" applyBorder="1" applyProtection="1"/>
    <xf numFmtId="0" fontId="3" fillId="20" borderId="154" xfId="6" applyFont="1" applyFill="1" applyBorder="1" applyProtection="1"/>
    <xf numFmtId="0" fontId="3" fillId="20" borderId="57" xfId="6" applyFont="1" applyFill="1" applyBorder="1" applyProtection="1"/>
    <xf numFmtId="1" fontId="5" fillId="20" borderId="194" xfId="6" applyNumberFormat="1" applyFont="1" applyFill="1" applyBorder="1" applyAlignment="1" applyProtection="1">
      <alignment horizontal="left"/>
    </xf>
    <xf numFmtId="0" fontId="5" fillId="20" borderId="168" xfId="6" applyFont="1" applyFill="1" applyBorder="1" applyProtection="1"/>
    <xf numFmtId="0" fontId="3" fillId="20" borderId="3" xfId="6" applyFont="1" applyFill="1" applyBorder="1" applyProtection="1"/>
    <xf numFmtId="0" fontId="3" fillId="20" borderId="6" xfId="6" applyFont="1" applyFill="1" applyBorder="1" applyProtection="1"/>
    <xf numFmtId="1" fontId="3" fillId="20" borderId="142" xfId="6" applyNumberFormat="1" applyFont="1" applyFill="1" applyBorder="1" applyAlignment="1" applyProtection="1">
      <alignment horizontal="left"/>
    </xf>
    <xf numFmtId="1" fontId="5" fillId="20" borderId="58" xfId="6" applyNumberFormat="1" applyFont="1" applyFill="1" applyBorder="1" applyAlignment="1" applyProtection="1">
      <alignment horizontal="left"/>
    </xf>
    <xf numFmtId="1" fontId="3" fillId="20" borderId="58" xfId="6" applyNumberFormat="1" applyFont="1" applyFill="1" applyBorder="1" applyAlignment="1" applyProtection="1">
      <alignment horizontal="left"/>
    </xf>
    <xf numFmtId="1" fontId="5" fillId="20" borderId="125" xfId="6" applyNumberFormat="1" applyFont="1" applyFill="1" applyBorder="1" applyAlignment="1" applyProtection="1">
      <alignment horizontal="left"/>
    </xf>
    <xf numFmtId="0" fontId="5" fillId="20" borderId="114" xfId="6" applyFont="1" applyFill="1" applyBorder="1" applyProtection="1"/>
    <xf numFmtId="0" fontId="3" fillId="20" borderId="72" xfId="6" applyFont="1" applyFill="1" applyBorder="1" applyProtection="1"/>
    <xf numFmtId="3" fontId="3" fillId="20" borderId="56" xfId="0" applyNumberFormat="1" applyFont="1" applyFill="1" applyBorder="1" applyProtection="1"/>
    <xf numFmtId="49" fontId="7" fillId="20" borderId="58" xfId="0" applyNumberFormat="1" applyFont="1" applyFill="1" applyBorder="1" applyAlignment="1" applyProtection="1">
      <alignment horizontal="left"/>
    </xf>
    <xf numFmtId="49" fontId="12" fillId="20" borderId="58" xfId="0" applyNumberFormat="1" applyFont="1" applyFill="1" applyBorder="1" applyAlignment="1" applyProtection="1">
      <alignment horizontal="left"/>
    </xf>
    <xf numFmtId="1" fontId="5" fillId="20" borderId="134" xfId="0" applyNumberFormat="1" applyFont="1" applyFill="1" applyBorder="1" applyAlignment="1" applyProtection="1">
      <alignment horizontal="left"/>
    </xf>
    <xf numFmtId="1" fontId="3" fillId="20" borderId="22" xfId="0" applyNumberFormat="1" applyFont="1" applyFill="1" applyBorder="1" applyAlignment="1" applyProtection="1">
      <alignment horizontal="left"/>
    </xf>
    <xf numFmtId="1" fontId="5" fillId="20" borderId="22" xfId="0" applyNumberFormat="1" applyFont="1" applyFill="1" applyBorder="1" applyAlignment="1" applyProtection="1">
      <alignment horizontal="left"/>
    </xf>
    <xf numFmtId="1" fontId="5" fillId="20" borderId="130" xfId="0" applyNumberFormat="1" applyFont="1" applyFill="1" applyBorder="1" applyAlignment="1" applyProtection="1">
      <alignment horizontal="left"/>
    </xf>
    <xf numFmtId="3" fontId="3" fillId="20" borderId="191" xfId="0" applyNumberFormat="1" applyFont="1" applyFill="1" applyBorder="1" applyAlignment="1" applyProtection="1">
      <alignment wrapText="1"/>
    </xf>
    <xf numFmtId="3" fontId="3" fillId="20" borderId="44" xfId="0" applyNumberFormat="1" applyFont="1" applyFill="1" applyBorder="1" applyProtection="1"/>
    <xf numFmtId="3" fontId="3" fillId="20" borderId="0" xfId="0" applyNumberFormat="1" applyFont="1" applyFill="1" applyBorder="1" applyProtection="1"/>
    <xf numFmtId="0" fontId="9" fillId="20" borderId="177" xfId="0" applyFont="1" applyFill="1" applyBorder="1" applyAlignment="1" applyProtection="1">
      <alignment horizontal="left" wrapText="1"/>
    </xf>
    <xf numFmtId="0" fontId="9" fillId="20" borderId="177" xfId="0" applyFont="1" applyFill="1" applyBorder="1" applyAlignment="1" applyProtection="1">
      <alignment horizontal="left"/>
    </xf>
    <xf numFmtId="3" fontId="2" fillId="20" borderId="136" xfId="0" applyNumberFormat="1" applyFont="1" applyFill="1" applyBorder="1" applyAlignment="1" applyProtection="1">
      <alignment horizontal="right"/>
    </xf>
    <xf numFmtId="3" fontId="43" fillId="20" borderId="35" xfId="0" quotePrefix="1" applyNumberFormat="1" applyFont="1" applyFill="1" applyBorder="1" applyAlignment="1" applyProtection="1">
      <alignment horizontal="right"/>
    </xf>
    <xf numFmtId="3" fontId="2" fillId="20" borderId="5" xfId="0" applyNumberFormat="1" applyFont="1" applyFill="1" applyBorder="1" applyAlignment="1" applyProtection="1">
      <alignment horizontal="right"/>
    </xf>
    <xf numFmtId="3" fontId="43" fillId="20" borderId="2" xfId="0" applyNumberFormat="1" applyFont="1" applyFill="1" applyBorder="1" applyAlignment="1" applyProtection="1">
      <alignment horizontal="right"/>
    </xf>
    <xf numFmtId="3" fontId="43" fillId="20" borderId="5" xfId="0" applyNumberFormat="1" applyFont="1" applyFill="1" applyBorder="1" applyAlignment="1" applyProtection="1">
      <alignment horizontal="right"/>
    </xf>
    <xf numFmtId="3" fontId="2" fillId="20" borderId="172" xfId="0" applyNumberFormat="1" applyFont="1" applyFill="1" applyBorder="1" applyAlignment="1" applyProtection="1">
      <alignment horizontal="right"/>
    </xf>
    <xf numFmtId="3" fontId="43" fillId="20" borderId="11" xfId="0" applyNumberFormat="1" applyFont="1" applyFill="1" applyBorder="1" applyAlignment="1" applyProtection="1">
      <alignment horizontal="right"/>
    </xf>
    <xf numFmtId="3" fontId="2" fillId="20" borderId="86" xfId="0" applyNumberFormat="1" applyFont="1" applyFill="1" applyBorder="1" applyAlignment="1" applyProtection="1">
      <alignment horizontal="right"/>
    </xf>
    <xf numFmtId="3" fontId="2" fillId="20" borderId="2" xfId="0" applyNumberFormat="1" applyFont="1" applyFill="1" applyBorder="1" applyAlignment="1" applyProtection="1">
      <alignment horizontal="right"/>
    </xf>
    <xf numFmtId="3" fontId="2" fillId="20" borderId="25" xfId="0" applyNumberFormat="1" applyFont="1" applyFill="1" applyBorder="1" applyAlignment="1" applyProtection="1">
      <alignment horizontal="right"/>
    </xf>
    <xf numFmtId="3" fontId="43" fillId="20" borderId="13" xfId="0" quotePrefix="1" applyNumberFormat="1" applyFont="1" applyFill="1" applyBorder="1" applyAlignment="1" applyProtection="1">
      <alignment horizontal="right"/>
    </xf>
    <xf numFmtId="3" fontId="40" fillId="20" borderId="15" xfId="0" applyNumberFormat="1" applyFont="1" applyFill="1" applyBorder="1" applyAlignment="1" applyProtection="1">
      <alignment horizontal="right"/>
    </xf>
    <xf numFmtId="3" fontId="43" fillId="20" borderId="15" xfId="0" applyNumberFormat="1" applyFont="1" applyFill="1" applyBorder="1" applyAlignment="1" applyProtection="1">
      <alignment horizontal="right"/>
    </xf>
    <xf numFmtId="3" fontId="2" fillId="9" borderId="20" xfId="0" applyNumberFormat="1" applyFont="1" applyFill="1" applyBorder="1" applyProtection="1"/>
    <xf numFmtId="3" fontId="2" fillId="9" borderId="19" xfId="0" applyNumberFormat="1" applyFont="1" applyFill="1" applyBorder="1" applyProtection="1"/>
    <xf numFmtId="172" fontId="34" fillId="0" borderId="0" xfId="0" applyNumberFormat="1" applyFont="1" applyFill="1" applyBorder="1" applyAlignment="1" applyProtection="1">
      <alignment horizontal="left" vertical="justify" wrapText="1"/>
    </xf>
    <xf numFmtId="0" fontId="3" fillId="20" borderId="118" xfId="0" applyFont="1" applyFill="1" applyBorder="1" applyAlignment="1" applyProtection="1">
      <alignment horizontal="right"/>
    </xf>
    <xf numFmtId="0" fontId="8" fillId="20" borderId="98" xfId="0" applyFont="1" applyFill="1" applyBorder="1" applyAlignment="1" applyProtection="1">
      <alignment horizontal="center"/>
    </xf>
    <xf numFmtId="0" fontId="8" fillId="20" borderId="127" xfId="0" applyFont="1" applyFill="1" applyBorder="1" applyAlignment="1" applyProtection="1">
      <alignment horizontal="center"/>
    </xf>
    <xf numFmtId="0" fontId="8" fillId="20" borderId="130" xfId="0" applyFont="1" applyFill="1" applyBorder="1" applyAlignment="1" applyProtection="1">
      <alignment horizontal="center"/>
    </xf>
    <xf numFmtId="0" fontId="3" fillId="20" borderId="98" xfId="0" applyFont="1" applyFill="1" applyBorder="1" applyAlignment="1" applyProtection="1">
      <alignment horizontal="center"/>
    </xf>
    <xf numFmtId="0" fontId="8" fillId="0" borderId="124" xfId="0" applyFont="1" applyFill="1" applyBorder="1" applyAlignment="1" applyProtection="1">
      <alignment horizontal="center"/>
    </xf>
    <xf numFmtId="0" fontId="3" fillId="0" borderId="124" xfId="0" applyFont="1" applyFill="1" applyBorder="1" applyAlignment="1" applyProtection="1">
      <alignment horizontal="right"/>
    </xf>
    <xf numFmtId="0" fontId="34" fillId="0" borderId="0" xfId="0" applyFont="1" applyFill="1" applyAlignment="1" applyProtection="1">
      <alignment horizontal="right"/>
    </xf>
    <xf numFmtId="49" fontId="22" fillId="2" borderId="124" xfId="0" applyNumberFormat="1" applyFont="1" applyFill="1" applyBorder="1" applyProtection="1"/>
    <xf numFmtId="0" fontId="22" fillId="2" borderId="124" xfId="0" applyFont="1" applyFill="1" applyBorder="1" applyProtection="1"/>
    <xf numFmtId="0" fontId="8" fillId="2" borderId="124" xfId="0" applyFont="1" applyFill="1" applyBorder="1" applyProtection="1"/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/>
    <xf numFmtId="0" fontId="22" fillId="2" borderId="0" xfId="0" applyFont="1" applyFill="1" applyBorder="1" applyAlignment="1" applyProtection="1">
      <alignment vertical="top"/>
    </xf>
    <xf numFmtId="0" fontId="0" fillId="0" borderId="0" xfId="0" applyBorder="1" applyAlignment="1">
      <alignment vertical="top"/>
    </xf>
    <xf numFmtId="0" fontId="2" fillId="0" borderId="67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vertical="top"/>
    </xf>
    <xf numFmtId="0" fontId="2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>
      <alignment wrapText="1"/>
    </xf>
    <xf numFmtId="0" fontId="35" fillId="0" borderId="58" xfId="0" applyFont="1" applyFill="1" applyBorder="1" applyProtection="1"/>
    <xf numFmtId="0" fontId="35" fillId="0" borderId="0" xfId="0" applyFont="1" applyFill="1" applyProtection="1"/>
    <xf numFmtId="0" fontId="109" fillId="0" borderId="0" xfId="0" applyFont="1" applyFill="1" applyProtection="1"/>
    <xf numFmtId="0" fontId="5" fillId="20" borderId="42" xfId="0" applyFont="1" applyFill="1" applyBorder="1" applyAlignment="1" applyProtection="1">
      <alignment wrapText="1"/>
    </xf>
    <xf numFmtId="3" fontId="2" fillId="27" borderId="18" xfId="0" applyNumberFormat="1" applyFont="1" applyFill="1" applyBorder="1" applyAlignment="1" applyProtection="1">
      <alignment horizontal="right"/>
    </xf>
    <xf numFmtId="3" fontId="2" fillId="20" borderId="118" xfId="0" applyNumberFormat="1" applyFont="1" applyFill="1" applyBorder="1" applyAlignment="1" applyProtection="1">
      <alignment horizontal="right"/>
    </xf>
    <xf numFmtId="3" fontId="2" fillId="20" borderId="13" xfId="0" applyNumberFormat="1" applyFont="1" applyFill="1" applyBorder="1" applyAlignment="1" applyProtection="1">
      <alignment horizontal="right"/>
    </xf>
    <xf numFmtId="3" fontId="10" fillId="27" borderId="7" xfId="0" applyNumberFormat="1" applyFont="1" applyFill="1" applyBorder="1" applyProtection="1"/>
    <xf numFmtId="3" fontId="10" fillId="27" borderId="5" xfId="0" applyNumberFormat="1" applyFont="1" applyFill="1" applyBorder="1" applyProtection="1"/>
    <xf numFmtId="3" fontId="10" fillId="27" borderId="19" xfId="0" applyNumberFormat="1" applyFont="1" applyFill="1" applyBorder="1" applyProtection="1"/>
    <xf numFmtId="0" fontId="34" fillId="20" borderId="0" xfId="0" applyFont="1" applyFill="1" applyBorder="1" applyAlignment="1" applyProtection="1"/>
    <xf numFmtId="0" fontId="34" fillId="20" borderId="39" xfId="0" applyFont="1" applyFill="1" applyBorder="1" applyAlignment="1" applyProtection="1"/>
    <xf numFmtId="49" fontId="2" fillId="10" borderId="139" xfId="0" applyNumberFormat="1" applyFont="1" applyFill="1" applyBorder="1" applyAlignment="1" applyProtection="1"/>
    <xf numFmtId="0" fontId="34" fillId="20" borderId="58" xfId="0" applyFont="1" applyFill="1" applyBorder="1" applyProtection="1"/>
    <xf numFmtId="0" fontId="113" fillId="7" borderId="0" xfId="0" applyFont="1" applyFill="1" applyProtection="1"/>
    <xf numFmtId="1" fontId="3" fillId="20" borderId="195" xfId="0" applyNumberFormat="1" applyFont="1" applyFill="1" applyBorder="1" applyAlignment="1" applyProtection="1">
      <alignment horizontal="center" wrapText="1"/>
    </xf>
    <xf numFmtId="3" fontId="109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1" fontId="5" fillId="0" borderId="0" xfId="0" applyNumberFormat="1" applyFont="1" applyFill="1" applyBorder="1" applyAlignment="1" applyProtection="1">
      <alignment horizontal="left"/>
    </xf>
    <xf numFmtId="0" fontId="91" fillId="0" borderId="0" xfId="0" applyFont="1" applyFill="1" applyProtection="1"/>
    <xf numFmtId="0" fontId="109" fillId="2" borderId="0" xfId="0" applyFont="1" applyFill="1" applyProtection="1"/>
    <xf numFmtId="0" fontId="5" fillId="20" borderId="70" xfId="0" applyFont="1" applyFill="1" applyBorder="1" applyAlignment="1" applyProtection="1">
      <alignment horizontal="left"/>
    </xf>
    <xf numFmtId="166" fontId="43" fillId="20" borderId="0" xfId="0" applyNumberFormat="1" applyFont="1" applyFill="1" applyBorder="1" applyProtection="1"/>
    <xf numFmtId="3" fontId="43" fillId="21" borderId="0" xfId="0" applyNumberFormat="1" applyFont="1" applyFill="1" applyBorder="1" applyAlignment="1" applyProtection="1">
      <alignment horizontal="right"/>
    </xf>
    <xf numFmtId="3" fontId="43" fillId="22" borderId="0" xfId="0" applyNumberFormat="1" applyFont="1" applyFill="1" applyBorder="1" applyProtection="1"/>
    <xf numFmtId="166" fontId="43" fillId="0" borderId="0" xfId="0" applyNumberFormat="1" applyFont="1" applyFill="1" applyBorder="1" applyProtection="1"/>
    <xf numFmtId="3" fontId="43" fillId="0" borderId="0" xfId="0" applyNumberFormat="1" applyFont="1" applyFill="1" applyBorder="1" applyAlignment="1" applyProtection="1">
      <alignment horizontal="right"/>
    </xf>
    <xf numFmtId="3" fontId="43" fillId="0" borderId="0" xfId="0" applyNumberFormat="1" applyFont="1" applyFill="1" applyBorder="1" applyProtection="1"/>
    <xf numFmtId="3" fontId="43" fillId="21" borderId="122" xfId="0" applyNumberFormat="1" applyFont="1" applyFill="1" applyBorder="1" applyProtection="1"/>
    <xf numFmtId="3" fontId="10" fillId="0" borderId="10" xfId="0" applyNumberFormat="1" applyFont="1" applyFill="1" applyBorder="1" applyAlignment="1" applyProtection="1">
      <alignment horizontal="right"/>
      <protection locked="0"/>
    </xf>
    <xf numFmtId="3" fontId="13" fillId="0" borderId="72" xfId="0" applyNumberFormat="1" applyFont="1" applyFill="1" applyBorder="1" applyAlignment="1" applyProtection="1">
      <alignment horizontal="right"/>
      <protection locked="0"/>
    </xf>
    <xf numFmtId="49" fontId="8" fillId="20" borderId="196" xfId="0" applyNumberFormat="1" applyFont="1" applyFill="1" applyBorder="1" applyAlignment="1" applyProtection="1">
      <alignment horizontal="center"/>
    </xf>
    <xf numFmtId="1" fontId="8" fillId="20" borderId="197" xfId="0" applyNumberFormat="1" applyFont="1" applyFill="1" applyBorder="1" applyAlignment="1" applyProtection="1">
      <alignment horizontal="center"/>
    </xf>
    <xf numFmtId="1" fontId="8" fillId="20" borderId="197" xfId="0" applyNumberFormat="1" applyFont="1" applyFill="1" applyBorder="1" applyAlignment="1" applyProtection="1">
      <alignment horizontal="left"/>
    </xf>
    <xf numFmtId="3" fontId="13" fillId="2" borderId="198" xfId="0" applyNumberFormat="1" applyFont="1" applyFill="1" applyBorder="1" applyAlignment="1" applyProtection="1">
      <alignment horizontal="right"/>
      <protection locked="0"/>
    </xf>
    <xf numFmtId="0" fontId="22" fillId="20" borderId="158" xfId="0" applyFont="1" applyFill="1" applyBorder="1" applyAlignment="1" applyProtection="1">
      <alignment horizontal="left" wrapText="1"/>
    </xf>
    <xf numFmtId="0" fontId="3" fillId="20" borderId="157" xfId="0" applyFont="1" applyFill="1" applyBorder="1" applyAlignment="1" applyProtection="1">
      <alignment vertical="top" wrapText="1"/>
    </xf>
    <xf numFmtId="0" fontId="3" fillId="20" borderId="136" xfId="0" applyFont="1" applyFill="1" applyBorder="1" applyAlignment="1" applyProtection="1">
      <alignment horizontal="left" vertical="top" wrapText="1"/>
    </xf>
    <xf numFmtId="49" fontId="3" fillId="20" borderId="133" xfId="0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3" fontId="2" fillId="3" borderId="40" xfId="0" applyNumberFormat="1" applyFont="1" applyFill="1" applyBorder="1" applyProtection="1"/>
    <xf numFmtId="3" fontId="3" fillId="20" borderId="161" xfId="0" applyNumberFormat="1" applyFont="1" applyFill="1" applyBorder="1" applyAlignment="1" applyProtection="1">
      <alignment horizontal="left" vertical="top" wrapText="1"/>
    </xf>
    <xf numFmtId="3" fontId="3" fillId="20" borderId="5" xfId="0" applyNumberFormat="1" applyFont="1" applyFill="1" applyBorder="1" applyAlignment="1" applyProtection="1">
      <alignment vertical="top" wrapText="1"/>
    </xf>
    <xf numFmtId="0" fontId="3" fillId="20" borderId="56" xfId="0" applyFont="1" applyFill="1" applyBorder="1" applyAlignment="1" applyProtection="1">
      <alignment vertical="top" wrapText="1"/>
    </xf>
    <xf numFmtId="0" fontId="3" fillId="20" borderId="62" xfId="0" applyFont="1" applyFill="1" applyBorder="1" applyProtection="1"/>
    <xf numFmtId="3" fontId="3" fillId="20" borderId="158" xfId="0" applyNumberFormat="1" applyFont="1" applyFill="1" applyBorder="1" applyAlignment="1" applyProtection="1">
      <alignment vertical="top" wrapText="1"/>
    </xf>
    <xf numFmtId="3" fontId="3" fillId="20" borderId="16" xfId="0" applyNumberFormat="1" applyFont="1" applyFill="1" applyBorder="1" applyAlignment="1" applyProtection="1">
      <alignment vertical="top" wrapText="1"/>
    </xf>
    <xf numFmtId="0" fontId="3" fillId="20" borderId="98" xfId="0" applyFont="1" applyFill="1" applyBorder="1" applyAlignment="1" applyProtection="1">
      <alignment vertical="top"/>
    </xf>
    <xf numFmtId="0" fontId="3" fillId="20" borderId="124" xfId="0" applyFont="1" applyFill="1" applyBorder="1" applyAlignment="1" applyProtection="1">
      <alignment vertical="top"/>
    </xf>
    <xf numFmtId="0" fontId="3" fillId="20" borderId="102" xfId="0" applyFont="1" applyFill="1" applyBorder="1" applyAlignment="1" applyProtection="1">
      <alignment vertical="top"/>
    </xf>
    <xf numFmtId="0" fontId="3" fillId="20" borderId="96" xfId="0" applyFont="1" applyFill="1" applyBorder="1" applyAlignment="1" applyProtection="1">
      <alignment vertical="top"/>
    </xf>
    <xf numFmtId="0" fontId="5" fillId="20" borderId="165" xfId="0" applyFont="1" applyFill="1" applyBorder="1" applyAlignment="1" applyProtection="1">
      <alignment vertical="top"/>
    </xf>
    <xf numFmtId="0" fontId="3" fillId="20" borderId="165" xfId="0" applyFont="1" applyFill="1" applyBorder="1" applyAlignment="1" applyProtection="1">
      <alignment vertical="top"/>
    </xf>
    <xf numFmtId="0" fontId="3" fillId="20" borderId="199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/>
    </xf>
    <xf numFmtId="0" fontId="5" fillId="20" borderId="191" xfId="0" applyFont="1" applyFill="1" applyBorder="1" applyAlignment="1" applyProtection="1">
      <alignment vertical="center"/>
    </xf>
    <xf numFmtId="0" fontId="5" fillId="20" borderId="200" xfId="0" applyFont="1" applyFill="1" applyBorder="1" applyAlignment="1" applyProtection="1">
      <alignment vertical="center"/>
    </xf>
    <xf numFmtId="1" fontId="8" fillId="20" borderId="130" xfId="0" applyNumberFormat="1" applyFont="1" applyFill="1" applyBorder="1" applyAlignment="1" applyProtection="1">
      <alignment horizontal="left"/>
    </xf>
    <xf numFmtId="1" fontId="8" fillId="20" borderId="94" xfId="0" applyNumberFormat="1" applyFont="1" applyFill="1" applyBorder="1" applyAlignment="1" applyProtection="1">
      <alignment horizontal="left"/>
    </xf>
    <xf numFmtId="3" fontId="8" fillId="20" borderId="22" xfId="0" applyNumberFormat="1" applyFont="1" applyFill="1" applyBorder="1" applyProtection="1"/>
    <xf numFmtId="3" fontId="8" fillId="20" borderId="7" xfId="0" applyNumberFormat="1" applyFont="1" applyFill="1" applyBorder="1" applyProtection="1"/>
    <xf numFmtId="0" fontId="3" fillId="20" borderId="101" xfId="6" applyFont="1" applyFill="1" applyBorder="1" applyAlignment="1" applyProtection="1">
      <alignment horizontal="left" wrapText="1"/>
    </xf>
    <xf numFmtId="0" fontId="3" fillId="20" borderId="56" xfId="6" applyFont="1" applyFill="1" applyBorder="1" applyAlignment="1" applyProtection="1">
      <alignment horizontal="right"/>
    </xf>
    <xf numFmtId="3" fontId="2" fillId="0" borderId="0" xfId="0" applyNumberFormat="1" applyFont="1" applyFill="1" applyBorder="1" applyProtection="1"/>
    <xf numFmtId="3" fontId="13" fillId="2" borderId="185" xfId="0" applyNumberFormat="1" applyFont="1" applyFill="1" applyBorder="1" applyAlignment="1" applyProtection="1">
      <alignment horizontal="right"/>
      <protection locked="0"/>
    </xf>
    <xf numFmtId="0" fontId="3" fillId="20" borderId="88" xfId="0" applyFont="1" applyFill="1" applyBorder="1" applyAlignment="1" applyProtection="1">
      <alignment vertical="top" wrapText="1"/>
    </xf>
    <xf numFmtId="0" fontId="3" fillId="20" borderId="118" xfId="0" applyFont="1" applyFill="1" applyBorder="1" applyAlignment="1" applyProtection="1">
      <alignment vertical="top" wrapText="1"/>
    </xf>
    <xf numFmtId="3" fontId="3" fillId="20" borderId="44" xfId="6" applyNumberFormat="1" applyFont="1" applyFill="1" applyBorder="1" applyAlignment="1" applyProtection="1">
      <alignment vertical="center"/>
    </xf>
    <xf numFmtId="3" fontId="5" fillId="20" borderId="159" xfId="6" applyNumberFormat="1" applyFont="1" applyFill="1" applyBorder="1" applyAlignment="1" applyProtection="1">
      <alignment vertical="top"/>
    </xf>
    <xf numFmtId="3" fontId="105" fillId="20" borderId="15" xfId="0" applyNumberFormat="1" applyFont="1" applyFill="1" applyBorder="1" applyAlignment="1" applyProtection="1">
      <alignment vertical="center"/>
    </xf>
    <xf numFmtId="0" fontId="5" fillId="20" borderId="124" xfId="0" applyFont="1" applyFill="1" applyBorder="1" applyProtection="1"/>
    <xf numFmtId="49" fontId="5" fillId="20" borderId="98" xfId="0" applyNumberFormat="1" applyFont="1" applyFill="1" applyBorder="1" applyAlignment="1" applyProtection="1">
      <alignment horizontal="left"/>
    </xf>
    <xf numFmtId="49" fontId="5" fillId="20" borderId="127" xfId="0" applyNumberFormat="1" applyFont="1" applyFill="1" applyBorder="1" applyAlignment="1" applyProtection="1">
      <alignment horizontal="left" vertical="top"/>
    </xf>
    <xf numFmtId="49" fontId="2" fillId="10" borderId="158" xfId="0" applyNumberFormat="1" applyFont="1" applyFill="1" applyBorder="1" applyAlignment="1" applyProtection="1"/>
    <xf numFmtId="3" fontId="44" fillId="17" borderId="39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vertical="top"/>
    </xf>
    <xf numFmtId="0" fontId="109" fillId="0" borderId="0" xfId="0" applyFont="1" applyFill="1" applyBorder="1" applyAlignment="1" applyProtection="1">
      <alignment horizontal="right"/>
    </xf>
    <xf numFmtId="0" fontId="94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109" fillId="0" borderId="0" xfId="0" applyFont="1" applyFill="1" applyBorder="1" applyAlignment="1" applyProtection="1">
      <alignment horizontal="left"/>
    </xf>
    <xf numFmtId="9" fontId="109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/>
    </xf>
    <xf numFmtId="0" fontId="98" fillId="0" borderId="0" xfId="0" applyFont="1" applyFill="1" applyBorder="1" applyProtection="1"/>
    <xf numFmtId="0" fontId="7" fillId="0" borderId="0" xfId="0" applyFont="1" applyFill="1" applyBorder="1" applyAlignment="1" applyProtection="1"/>
    <xf numFmtId="3" fontId="5" fillId="0" borderId="0" xfId="0" applyNumberFormat="1" applyFont="1" applyFill="1" applyBorder="1" applyProtection="1"/>
    <xf numFmtId="3" fontId="5" fillId="0" borderId="0" xfId="0" applyNumberFormat="1" applyFont="1" applyFill="1" applyBorder="1" applyAlignment="1" applyProtection="1">
      <alignment horizontal="center" vertical="center" wrapText="1"/>
    </xf>
    <xf numFmtId="49" fontId="3" fillId="20" borderId="9" xfId="0" applyNumberFormat="1" applyFont="1" applyFill="1" applyBorder="1" applyAlignment="1" applyProtection="1">
      <alignment horizontal="left"/>
    </xf>
    <xf numFmtId="1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left"/>
    </xf>
    <xf numFmtId="3" fontId="3" fillId="20" borderId="75" xfId="0" applyNumberFormat="1" applyFont="1" applyFill="1" applyBorder="1" applyAlignment="1" applyProtection="1"/>
    <xf numFmtId="3" fontId="8" fillId="20" borderId="76" xfId="0" applyNumberFormat="1" applyFont="1" applyFill="1" applyBorder="1" applyAlignment="1" applyProtection="1"/>
    <xf numFmtId="3" fontId="8" fillId="20" borderId="92" xfId="0" applyNumberFormat="1" applyFont="1" applyFill="1" applyBorder="1" applyAlignment="1" applyProtection="1"/>
    <xf numFmtId="3" fontId="2" fillId="0" borderId="201" xfId="0" applyNumberFormat="1" applyFont="1" applyFill="1" applyBorder="1" applyAlignment="1" applyProtection="1">
      <alignment horizontal="right"/>
      <protection locked="0"/>
    </xf>
    <xf numFmtId="49" fontId="3" fillId="0" borderId="0" xfId="10" applyNumberFormat="1" applyFont="1" applyFill="1" applyAlignment="1" applyProtection="1">
      <alignment horizontal="left"/>
    </xf>
    <xf numFmtId="0" fontId="3" fillId="20" borderId="202" xfId="0" applyFont="1" applyFill="1" applyBorder="1" applyAlignment="1" applyProtection="1">
      <alignment horizontal="left"/>
    </xf>
    <xf numFmtId="1" fontId="3" fillId="20" borderId="25" xfId="0" applyNumberFormat="1" applyFont="1" applyFill="1" applyBorder="1" applyAlignment="1" applyProtection="1">
      <alignment horizontal="left"/>
    </xf>
    <xf numFmtId="0" fontId="3" fillId="20" borderId="70" xfId="0" applyFont="1" applyFill="1" applyBorder="1" applyProtection="1"/>
    <xf numFmtId="0" fontId="5" fillId="20" borderId="13" xfId="0" applyFont="1" applyFill="1" applyBorder="1" applyAlignment="1" applyProtection="1">
      <alignment vertical="top" wrapText="1"/>
    </xf>
    <xf numFmtId="0" fontId="14" fillId="20" borderId="25" xfId="0" applyFont="1" applyFill="1" applyBorder="1" applyProtection="1"/>
    <xf numFmtId="0" fontId="5" fillId="20" borderId="84" xfId="0" applyFont="1" applyFill="1" applyBorder="1" applyAlignment="1" applyProtection="1">
      <alignment wrapText="1"/>
    </xf>
    <xf numFmtId="1" fontId="3" fillId="20" borderId="13" xfId="0" applyNumberFormat="1" applyFont="1" applyFill="1" applyBorder="1" applyAlignment="1" applyProtection="1">
      <alignment horizontal="center"/>
    </xf>
    <xf numFmtId="0" fontId="3" fillId="20" borderId="13" xfId="0" applyFont="1" applyFill="1" applyBorder="1" applyProtection="1"/>
    <xf numFmtId="1" fontId="8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58" xfId="0" applyFont="1" applyFill="1" applyBorder="1" applyAlignment="1" applyProtection="1">
      <alignment horizontal="center"/>
    </xf>
    <xf numFmtId="0" fontId="3" fillId="0" borderId="58" xfId="0" applyFont="1" applyFill="1" applyBorder="1" applyAlignment="1" applyProtection="1">
      <alignment horizontal="left"/>
    </xf>
    <xf numFmtId="0" fontId="14" fillId="0" borderId="58" xfId="0" applyFont="1" applyFill="1" applyBorder="1" applyProtection="1"/>
    <xf numFmtId="0" fontId="114" fillId="2" borderId="0" xfId="0" applyFont="1" applyFill="1" applyBorder="1" applyProtection="1"/>
    <xf numFmtId="0" fontId="114" fillId="28" borderId="0" xfId="0" applyFont="1" applyFill="1" applyProtection="1"/>
    <xf numFmtId="0" fontId="5" fillId="20" borderId="191" xfId="6" applyFont="1" applyFill="1" applyBorder="1" applyProtection="1"/>
    <xf numFmtId="3" fontId="5" fillId="20" borderId="157" xfId="6" applyNumberFormat="1" applyFont="1" applyFill="1" applyBorder="1" applyProtection="1"/>
    <xf numFmtId="0" fontId="5" fillId="20" borderId="117" xfId="6" applyFont="1" applyFill="1" applyBorder="1" applyProtection="1"/>
    <xf numFmtId="0" fontId="12" fillId="20" borderId="159" xfId="6" applyFont="1" applyFill="1" applyBorder="1" applyProtection="1"/>
    <xf numFmtId="0" fontId="3" fillId="20" borderId="16" xfId="6" applyFont="1" applyFill="1" applyBorder="1" applyAlignment="1" applyProtection="1">
      <alignment vertical="top" wrapText="1"/>
    </xf>
    <xf numFmtId="3" fontId="5" fillId="20" borderId="159" xfId="0" applyNumberFormat="1" applyFont="1" applyFill="1" applyBorder="1" applyAlignment="1" applyProtection="1">
      <alignment vertical="top"/>
    </xf>
    <xf numFmtId="3" fontId="3" fillId="20" borderId="94" xfId="6" applyNumberFormat="1" applyFont="1" applyFill="1" applyBorder="1" applyAlignment="1" applyProtection="1"/>
    <xf numFmtId="167" fontId="9" fillId="0" borderId="0" xfId="0" applyNumberFormat="1" applyFont="1" applyFill="1" applyBorder="1" applyProtection="1"/>
    <xf numFmtId="0" fontId="100" fillId="0" borderId="0" xfId="0" applyFont="1" applyFill="1" applyBorder="1" applyProtection="1"/>
    <xf numFmtId="0" fontId="100" fillId="0" borderId="0" xfId="0" applyFont="1" applyFill="1" applyBorder="1" applyAlignment="1" applyProtection="1">
      <alignment horizontal="center"/>
    </xf>
    <xf numFmtId="0" fontId="3" fillId="20" borderId="155" xfId="0" applyFont="1" applyFill="1" applyBorder="1" applyAlignment="1" applyProtection="1">
      <alignment horizontal="left" vertical="top" wrapText="1"/>
    </xf>
    <xf numFmtId="0" fontId="3" fillId="20" borderId="91" xfId="0" applyFont="1" applyFill="1" applyBorder="1" applyAlignment="1" applyProtection="1">
      <alignment horizontal="left" vertical="top"/>
    </xf>
    <xf numFmtId="3" fontId="8" fillId="20" borderId="26" xfId="0" applyNumberFormat="1" applyFont="1" applyFill="1" applyBorder="1" applyProtection="1"/>
    <xf numFmtId="3" fontId="3" fillId="20" borderId="26" xfId="0" applyNumberFormat="1" applyFont="1" applyFill="1" applyBorder="1" applyAlignment="1" applyProtection="1">
      <alignment vertical="top" wrapText="1"/>
    </xf>
    <xf numFmtId="0" fontId="15" fillId="20" borderId="159" xfId="0" applyFont="1" applyFill="1" applyBorder="1" applyAlignment="1" applyProtection="1">
      <alignment vertical="top" wrapText="1"/>
    </xf>
    <xf numFmtId="0" fontId="3" fillId="20" borderId="175" xfId="0" applyFont="1" applyFill="1" applyBorder="1" applyAlignment="1" applyProtection="1">
      <alignment horizontal="left" wrapText="1"/>
    </xf>
    <xf numFmtId="0" fontId="15" fillId="20" borderId="158" xfId="0" applyFont="1" applyFill="1" applyBorder="1" applyAlignment="1" applyProtection="1">
      <alignment vertical="top" wrapText="1"/>
    </xf>
    <xf numFmtId="0" fontId="3" fillId="20" borderId="16" xfId="6" applyFont="1" applyFill="1" applyBorder="1" applyAlignment="1" applyProtection="1">
      <alignment horizontal="left" vertical="center" wrapText="1"/>
    </xf>
    <xf numFmtId="0" fontId="5" fillId="20" borderId="192" xfId="6" applyFont="1" applyFill="1" applyBorder="1" applyProtection="1"/>
    <xf numFmtId="0" fontId="110" fillId="2" borderId="0" xfId="0" applyFont="1" applyFill="1" applyProtection="1"/>
    <xf numFmtId="3" fontId="3" fillId="20" borderId="161" xfId="0" applyNumberFormat="1" applyFont="1" applyFill="1" applyBorder="1" applyAlignment="1" applyProtection="1">
      <alignment horizontal="left" vertical="top"/>
    </xf>
    <xf numFmtId="3" fontId="2" fillId="2" borderId="3" xfId="0" applyNumberFormat="1" applyFont="1" applyFill="1" applyBorder="1" applyAlignment="1" applyProtection="1">
      <alignment horizontal="right"/>
      <protection locked="0"/>
    </xf>
    <xf numFmtId="3" fontId="2" fillId="3" borderId="3" xfId="0" applyNumberFormat="1" applyFont="1" applyFill="1" applyBorder="1" applyAlignment="1" applyProtection="1">
      <alignment horizontal="right"/>
    </xf>
    <xf numFmtId="3" fontId="2" fillId="2" borderId="28" xfId="0" applyNumberFormat="1" applyFont="1" applyFill="1" applyBorder="1" applyAlignment="1" applyProtection="1">
      <alignment horizontal="right"/>
      <protection locked="0"/>
    </xf>
    <xf numFmtId="3" fontId="2" fillId="3" borderId="103" xfId="0" applyNumberFormat="1" applyFont="1" applyFill="1" applyBorder="1" applyAlignment="1" applyProtection="1">
      <alignment horizontal="right"/>
    </xf>
    <xf numFmtId="3" fontId="3" fillId="20" borderId="78" xfId="0" applyNumberFormat="1" applyFont="1" applyFill="1" applyBorder="1" applyProtection="1"/>
    <xf numFmtId="3" fontId="5" fillId="0" borderId="58" xfId="0" applyNumberFormat="1" applyFont="1" applyFill="1" applyBorder="1" applyProtection="1"/>
    <xf numFmtId="3" fontId="5" fillId="0" borderId="57" xfId="0" applyNumberFormat="1" applyFont="1" applyFill="1" applyBorder="1" applyProtection="1"/>
    <xf numFmtId="0" fontId="22" fillId="2" borderId="58" xfId="0" applyFont="1" applyFill="1" applyBorder="1" applyProtection="1"/>
    <xf numFmtId="3" fontId="43" fillId="21" borderId="131" xfId="0" applyNumberFormat="1" applyFont="1" applyFill="1" applyBorder="1" applyProtection="1"/>
    <xf numFmtId="0" fontId="3" fillId="20" borderId="112" xfId="0" applyFont="1" applyFill="1" applyBorder="1" applyProtection="1"/>
    <xf numFmtId="0" fontId="3" fillId="20" borderId="27" xfId="0" applyFont="1" applyFill="1" applyBorder="1" applyProtection="1"/>
    <xf numFmtId="3" fontId="2" fillId="21" borderId="0" xfId="0" applyNumberFormat="1" applyFont="1" applyFill="1" applyBorder="1" applyAlignment="1" applyProtection="1">
      <alignment horizontal="right"/>
    </xf>
    <xf numFmtId="0" fontId="2" fillId="21" borderId="0" xfId="0" applyFont="1" applyFill="1" applyBorder="1" applyProtection="1"/>
    <xf numFmtId="14" fontId="3" fillId="20" borderId="124" xfId="0" applyNumberFormat="1" applyFont="1" applyFill="1" applyBorder="1" applyAlignment="1" applyProtection="1">
      <alignment horizontal="center"/>
    </xf>
    <xf numFmtId="0" fontId="3" fillId="20" borderId="101" xfId="0" applyFont="1" applyFill="1" applyBorder="1" applyProtection="1"/>
    <xf numFmtId="14" fontId="3" fillId="20" borderId="95" xfId="0" applyNumberFormat="1" applyFont="1" applyFill="1" applyBorder="1" applyAlignment="1" applyProtection="1">
      <alignment horizontal="center"/>
    </xf>
    <xf numFmtId="3" fontId="2" fillId="21" borderId="39" xfId="0" applyNumberFormat="1" applyFont="1" applyFill="1" applyBorder="1" applyAlignment="1" applyProtection="1">
      <alignment horizontal="right"/>
    </xf>
    <xf numFmtId="0" fontId="2" fillId="21" borderId="39" xfId="0" applyFont="1" applyFill="1" applyBorder="1" applyProtection="1"/>
    <xf numFmtId="14" fontId="3" fillId="20" borderId="0" xfId="0" applyNumberFormat="1" applyFont="1" applyFill="1" applyBorder="1" applyAlignment="1" applyProtection="1">
      <alignment horizontal="center"/>
    </xf>
    <xf numFmtId="0" fontId="3" fillId="20" borderId="39" xfId="0" applyFont="1" applyFill="1" applyBorder="1" applyProtection="1"/>
    <xf numFmtId="0" fontId="3" fillId="20" borderId="67" xfId="0" applyFont="1" applyFill="1" applyBorder="1" applyProtection="1"/>
    <xf numFmtId="0" fontId="2" fillId="20" borderId="27" xfId="0" applyFont="1" applyFill="1" applyBorder="1" applyProtection="1"/>
    <xf numFmtId="14" fontId="3" fillId="20" borderId="39" xfId="0" applyNumberFormat="1" applyFont="1" applyFill="1" applyBorder="1" applyAlignment="1" applyProtection="1">
      <alignment horizontal="center"/>
    </xf>
    <xf numFmtId="49" fontId="2" fillId="10" borderId="37" xfId="0" applyNumberFormat="1" applyFont="1" applyFill="1" applyBorder="1" applyAlignment="1" applyProtection="1"/>
    <xf numFmtId="0" fontId="3" fillId="20" borderId="113" xfId="0" applyFont="1" applyFill="1" applyBorder="1" applyProtection="1"/>
    <xf numFmtId="0" fontId="3" fillId="20" borderId="68" xfId="0" applyFont="1" applyFill="1" applyBorder="1" applyAlignment="1" applyProtection="1">
      <alignment wrapText="1"/>
    </xf>
    <xf numFmtId="0" fontId="3" fillId="20" borderId="159" xfId="0" applyFont="1" applyFill="1" applyBorder="1" applyAlignment="1" applyProtection="1">
      <alignment vertical="top" wrapText="1"/>
    </xf>
    <xf numFmtId="0" fontId="3" fillId="20" borderId="38" xfId="0" applyFont="1" applyFill="1" applyBorder="1" applyAlignment="1" applyProtection="1">
      <alignment horizontal="center"/>
    </xf>
    <xf numFmtId="49" fontId="3" fillId="20" borderId="42" xfId="0" applyNumberFormat="1" applyFont="1" applyFill="1" applyBorder="1" applyAlignment="1" applyProtection="1">
      <alignment horizontal="center" wrapText="1"/>
    </xf>
    <xf numFmtId="49" fontId="3" fillId="20" borderId="132" xfId="0" applyNumberFormat="1" applyFont="1" applyFill="1" applyBorder="1" applyAlignment="1" applyProtection="1">
      <alignment horizontal="center"/>
    </xf>
    <xf numFmtId="49" fontId="3" fillId="20" borderId="133" xfId="0" applyNumberFormat="1" applyFont="1" applyFill="1" applyBorder="1" applyAlignment="1" applyProtection="1">
      <alignment horizontal="center"/>
    </xf>
    <xf numFmtId="0" fontId="3" fillId="20" borderId="156" xfId="0" applyFont="1" applyFill="1" applyBorder="1" applyAlignment="1" applyProtection="1">
      <alignment horizontal="center"/>
    </xf>
    <xf numFmtId="0" fontId="3" fillId="20" borderId="5" xfId="0" applyFont="1" applyFill="1" applyBorder="1" applyAlignment="1" applyProtection="1">
      <alignment horizontal="center" wrapText="1"/>
    </xf>
    <xf numFmtId="49" fontId="3" fillId="20" borderId="34" xfId="0" applyNumberFormat="1" applyFont="1" applyFill="1" applyBorder="1" applyAlignment="1" applyProtection="1">
      <alignment horizontal="center"/>
    </xf>
    <xf numFmtId="49" fontId="3" fillId="20" borderId="35" xfId="0" applyNumberFormat="1" applyFont="1" applyFill="1" applyBorder="1" applyAlignment="1" applyProtection="1">
      <alignment horizontal="center"/>
    </xf>
    <xf numFmtId="49" fontId="3" fillId="20" borderId="106" xfId="0" applyNumberFormat="1" applyFont="1" applyFill="1" applyBorder="1" applyAlignment="1" applyProtection="1">
      <alignment horizontal="center"/>
    </xf>
    <xf numFmtId="1" fontId="3" fillId="20" borderId="2" xfId="0" applyNumberFormat="1" applyFont="1" applyFill="1" applyBorder="1" applyAlignment="1" applyProtection="1">
      <alignment horizontal="center" wrapText="1"/>
    </xf>
    <xf numFmtId="0" fontId="3" fillId="20" borderId="76" xfId="0" applyFont="1" applyFill="1" applyBorder="1" applyAlignment="1" applyProtection="1">
      <alignment horizontal="center" wrapText="1"/>
    </xf>
    <xf numFmtId="0" fontId="8" fillId="0" borderId="0" xfId="0" applyFont="1" applyFill="1" applyProtection="1"/>
    <xf numFmtId="1" fontId="3" fillId="20" borderId="42" xfId="0" applyNumberFormat="1" applyFont="1" applyFill="1" applyBorder="1" applyAlignment="1" applyProtection="1">
      <alignment horizontal="center" vertical="top" wrapText="1"/>
    </xf>
    <xf numFmtId="49" fontId="3" fillId="20" borderId="14" xfId="0" applyNumberFormat="1" applyFont="1" applyFill="1" applyBorder="1" applyAlignment="1" applyProtection="1">
      <alignment horizontal="center"/>
    </xf>
    <xf numFmtId="49" fontId="3" fillId="20" borderId="9" xfId="0" applyNumberFormat="1" applyFont="1" applyFill="1" applyBorder="1" applyAlignment="1" applyProtection="1">
      <alignment horizontal="center"/>
    </xf>
    <xf numFmtId="0" fontId="3" fillId="20" borderId="91" xfId="0" applyFont="1" applyFill="1" applyBorder="1" applyAlignment="1" applyProtection="1">
      <alignment horizontal="center"/>
    </xf>
    <xf numFmtId="1" fontId="3" fillId="20" borderId="25" xfId="0" applyNumberFormat="1" applyFont="1" applyFill="1" applyBorder="1" applyAlignment="1" applyProtection="1">
      <alignment horizontal="center"/>
    </xf>
    <xf numFmtId="3" fontId="3" fillId="20" borderId="25" xfId="0" applyNumberFormat="1" applyFont="1" applyFill="1" applyBorder="1" applyAlignment="1" applyProtection="1">
      <alignment horizontal="left" vertical="top" wrapText="1"/>
    </xf>
    <xf numFmtId="3" fontId="3" fillId="20" borderId="76" xfId="0" applyNumberFormat="1" applyFont="1" applyFill="1" applyBorder="1" applyAlignment="1" applyProtection="1"/>
    <xf numFmtId="3" fontId="3" fillId="20" borderId="92" xfId="0" applyNumberFormat="1" applyFont="1" applyFill="1" applyBorder="1" applyAlignment="1" applyProtection="1"/>
    <xf numFmtId="0" fontId="3" fillId="29" borderId="101" xfId="0" applyFont="1" applyFill="1" applyBorder="1" applyAlignment="1" applyProtection="1">
      <alignment horizontal="left" vertical="top" wrapText="1"/>
    </xf>
    <xf numFmtId="0" fontId="3" fillId="29" borderId="117" xfId="0" applyFont="1" applyFill="1" applyBorder="1" applyAlignment="1" applyProtection="1">
      <alignment horizontal="left" vertical="top"/>
    </xf>
    <xf numFmtId="0" fontId="0" fillId="29" borderId="44" xfId="0" applyFill="1" applyBorder="1" applyProtection="1"/>
    <xf numFmtId="0" fontId="3" fillId="29" borderId="16" xfId="0" applyFont="1" applyFill="1" applyBorder="1" applyAlignment="1" applyProtection="1">
      <alignment horizontal="left" vertical="top" wrapText="1"/>
    </xf>
    <xf numFmtId="3" fontId="3" fillId="29" borderId="169" xfId="0" applyNumberFormat="1" applyFont="1" applyFill="1" applyBorder="1" applyProtection="1"/>
    <xf numFmtId="3" fontId="3" fillId="29" borderId="101" xfId="0" applyNumberFormat="1" applyFont="1" applyFill="1" applyBorder="1" applyAlignment="1" applyProtection="1">
      <alignment horizontal="left" vertical="top" wrapText="1"/>
    </xf>
    <xf numFmtId="0" fontId="3" fillId="29" borderId="120" xfId="0" applyFont="1" applyFill="1" applyBorder="1" applyAlignment="1" applyProtection="1">
      <alignment horizontal="left" vertical="top" wrapText="1"/>
    </xf>
    <xf numFmtId="3" fontId="3" fillId="29" borderId="118" xfId="0" applyNumberFormat="1" applyFont="1" applyFill="1" applyBorder="1" applyAlignment="1" applyProtection="1">
      <alignment horizontal="left" wrapText="1"/>
    </xf>
    <xf numFmtId="49" fontId="3" fillId="29" borderId="118" xfId="0" applyNumberFormat="1" applyFont="1" applyFill="1" applyBorder="1" applyAlignment="1" applyProtection="1">
      <alignment vertical="top"/>
    </xf>
    <xf numFmtId="3" fontId="3" fillId="29" borderId="101" xfId="0" applyNumberFormat="1" applyFont="1" applyFill="1" applyBorder="1" applyAlignment="1" applyProtection="1">
      <alignment vertical="top"/>
    </xf>
    <xf numFmtId="3" fontId="3" fillId="29" borderId="88" xfId="0" applyNumberFormat="1" applyFont="1" applyFill="1" applyBorder="1" applyAlignment="1" applyProtection="1">
      <alignment vertical="top" wrapText="1"/>
    </xf>
    <xf numFmtId="3" fontId="3" fillId="29" borderId="16" xfId="0" applyNumberFormat="1" applyFont="1" applyFill="1" applyBorder="1" applyAlignment="1" applyProtection="1">
      <alignment horizontal="left" vertical="top" wrapText="1"/>
    </xf>
    <xf numFmtId="0" fontId="3" fillId="29" borderId="154" xfId="0" applyFont="1" applyFill="1" applyBorder="1" applyAlignment="1" applyProtection="1">
      <alignment horizontal="left" vertical="top" wrapText="1"/>
    </xf>
    <xf numFmtId="3" fontId="3" fillId="29" borderId="15" xfId="0" applyNumberFormat="1" applyFont="1" applyFill="1" applyBorder="1" applyAlignment="1" applyProtection="1">
      <alignment horizontal="left" vertical="top" wrapText="1"/>
    </xf>
    <xf numFmtId="0" fontId="11" fillId="29" borderId="0" xfId="0" applyFont="1" applyFill="1" applyBorder="1" applyProtection="1"/>
    <xf numFmtId="3" fontId="3" fillId="29" borderId="16" xfId="0" applyNumberFormat="1" applyFont="1" applyFill="1" applyBorder="1" applyAlignment="1" applyProtection="1">
      <alignment vertical="top"/>
    </xf>
    <xf numFmtId="3" fontId="8" fillId="29" borderId="60" xfId="0" applyNumberFormat="1" applyFont="1" applyFill="1" applyBorder="1" applyProtection="1"/>
    <xf numFmtId="0" fontId="5" fillId="29" borderId="44" xfId="0" applyFont="1" applyFill="1" applyBorder="1" applyProtection="1"/>
    <xf numFmtId="3" fontId="8" fillId="29" borderId="16" xfId="0" applyNumberFormat="1" applyFont="1" applyFill="1" applyBorder="1" applyAlignment="1" applyProtection="1">
      <alignment horizontal="left"/>
    </xf>
    <xf numFmtId="0" fontId="8" fillId="29" borderId="169" xfId="0" applyFont="1" applyFill="1" applyBorder="1" applyProtection="1"/>
    <xf numFmtId="3" fontId="8" fillId="29" borderId="154" xfId="0" applyNumberFormat="1" applyFont="1" applyFill="1" applyBorder="1" applyAlignment="1" applyProtection="1">
      <alignment horizontal="left" vertical="top"/>
    </xf>
    <xf numFmtId="0" fontId="0" fillId="29" borderId="0" xfId="0" applyFill="1" applyBorder="1" applyAlignment="1" applyProtection="1">
      <alignment vertical="top" wrapText="1"/>
    </xf>
    <xf numFmtId="0" fontId="11" fillId="29" borderId="16" xfId="0" applyFont="1" applyFill="1" applyBorder="1" applyProtection="1"/>
    <xf numFmtId="0" fontId="8" fillId="29" borderId="60" xfId="0" applyFont="1" applyFill="1" applyBorder="1" applyProtection="1"/>
    <xf numFmtId="0" fontId="11" fillId="29" borderId="62" xfId="0" applyFont="1" applyFill="1" applyBorder="1" applyProtection="1"/>
    <xf numFmtId="0" fontId="8" fillId="29" borderId="150" xfId="0" applyFont="1" applyFill="1" applyBorder="1" applyProtection="1"/>
    <xf numFmtId="0" fontId="8" fillId="29" borderId="42" xfId="0" applyFont="1" applyFill="1" applyBorder="1" applyProtection="1"/>
    <xf numFmtId="3" fontId="8" fillId="29" borderId="150" xfId="0" applyNumberFormat="1" applyFont="1" applyFill="1" applyBorder="1" applyProtection="1"/>
    <xf numFmtId="3" fontId="3" fillId="29" borderId="15" xfId="0" applyNumberFormat="1" applyFont="1" applyFill="1" applyBorder="1" applyAlignment="1" applyProtection="1">
      <alignment horizontal="left" vertical="top"/>
    </xf>
    <xf numFmtId="49" fontId="8" fillId="29" borderId="89" xfId="0" applyNumberFormat="1" applyFont="1" applyFill="1" applyBorder="1" applyProtection="1"/>
    <xf numFmtId="0" fontId="8" fillId="29" borderId="90" xfId="0" applyFont="1" applyFill="1" applyBorder="1" applyProtection="1"/>
    <xf numFmtId="0" fontId="3" fillId="29" borderId="127" xfId="0" applyFont="1" applyFill="1" applyBorder="1" applyAlignment="1" applyProtection="1">
      <alignment vertical="top" wrapText="1"/>
    </xf>
    <xf numFmtId="0" fontId="3" fillId="29" borderId="15" xfId="0" applyFont="1" applyFill="1" applyBorder="1" applyAlignment="1" applyProtection="1">
      <alignment vertical="top" wrapText="1"/>
    </xf>
    <xf numFmtId="3" fontId="3" fillId="29" borderId="60" xfId="0" applyNumberFormat="1" applyFont="1" applyFill="1" applyBorder="1" applyAlignment="1" applyProtection="1">
      <alignment vertical="top" wrapText="1"/>
    </xf>
    <xf numFmtId="0" fontId="8" fillId="29" borderId="127" xfId="0" applyFont="1" applyFill="1" applyBorder="1" applyProtection="1"/>
    <xf numFmtId="0" fontId="8" fillId="29" borderId="15" xfId="0" applyFont="1" applyFill="1" applyBorder="1" applyProtection="1"/>
    <xf numFmtId="0" fontId="8" fillId="29" borderId="116" xfId="0" applyFont="1" applyFill="1" applyBorder="1" applyProtection="1"/>
    <xf numFmtId="171" fontId="34" fillId="0" borderId="0" xfId="0" applyNumberFormat="1" applyFont="1" applyFill="1" applyBorder="1" applyAlignment="1" applyProtection="1">
      <alignment horizontal="left" vertical="top" wrapText="1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0" fontId="5" fillId="20" borderId="189" xfId="0" applyFont="1" applyFill="1" applyBorder="1" applyAlignment="1" applyProtection="1">
      <alignment horizontal="left"/>
    </xf>
    <xf numFmtId="0" fontId="3" fillId="20" borderId="35" xfId="0" applyFont="1" applyFill="1" applyBorder="1" applyAlignment="1" applyProtection="1">
      <alignment horizontal="left"/>
    </xf>
    <xf numFmtId="3" fontId="2" fillId="2" borderId="40" xfId="0" applyNumberFormat="1" applyFont="1" applyFill="1" applyBorder="1" applyAlignment="1" applyProtection="1">
      <alignment horizontal="right"/>
      <protection locked="0"/>
    </xf>
    <xf numFmtId="0" fontId="3" fillId="20" borderId="12" xfId="0" applyFont="1" applyFill="1" applyBorder="1" applyAlignment="1" applyProtection="1">
      <alignment horizontal="left"/>
    </xf>
    <xf numFmtId="0" fontId="5" fillId="20" borderId="25" xfId="0" applyFont="1" applyFill="1" applyBorder="1" applyAlignment="1" applyProtection="1">
      <alignment horizontal="left"/>
    </xf>
    <xf numFmtId="3" fontId="2" fillId="2" borderId="203" xfId="0" applyNumberFormat="1" applyFont="1" applyFill="1" applyBorder="1" applyAlignment="1" applyProtection="1">
      <alignment horizontal="right"/>
      <protection locked="0"/>
    </xf>
    <xf numFmtId="0" fontId="3" fillId="20" borderId="164" xfId="0" applyFont="1" applyFill="1" applyBorder="1" applyAlignment="1" applyProtection="1">
      <alignment horizontal="left" wrapText="1"/>
    </xf>
    <xf numFmtId="49" fontId="8" fillId="0" borderId="204" xfId="0" applyNumberFormat="1" applyFont="1" applyFill="1" applyBorder="1" applyAlignment="1" applyProtection="1">
      <alignment horizontal="center"/>
    </xf>
    <xf numFmtId="49" fontId="3" fillId="0" borderId="204" xfId="0" applyNumberFormat="1" applyFont="1" applyFill="1" applyBorder="1" applyAlignment="1" applyProtection="1">
      <alignment horizontal="center" wrapText="1"/>
    </xf>
    <xf numFmtId="49" fontId="3" fillId="0" borderId="204" xfId="0" applyNumberFormat="1" applyFont="1" applyFill="1" applyBorder="1" applyAlignment="1" applyProtection="1">
      <alignment horizontal="left"/>
    </xf>
    <xf numFmtId="3" fontId="3" fillId="20" borderId="15" xfId="0" applyNumberFormat="1" applyFont="1" applyFill="1" applyBorder="1" applyAlignment="1" applyProtection="1">
      <alignment horizontal="left" wrapText="1"/>
    </xf>
    <xf numFmtId="0" fontId="69" fillId="2" borderId="0" xfId="0" applyFont="1" applyFill="1" applyAlignment="1" applyProtection="1"/>
    <xf numFmtId="3" fontId="5" fillId="20" borderId="118" xfId="0" applyNumberFormat="1" applyFont="1" applyFill="1" applyBorder="1" applyAlignment="1" applyProtection="1">
      <alignment horizontal="left"/>
    </xf>
    <xf numFmtId="3" fontId="5" fillId="20" borderId="15" xfId="0" applyNumberFormat="1" applyFont="1" applyFill="1" applyBorder="1" applyAlignment="1" applyProtection="1">
      <alignment horizontal="left" vertical="top" wrapText="1"/>
    </xf>
    <xf numFmtId="49" fontId="3" fillId="20" borderId="42" xfId="0" applyNumberFormat="1" applyFont="1" applyFill="1" applyBorder="1" applyAlignment="1" applyProtection="1">
      <alignment horizontal="left"/>
    </xf>
    <xf numFmtId="3" fontId="13" fillId="9" borderId="63" xfId="0" applyNumberFormat="1" applyFont="1" applyFill="1" applyBorder="1" applyProtection="1"/>
    <xf numFmtId="0" fontId="9" fillId="0" borderId="0" xfId="0" applyFont="1" applyFill="1" applyProtection="1"/>
    <xf numFmtId="3" fontId="10" fillId="0" borderId="5" xfId="0" quotePrefix="1" applyNumberFormat="1" applyFont="1" applyFill="1" applyBorder="1" applyAlignment="1" applyProtection="1">
      <alignment horizontal="right"/>
      <protection locked="0"/>
    </xf>
    <xf numFmtId="0" fontId="16" fillId="2" borderId="0" xfId="0" applyFont="1" applyFill="1" applyBorder="1" applyAlignment="1" applyProtection="1"/>
    <xf numFmtId="3" fontId="116" fillId="20" borderId="0" xfId="0" applyNumberFormat="1" applyFont="1" applyFill="1" applyBorder="1" applyAlignment="1" applyProtection="1"/>
    <xf numFmtId="3" fontId="116" fillId="20" borderId="44" xfId="0" applyNumberFormat="1" applyFont="1" applyFill="1" applyBorder="1" applyAlignment="1" applyProtection="1"/>
    <xf numFmtId="0" fontId="117" fillId="2" borderId="0" xfId="0" applyFont="1" applyFill="1" applyBorder="1" applyProtection="1"/>
    <xf numFmtId="165" fontId="7" fillId="0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Protection="1"/>
    <xf numFmtId="0" fontId="3" fillId="2" borderId="1" xfId="0" applyFont="1" applyFill="1" applyBorder="1" applyProtection="1"/>
    <xf numFmtId="3" fontId="9" fillId="2" borderId="114" xfId="0" applyNumberFormat="1" applyFont="1" applyFill="1" applyBorder="1" applyProtection="1">
      <protection locked="0"/>
    </xf>
    <xf numFmtId="3" fontId="9" fillId="2" borderId="71" xfId="0" applyNumberFormat="1" applyFont="1" applyFill="1" applyBorder="1" applyProtection="1">
      <protection locked="0"/>
    </xf>
    <xf numFmtId="0" fontId="3" fillId="20" borderId="134" xfId="0" applyFont="1" applyFill="1" applyBorder="1" applyAlignment="1" applyProtection="1">
      <alignment horizontal="center"/>
    </xf>
    <xf numFmtId="0" fontId="94" fillId="7" borderId="0" xfId="0" quotePrefix="1" applyFont="1" applyFill="1" applyBorder="1" applyAlignment="1" applyProtection="1">
      <alignment horizontal="left"/>
    </xf>
    <xf numFmtId="0" fontId="110" fillId="0" borderId="0" xfId="0" applyFont="1" applyFill="1" applyAlignment="1" applyProtection="1">
      <alignment wrapText="1"/>
    </xf>
    <xf numFmtId="3" fontId="3" fillId="20" borderId="9" xfId="0" applyNumberFormat="1" applyFont="1" applyFill="1" applyBorder="1" applyProtection="1"/>
    <xf numFmtId="3" fontId="9" fillId="20" borderId="0" xfId="0" applyNumberFormat="1" applyFont="1" applyFill="1" applyBorder="1" applyProtection="1"/>
    <xf numFmtId="3" fontId="9" fillId="20" borderId="39" xfId="0" applyNumberFormat="1" applyFont="1" applyFill="1" applyBorder="1" applyProtection="1"/>
    <xf numFmtId="3" fontId="7" fillId="20" borderId="0" xfId="0" applyNumberFormat="1" applyFont="1" applyFill="1" applyBorder="1" applyProtection="1"/>
    <xf numFmtId="3" fontId="7" fillId="20" borderId="0" xfId="0" applyNumberFormat="1" applyFont="1" applyFill="1" applyBorder="1" applyAlignment="1" applyProtection="1">
      <alignment horizontal="left" vertical="top" wrapText="1"/>
    </xf>
    <xf numFmtId="3" fontId="2" fillId="20" borderId="158" xfId="0" applyNumberFormat="1" applyFont="1" applyFill="1" applyBorder="1" applyAlignment="1" applyProtection="1">
      <alignment horizontal="right"/>
    </xf>
    <xf numFmtId="3" fontId="2" fillId="20" borderId="131" xfId="0" applyNumberFormat="1" applyFont="1" applyFill="1" applyBorder="1" applyAlignment="1" applyProtection="1">
      <alignment horizontal="right"/>
    </xf>
    <xf numFmtId="3" fontId="2" fillId="21" borderId="158" xfId="0" applyNumberFormat="1" applyFont="1" applyFill="1" applyBorder="1" applyAlignment="1" applyProtection="1">
      <alignment horizontal="left"/>
    </xf>
    <xf numFmtId="3" fontId="2" fillId="21" borderId="45" xfId="0" applyNumberFormat="1" applyFont="1" applyFill="1" applyBorder="1" applyAlignment="1" applyProtection="1">
      <alignment horizontal="right"/>
    </xf>
    <xf numFmtId="0" fontId="9" fillId="30" borderId="205" xfId="0" applyFont="1" applyFill="1" applyBorder="1" applyAlignment="1" applyProtection="1">
      <alignment horizontal="left" vertical="center"/>
    </xf>
    <xf numFmtId="0" fontId="91" fillId="30" borderId="205" xfId="0" applyFont="1" applyFill="1" applyBorder="1" applyAlignment="1" applyProtection="1">
      <alignment horizontal="left" vertical="center"/>
    </xf>
    <xf numFmtId="0" fontId="15" fillId="29" borderId="117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left" wrapText="1"/>
    </xf>
    <xf numFmtId="0" fontId="22" fillId="20" borderId="58" xfId="6" applyFill="1" applyBorder="1" applyAlignment="1" applyProtection="1">
      <alignment wrapText="1"/>
    </xf>
    <xf numFmtId="0" fontId="22" fillId="20" borderId="44" xfId="6" applyFill="1" applyBorder="1" applyAlignment="1" applyProtection="1">
      <alignment wrapText="1"/>
    </xf>
    <xf numFmtId="49" fontId="5" fillId="20" borderId="147" xfId="0" applyNumberFormat="1" applyFont="1" applyFill="1" applyBorder="1" applyAlignment="1" applyProtection="1">
      <alignment horizontal="center"/>
    </xf>
    <xf numFmtId="49" fontId="5" fillId="20" borderId="90" xfId="0" applyNumberFormat="1" applyFont="1" applyFill="1" applyBorder="1" applyAlignment="1" applyProtection="1">
      <alignment horizontal="center"/>
    </xf>
    <xf numFmtId="0" fontId="3" fillId="20" borderId="207" xfId="0" applyFont="1" applyFill="1" applyBorder="1" applyAlignment="1" applyProtection="1">
      <alignment horizontal="center"/>
    </xf>
    <xf numFmtId="49" fontId="3" fillId="20" borderId="150" xfId="0" applyNumberFormat="1" applyFont="1" applyFill="1" applyBorder="1" applyAlignment="1" applyProtection="1">
      <alignment horizontal="center"/>
    </xf>
    <xf numFmtId="49" fontId="3" fillId="20" borderId="161" xfId="0" applyNumberFormat="1" applyFont="1" applyFill="1" applyBorder="1" applyAlignment="1" applyProtection="1">
      <alignment horizontal="center"/>
    </xf>
    <xf numFmtId="0" fontId="3" fillId="20" borderId="35" xfId="0" applyFont="1" applyFill="1" applyBorder="1" applyAlignment="1" applyProtection="1">
      <alignment horizontal="center"/>
    </xf>
    <xf numFmtId="0" fontId="3" fillId="20" borderId="70" xfId="0" applyFont="1" applyFill="1" applyBorder="1" applyAlignment="1" applyProtection="1">
      <alignment horizontal="center"/>
    </xf>
    <xf numFmtId="3" fontId="3" fillId="20" borderId="27" xfId="0" applyNumberFormat="1" applyFont="1" applyFill="1" applyBorder="1" applyAlignment="1" applyProtection="1"/>
    <xf numFmtId="49" fontId="3" fillId="20" borderId="58" xfId="0" applyNumberFormat="1" applyFont="1" applyFill="1" applyBorder="1" applyAlignment="1" applyProtection="1">
      <alignment horizontal="left" vertical="top"/>
    </xf>
    <xf numFmtId="49" fontId="3" fillId="20" borderId="142" xfId="0" applyNumberFormat="1" applyFont="1" applyFill="1" applyBorder="1" applyAlignment="1" applyProtection="1">
      <alignment horizontal="left" vertical="top"/>
    </xf>
    <xf numFmtId="0" fontId="29" fillId="7" borderId="0" xfId="0" applyFont="1" applyFill="1" applyBorder="1" applyProtection="1"/>
    <xf numFmtId="1" fontId="15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 wrapText="1"/>
    </xf>
    <xf numFmtId="3" fontId="8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1" fontId="3" fillId="0" borderId="0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wrapText="1"/>
    </xf>
    <xf numFmtId="49" fontId="3" fillId="0" borderId="0" xfId="0" applyNumberFormat="1" applyFont="1" applyFill="1" applyBorder="1" applyAlignment="1" applyProtection="1">
      <alignment horizontal="center" wrapText="1"/>
    </xf>
    <xf numFmtId="49" fontId="116" fillId="0" borderId="0" xfId="0" applyNumberFormat="1" applyFont="1" applyFill="1" applyBorder="1" applyAlignment="1" applyProtection="1">
      <alignment horizontal="center" wrapText="1"/>
    </xf>
    <xf numFmtId="1" fontId="116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 vertical="center" wrapText="1"/>
    </xf>
    <xf numFmtId="3" fontId="2" fillId="2" borderId="114" xfId="0" applyNumberFormat="1" applyFont="1" applyFill="1" applyBorder="1" applyAlignment="1" applyProtection="1">
      <alignment horizontal="right"/>
      <protection locked="0"/>
    </xf>
    <xf numFmtId="3" fontId="2" fillId="2" borderId="6" xfId="0" applyNumberFormat="1" applyFont="1" applyFill="1" applyBorder="1" applyAlignment="1" applyProtection="1">
      <alignment horizontal="right"/>
      <protection locked="0"/>
    </xf>
    <xf numFmtId="49" fontId="3" fillId="20" borderId="35" xfId="0" applyNumberFormat="1" applyFont="1" applyFill="1" applyBorder="1" applyAlignment="1" applyProtection="1">
      <alignment horizontal="left" wrapText="1"/>
    </xf>
    <xf numFmtId="3" fontId="5" fillId="20" borderId="157" xfId="6" applyNumberFormat="1" applyFont="1" applyFill="1" applyBorder="1" applyAlignment="1" applyProtection="1">
      <alignment vertical="top"/>
    </xf>
    <xf numFmtId="3" fontId="4" fillId="0" borderId="0" xfId="0" applyNumberFormat="1" applyFont="1" applyFill="1" applyBorder="1" applyProtection="1"/>
    <xf numFmtId="49" fontId="12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/>
    <xf numFmtId="0" fontId="0" fillId="20" borderId="150" xfId="0" applyFill="1" applyBorder="1" applyAlignment="1">
      <alignment vertical="center"/>
    </xf>
    <xf numFmtId="0" fontId="0" fillId="20" borderId="42" xfId="0" applyFill="1" applyBorder="1" applyAlignment="1">
      <alignment vertical="center"/>
    </xf>
    <xf numFmtId="0" fontId="7" fillId="20" borderId="42" xfId="0" applyFont="1" applyFill="1" applyBorder="1" applyAlignment="1" applyProtection="1"/>
    <xf numFmtId="0" fontId="0" fillId="20" borderId="162" xfId="0" applyFill="1" applyBorder="1" applyAlignment="1" applyProtection="1">
      <alignment wrapText="1"/>
    </xf>
    <xf numFmtId="0" fontId="0" fillId="20" borderId="42" xfId="0" applyFill="1" applyBorder="1" applyAlignment="1">
      <alignment vertical="center" wrapText="1"/>
    </xf>
    <xf numFmtId="0" fontId="7" fillId="20" borderId="42" xfId="0" applyFont="1" applyFill="1" applyBorder="1" applyProtection="1"/>
    <xf numFmtId="0" fontId="0" fillId="20" borderId="142" xfId="0" applyFill="1" applyBorder="1" applyAlignment="1">
      <alignment horizontal="left" vertical="center"/>
    </xf>
    <xf numFmtId="0" fontId="0" fillId="20" borderId="1" xfId="0" applyFill="1" applyBorder="1" applyAlignment="1">
      <alignment horizontal="left" vertical="center"/>
    </xf>
    <xf numFmtId="0" fontId="0" fillId="20" borderId="89" xfId="0" applyFill="1" applyBorder="1" applyAlignment="1">
      <alignment horizontal="left" vertical="center"/>
    </xf>
    <xf numFmtId="0" fontId="0" fillId="20" borderId="90" xfId="0" applyFill="1" applyBorder="1" applyAlignment="1">
      <alignment horizontal="left" wrapText="1"/>
    </xf>
    <xf numFmtId="0" fontId="5" fillId="20" borderId="158" xfId="0" applyFont="1" applyFill="1" applyBorder="1" applyAlignment="1" applyProtection="1">
      <alignment vertical="top" wrapText="1"/>
    </xf>
    <xf numFmtId="0" fontId="3" fillId="20" borderId="16" xfId="0" applyFont="1" applyFill="1" applyBorder="1" applyAlignment="1" applyProtection="1">
      <alignment vertical="center"/>
    </xf>
    <xf numFmtId="0" fontId="3" fillId="20" borderId="15" xfId="0" applyFont="1" applyFill="1" applyBorder="1" applyAlignment="1" applyProtection="1">
      <alignment vertical="center"/>
    </xf>
    <xf numFmtId="0" fontId="3" fillId="20" borderId="15" xfId="0" applyFont="1" applyFill="1" applyBorder="1" applyAlignment="1" applyProtection="1">
      <alignment vertical="center" wrapText="1"/>
    </xf>
    <xf numFmtId="0" fontId="0" fillId="20" borderId="192" xfId="0" applyFill="1" applyBorder="1" applyAlignment="1">
      <alignment horizontal="center" vertical="center"/>
    </xf>
    <xf numFmtId="0" fontId="0" fillId="20" borderId="177" xfId="0" applyFill="1" applyBorder="1" applyAlignment="1" applyProtection="1">
      <alignment vertical="top" wrapText="1"/>
    </xf>
    <xf numFmtId="0" fontId="3" fillId="20" borderId="123" xfId="0" applyFont="1" applyFill="1" applyBorder="1" applyAlignment="1" applyProtection="1">
      <alignment vertical="top"/>
    </xf>
    <xf numFmtId="0" fontId="3" fillId="20" borderId="68" xfId="0" applyFont="1" applyFill="1" applyBorder="1" applyAlignment="1" applyProtection="1">
      <alignment horizontal="left" vertical="top" wrapText="1"/>
    </xf>
    <xf numFmtId="0" fontId="15" fillId="20" borderId="169" xfId="0" applyFont="1" applyFill="1" applyBorder="1" applyAlignment="1" applyProtection="1">
      <alignment horizontal="center" vertical="center" wrapText="1"/>
    </xf>
    <xf numFmtId="0" fontId="7" fillId="20" borderId="159" xfId="0" applyFont="1" applyFill="1" applyBorder="1" applyAlignment="1" applyProtection="1"/>
    <xf numFmtId="0" fontId="3" fillId="20" borderId="15" xfId="0" applyFont="1" applyFill="1" applyBorder="1" applyAlignment="1" applyProtection="1"/>
    <xf numFmtId="0" fontId="3" fillId="20" borderId="128" xfId="0" applyFont="1" applyFill="1" applyBorder="1" applyAlignment="1" applyProtection="1">
      <alignment horizontal="left" vertical="top" wrapText="1"/>
    </xf>
    <xf numFmtId="0" fontId="3" fillId="20" borderId="58" xfId="0" applyFont="1" applyFill="1" applyBorder="1" applyAlignment="1" applyProtection="1">
      <alignment horizontal="left" vertical="center"/>
    </xf>
    <xf numFmtId="0" fontId="3" fillId="20" borderId="0" xfId="0" applyFont="1" applyFill="1" applyBorder="1" applyAlignment="1" applyProtection="1">
      <alignment horizontal="left" vertical="center"/>
    </xf>
    <xf numFmtId="0" fontId="3" fillId="20" borderId="154" xfId="0" applyFont="1" applyFill="1" applyBorder="1" applyAlignment="1" applyProtection="1">
      <alignment horizontal="left" vertical="center"/>
    </xf>
    <xf numFmtId="0" fontId="3" fillId="20" borderId="60" xfId="0" applyFont="1" applyFill="1" applyBorder="1" applyAlignment="1" applyProtection="1">
      <alignment horizontal="left" wrapText="1"/>
    </xf>
    <xf numFmtId="3" fontId="3" fillId="20" borderId="159" xfId="6" applyNumberFormat="1" applyFont="1" applyFill="1" applyBorder="1" applyAlignment="1" applyProtection="1"/>
    <xf numFmtId="3" fontId="5" fillId="20" borderId="159" xfId="6" applyNumberFormat="1" applyFont="1" applyFill="1" applyBorder="1" applyAlignment="1" applyProtection="1">
      <alignment vertical="top" wrapText="1"/>
    </xf>
    <xf numFmtId="49" fontId="3" fillId="20" borderId="177" xfId="6" applyNumberFormat="1" applyFont="1" applyFill="1" applyBorder="1" applyProtection="1"/>
    <xf numFmtId="3" fontId="3" fillId="20" borderId="169" xfId="6" applyNumberFormat="1" applyFont="1" applyFill="1" applyBorder="1" applyAlignment="1" applyProtection="1"/>
    <xf numFmtId="0" fontId="3" fillId="20" borderId="192" xfId="6" applyFont="1" applyFill="1" applyBorder="1" applyAlignment="1" applyProtection="1">
      <alignment horizontal="left" vertical="center"/>
    </xf>
    <xf numFmtId="0" fontId="5" fillId="20" borderId="161" xfId="6" applyFont="1" applyFill="1" applyBorder="1" applyAlignment="1" applyProtection="1">
      <alignment vertical="top"/>
    </xf>
    <xf numFmtId="0" fontId="3" fillId="20" borderId="68" xfId="0" applyFont="1" applyFill="1" applyBorder="1" applyAlignment="1" applyProtection="1">
      <alignment vertical="top"/>
    </xf>
    <xf numFmtId="0" fontId="5" fillId="20" borderId="27" xfId="6" applyFont="1" applyFill="1" applyBorder="1" applyAlignment="1" applyProtection="1"/>
    <xf numFmtId="0" fontId="3" fillId="20" borderId="15" xfId="6" applyFont="1" applyFill="1" applyBorder="1" applyAlignment="1" applyProtection="1">
      <alignment horizontal="right"/>
    </xf>
    <xf numFmtId="0" fontId="3" fillId="20" borderId="154" xfId="6" applyFont="1" applyFill="1" applyBorder="1" applyAlignment="1" applyProtection="1"/>
    <xf numFmtId="0" fontId="3" fillId="20" borderId="15" xfId="6" applyFont="1" applyFill="1" applyBorder="1" applyAlignment="1" applyProtection="1"/>
    <xf numFmtId="0" fontId="3" fillId="20" borderId="15" xfId="6" applyFont="1" applyFill="1" applyBorder="1" applyAlignment="1" applyProtection="1">
      <alignment horizontal="left" vertical="top" wrapText="1"/>
    </xf>
    <xf numFmtId="0" fontId="3" fillId="20" borderId="16" xfId="6" applyFont="1" applyFill="1" applyBorder="1" applyAlignment="1" applyProtection="1">
      <alignment horizontal="left" vertical="top" wrapText="1"/>
    </xf>
    <xf numFmtId="49" fontId="3" fillId="20" borderId="159" xfId="6" applyNumberFormat="1" applyFont="1" applyFill="1" applyBorder="1" applyAlignment="1" applyProtection="1">
      <alignment vertical="top"/>
    </xf>
    <xf numFmtId="0" fontId="0" fillId="20" borderId="15" xfId="0" applyFill="1" applyBorder="1" applyAlignment="1">
      <alignment vertical="top" wrapText="1"/>
    </xf>
    <xf numFmtId="0" fontId="0" fillId="20" borderId="42" xfId="0" applyFill="1" applyBorder="1" applyAlignment="1">
      <alignment vertical="top" wrapText="1"/>
    </xf>
    <xf numFmtId="0" fontId="3" fillId="20" borderId="177" xfId="0" applyFont="1" applyFill="1" applyBorder="1" applyAlignment="1" applyProtection="1">
      <alignment horizontal="left" vertical="center"/>
    </xf>
    <xf numFmtId="3" fontId="109" fillId="0" borderId="58" xfId="0" applyNumberFormat="1" applyFont="1" applyFill="1" applyBorder="1" applyProtection="1"/>
    <xf numFmtId="3" fontId="3" fillId="31" borderId="42" xfId="0" applyNumberFormat="1" applyFont="1" applyFill="1" applyBorder="1" applyAlignment="1" applyProtection="1">
      <alignment horizontal="left" vertical="top" wrapText="1"/>
    </xf>
    <xf numFmtId="3" fontId="3" fillId="20" borderId="42" xfId="0" applyNumberFormat="1" applyFont="1" applyFill="1" applyBorder="1" applyAlignment="1" applyProtection="1">
      <alignment horizontal="left" vertical="top"/>
    </xf>
    <xf numFmtId="0" fontId="0" fillId="20" borderId="44" xfId="0" applyFill="1" applyBorder="1" applyProtection="1"/>
    <xf numFmtId="3" fontId="5" fillId="20" borderId="208" xfId="0" applyNumberFormat="1" applyFont="1" applyFill="1" applyBorder="1" applyAlignment="1" applyProtection="1">
      <alignment horizontal="left" vertical="center" wrapText="1"/>
    </xf>
    <xf numFmtId="3" fontId="5" fillId="20" borderId="92" xfId="0" applyNumberFormat="1" applyFont="1" applyFill="1" applyBorder="1" applyAlignment="1" applyProtection="1">
      <alignment vertical="top" wrapText="1"/>
    </xf>
    <xf numFmtId="3" fontId="5" fillId="20" borderId="25" xfId="0" applyNumberFormat="1" applyFont="1" applyFill="1" applyBorder="1" applyAlignment="1" applyProtection="1">
      <alignment vertical="top"/>
    </xf>
    <xf numFmtId="0" fontId="3" fillId="20" borderId="133" xfId="0" applyFont="1" applyFill="1" applyBorder="1" applyProtection="1"/>
    <xf numFmtId="3" fontId="9" fillId="2" borderId="206" xfId="0" applyNumberFormat="1" applyFont="1" applyFill="1" applyBorder="1" applyProtection="1">
      <protection locked="0"/>
    </xf>
    <xf numFmtId="0" fontId="5" fillId="20" borderId="96" xfId="6" applyFont="1" applyFill="1" applyBorder="1" applyProtection="1"/>
    <xf numFmtId="0" fontId="5" fillId="20" borderId="44" xfId="6" applyFont="1" applyFill="1" applyBorder="1" applyProtection="1"/>
    <xf numFmtId="0" fontId="5" fillId="20" borderId="27" xfId="6" applyFont="1" applyFill="1" applyBorder="1" applyAlignment="1" applyProtection="1">
      <alignment horizontal="left"/>
    </xf>
    <xf numFmtId="0" fontId="5" fillId="20" borderId="191" xfId="6" applyFont="1" applyFill="1" applyBorder="1" applyAlignment="1" applyProtection="1">
      <alignment horizontal="left"/>
    </xf>
    <xf numFmtId="0" fontId="3" fillId="20" borderId="56" xfId="6" applyFont="1" applyFill="1" applyBorder="1" applyAlignment="1" applyProtection="1">
      <alignment vertical="top"/>
    </xf>
    <xf numFmtId="0" fontId="3" fillId="20" borderId="56" xfId="6" applyFont="1" applyFill="1" applyBorder="1" applyAlignment="1" applyProtection="1">
      <alignment horizontal="left" vertical="center"/>
    </xf>
    <xf numFmtId="3" fontId="3" fillId="20" borderId="44" xfId="6" applyNumberFormat="1" applyFont="1" applyFill="1" applyBorder="1" applyAlignment="1" applyProtection="1">
      <alignment wrapText="1"/>
    </xf>
    <xf numFmtId="3" fontId="3" fillId="20" borderId="44" xfId="6" applyNumberFormat="1" applyFont="1" applyFill="1" applyBorder="1" applyAlignment="1" applyProtection="1">
      <alignment vertical="center" wrapText="1"/>
    </xf>
    <xf numFmtId="0" fontId="5" fillId="20" borderId="191" xfId="0" applyFont="1" applyFill="1" applyBorder="1" applyAlignment="1" applyProtection="1">
      <alignment horizontal="left"/>
    </xf>
    <xf numFmtId="0" fontId="5" fillId="20" borderId="96" xfId="0" applyFont="1" applyFill="1" applyBorder="1" applyAlignment="1" applyProtection="1">
      <alignment horizontal="left"/>
    </xf>
    <xf numFmtId="0" fontId="5" fillId="20" borderId="27" xfId="0" applyFont="1" applyFill="1" applyBorder="1" applyAlignment="1" applyProtection="1">
      <alignment horizontal="left"/>
    </xf>
    <xf numFmtId="0" fontId="5" fillId="20" borderId="44" xfId="0" applyFont="1" applyFill="1" applyBorder="1" applyAlignment="1" applyProtection="1">
      <alignment horizontal="left"/>
    </xf>
    <xf numFmtId="0" fontId="3" fillId="20" borderId="159" xfId="0" applyFont="1" applyFill="1" applyBorder="1" applyAlignment="1" applyProtection="1">
      <alignment horizontal="center"/>
    </xf>
    <xf numFmtId="0" fontId="3" fillId="20" borderId="56" xfId="6" applyFont="1" applyFill="1" applyBorder="1" applyAlignment="1" applyProtection="1">
      <alignment vertical="top" wrapText="1"/>
    </xf>
    <xf numFmtId="0" fontId="3" fillId="20" borderId="62" xfId="6" applyFont="1" applyFill="1" applyBorder="1" applyProtection="1"/>
    <xf numFmtId="1" fontId="3" fillId="20" borderId="16" xfId="6" applyNumberFormat="1" applyFont="1" applyFill="1" applyBorder="1" applyAlignment="1" applyProtection="1">
      <alignment horizontal="center"/>
    </xf>
    <xf numFmtId="1" fontId="3" fillId="20" borderId="169" xfId="6" applyNumberFormat="1" applyFont="1" applyFill="1" applyBorder="1" applyAlignment="1" applyProtection="1">
      <alignment horizontal="center"/>
    </xf>
    <xf numFmtId="3" fontId="5" fillId="20" borderId="177" xfId="6" applyNumberFormat="1" applyFont="1" applyFill="1" applyBorder="1" applyAlignment="1" applyProtection="1">
      <alignment vertical="top"/>
    </xf>
    <xf numFmtId="3" fontId="5" fillId="20" borderId="44" xfId="6" applyNumberFormat="1" applyFont="1" applyFill="1" applyBorder="1" applyAlignment="1" applyProtection="1">
      <alignment vertical="center"/>
    </xf>
    <xf numFmtId="3" fontId="5" fillId="20" borderId="44" xfId="0" applyNumberFormat="1" applyFont="1" applyFill="1" applyBorder="1" applyAlignment="1" applyProtection="1">
      <alignment vertical="center"/>
    </xf>
    <xf numFmtId="3" fontId="5" fillId="20" borderId="177" xfId="0" applyNumberFormat="1" applyFont="1" applyFill="1" applyBorder="1" applyAlignment="1" applyProtection="1">
      <alignment vertical="top"/>
    </xf>
    <xf numFmtId="0" fontId="3" fillId="20" borderId="159" xfId="6" applyFont="1" applyFill="1" applyBorder="1" applyAlignment="1" applyProtection="1">
      <alignment vertical="top" wrapText="1"/>
    </xf>
    <xf numFmtId="0" fontId="3" fillId="20" borderId="159" xfId="6" applyFont="1" applyFill="1" applyBorder="1" applyAlignment="1" applyProtection="1">
      <alignment vertical="center" wrapText="1"/>
    </xf>
    <xf numFmtId="0" fontId="3" fillId="10" borderId="58" xfId="0" applyFont="1" applyFill="1" applyBorder="1" applyAlignment="1" applyProtection="1">
      <alignment horizontal="center"/>
    </xf>
    <xf numFmtId="0" fontId="5" fillId="20" borderId="15" xfId="0" applyFont="1" applyFill="1" applyBorder="1" applyAlignment="1" applyProtection="1">
      <alignment horizontal="left" vertical="center" wrapText="1"/>
    </xf>
    <xf numFmtId="3" fontId="2" fillId="20" borderId="50" xfId="0" applyNumberFormat="1" applyFont="1" applyFill="1" applyBorder="1" applyAlignment="1" applyProtection="1">
      <alignment horizontal="right"/>
    </xf>
    <xf numFmtId="3" fontId="16" fillId="20" borderId="7" xfId="0" applyNumberFormat="1" applyFont="1" applyFill="1" applyBorder="1" applyProtection="1"/>
    <xf numFmtId="3" fontId="42" fillId="20" borderId="5" xfId="0" applyNumberFormat="1" applyFont="1" applyFill="1" applyBorder="1" applyProtection="1"/>
    <xf numFmtId="3" fontId="90" fillId="20" borderId="5" xfId="0" applyNumberFormat="1" applyFont="1" applyFill="1" applyBorder="1" applyProtection="1"/>
    <xf numFmtId="0" fontId="2" fillId="20" borderId="7" xfId="0" applyFont="1" applyFill="1" applyBorder="1" applyAlignment="1" applyProtection="1">
      <alignment vertical="top"/>
    </xf>
    <xf numFmtId="0" fontId="2" fillId="20" borderId="5" xfId="0" applyFont="1" applyFill="1" applyBorder="1" applyAlignment="1" applyProtection="1">
      <alignment vertical="top"/>
    </xf>
    <xf numFmtId="0" fontId="19" fillId="20" borderId="0" xfId="0" applyFont="1" applyFill="1" applyBorder="1" applyProtection="1"/>
    <xf numFmtId="0" fontId="19" fillId="20" borderId="15" xfId="0" applyFont="1" applyFill="1" applyBorder="1" applyProtection="1"/>
    <xf numFmtId="0" fontId="4" fillId="20" borderId="15" xfId="0" applyFont="1" applyFill="1" applyBorder="1" applyProtection="1"/>
    <xf numFmtId="0" fontId="8" fillId="20" borderId="210" xfId="0" applyFont="1" applyFill="1" applyBorder="1" applyAlignment="1" applyProtection="1">
      <alignment horizontal="left"/>
    </xf>
    <xf numFmtId="0" fontId="8" fillId="20" borderId="66" xfId="0" applyFont="1" applyFill="1" applyBorder="1" applyAlignment="1" applyProtection="1">
      <alignment horizontal="left"/>
    </xf>
    <xf numFmtId="0" fontId="3" fillId="20" borderId="66" xfId="0" applyFont="1" applyFill="1" applyBorder="1" applyAlignment="1" applyProtection="1">
      <alignment horizontal="left"/>
    </xf>
    <xf numFmtId="0" fontId="2" fillId="20" borderId="106" xfId="0" applyFont="1" applyFill="1" applyBorder="1" applyAlignment="1" applyProtection="1">
      <alignment vertical="top"/>
    </xf>
    <xf numFmtId="0" fontId="2" fillId="20" borderId="70" xfId="0" applyFont="1" applyFill="1" applyBorder="1" applyAlignment="1" applyProtection="1">
      <alignment vertical="top"/>
    </xf>
    <xf numFmtId="3" fontId="45" fillId="20" borderId="7" xfId="0" applyNumberFormat="1" applyFont="1" applyFill="1" applyBorder="1" applyProtection="1"/>
    <xf numFmtId="3" fontId="42" fillId="20" borderId="8" xfId="0" applyNumberFormat="1" applyFont="1" applyFill="1" applyBorder="1" applyProtection="1"/>
    <xf numFmtId="3" fontId="90" fillId="20" borderId="8" xfId="0" applyNumberFormat="1" applyFont="1" applyFill="1" applyBorder="1" applyProtection="1"/>
    <xf numFmtId="3" fontId="42" fillId="20" borderId="7" xfId="0" applyNumberFormat="1" applyFont="1" applyFill="1" applyBorder="1" applyProtection="1"/>
    <xf numFmtId="3" fontId="2" fillId="20" borderId="7" xfId="0" applyNumberFormat="1" applyFont="1" applyFill="1" applyBorder="1" applyAlignment="1" applyProtection="1">
      <alignment vertical="top"/>
    </xf>
    <xf numFmtId="3" fontId="40" fillId="20" borderId="29" xfId="0" applyNumberFormat="1" applyFont="1" applyFill="1" applyBorder="1" applyAlignment="1" applyProtection="1">
      <alignment vertical="top" wrapText="1"/>
    </xf>
    <xf numFmtId="3" fontId="2" fillId="20" borderId="46" xfId="0" applyNumberFormat="1" applyFont="1" applyFill="1" applyBorder="1" applyAlignment="1" applyProtection="1">
      <alignment horizontal="right"/>
    </xf>
    <xf numFmtId="3" fontId="40" fillId="20" borderId="146" xfId="0" applyNumberFormat="1" applyFont="1" applyFill="1" applyBorder="1" applyAlignment="1" applyProtection="1">
      <alignment vertical="top" wrapText="1"/>
    </xf>
    <xf numFmtId="168" fontId="39" fillId="20" borderId="158" xfId="0" applyNumberFormat="1" applyFont="1" applyFill="1" applyBorder="1" applyProtection="1"/>
    <xf numFmtId="3" fontId="10" fillId="20" borderId="7" xfId="0" applyNumberFormat="1" applyFont="1" applyFill="1" applyBorder="1" applyAlignment="1" applyProtection="1">
      <alignment vertical="top"/>
      <protection locked="0"/>
    </xf>
    <xf numFmtId="3" fontId="10" fillId="20" borderId="5" xfId="0" applyNumberFormat="1" applyFont="1" applyFill="1" applyBorder="1" applyAlignment="1" applyProtection="1">
      <alignment vertical="top"/>
      <protection locked="0"/>
    </xf>
    <xf numFmtId="0" fontId="2" fillId="20" borderId="5" xfId="0" applyFont="1" applyFill="1" applyBorder="1" applyAlignment="1" applyProtection="1">
      <alignment vertical="top"/>
      <protection locked="0"/>
    </xf>
    <xf numFmtId="0" fontId="2" fillId="20" borderId="161" xfId="0" applyFont="1" applyFill="1" applyBorder="1" applyAlignment="1" applyProtection="1">
      <alignment vertical="top"/>
      <protection locked="0"/>
    </xf>
    <xf numFmtId="0" fontId="2" fillId="20" borderId="68" xfId="0" applyFont="1" applyFill="1" applyBorder="1" applyAlignment="1" applyProtection="1">
      <alignment vertical="top"/>
      <protection locked="0"/>
    </xf>
    <xf numFmtId="3" fontId="16" fillId="20" borderId="14" xfId="0" applyNumberFormat="1" applyFont="1" applyFill="1" applyBorder="1" applyProtection="1"/>
    <xf numFmtId="3" fontId="42" fillId="20" borderId="17" xfId="0" applyNumberFormat="1" applyFont="1" applyFill="1" applyBorder="1" applyProtection="1"/>
    <xf numFmtId="3" fontId="90" fillId="20" borderId="17" xfId="0" applyNumberFormat="1" applyFont="1" applyFill="1" applyBorder="1" applyProtection="1"/>
    <xf numFmtId="3" fontId="2" fillId="20" borderId="7" xfId="0" applyNumberFormat="1" applyFont="1" applyFill="1" applyBorder="1" applyAlignment="1" applyProtection="1">
      <alignment vertical="top"/>
      <protection locked="0"/>
    </xf>
    <xf numFmtId="0" fontId="14" fillId="20" borderId="94" xfId="0" applyFont="1" applyFill="1" applyBorder="1" applyAlignment="1" applyProtection="1">
      <alignment wrapText="1"/>
    </xf>
    <xf numFmtId="0" fontId="9" fillId="20" borderId="193" xfId="0" applyFont="1" applyFill="1" applyBorder="1" applyProtection="1"/>
    <xf numFmtId="3" fontId="109" fillId="20" borderId="7" xfId="0" applyNumberFormat="1" applyFont="1" applyFill="1" applyBorder="1" applyProtection="1"/>
    <xf numFmtId="3" fontId="111" fillId="20" borderId="5" xfId="0" applyNumberFormat="1" applyFont="1" applyFill="1" applyBorder="1" applyProtection="1"/>
    <xf numFmtId="3" fontId="23" fillId="20" borderId="5" xfId="0" applyNumberFormat="1" applyFont="1" applyFill="1" applyBorder="1" applyProtection="1"/>
    <xf numFmtId="3" fontId="43" fillId="20" borderId="161" xfId="0" applyNumberFormat="1" applyFont="1" applyFill="1" applyBorder="1" applyProtection="1"/>
    <xf numFmtId="3" fontId="43" fillId="20" borderId="128" xfId="0" applyNumberFormat="1" applyFont="1" applyFill="1" applyBorder="1" applyProtection="1"/>
    <xf numFmtId="3" fontId="2" fillId="20" borderId="46" xfId="0" applyNumberFormat="1" applyFont="1" applyFill="1" applyBorder="1" applyAlignment="1" applyProtection="1">
      <alignment horizontal="right" vertical="top" wrapText="1"/>
    </xf>
    <xf numFmtId="3" fontId="40" fillId="20" borderId="22" xfId="0" applyNumberFormat="1" applyFont="1" applyFill="1" applyBorder="1" applyAlignment="1" applyProtection="1">
      <alignment vertical="top"/>
    </xf>
    <xf numFmtId="0" fontId="9" fillId="20" borderId="5" xfId="0" applyFont="1" applyFill="1" applyBorder="1" applyAlignment="1" applyProtection="1">
      <alignment vertical="top"/>
    </xf>
    <xf numFmtId="3" fontId="3" fillId="20" borderId="133" xfId="0" applyNumberFormat="1" applyFont="1" applyFill="1" applyBorder="1" applyProtection="1"/>
    <xf numFmtId="3" fontId="43" fillId="20" borderId="16" xfId="0" applyNumberFormat="1" applyFont="1" applyFill="1" applyBorder="1" applyProtection="1"/>
    <xf numFmtId="3" fontId="43" fillId="20" borderId="68" xfId="0" applyNumberFormat="1" applyFont="1" applyFill="1" applyBorder="1" applyProtection="1"/>
    <xf numFmtId="0" fontId="9" fillId="20" borderId="7" xfId="0" applyFont="1" applyFill="1" applyBorder="1" applyAlignment="1" applyProtection="1">
      <alignment vertical="top"/>
    </xf>
    <xf numFmtId="3" fontId="118" fillId="3" borderId="63" xfId="0" applyNumberFormat="1" applyFont="1" applyFill="1" applyBorder="1" applyAlignment="1" applyProtection="1">
      <alignment horizontal="right"/>
    </xf>
    <xf numFmtId="3" fontId="118" fillId="3" borderId="209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/>
    <xf numFmtId="3" fontId="8" fillId="0" borderId="0" xfId="0" applyNumberFormat="1" applyFont="1" applyFill="1" applyBorder="1" applyAlignment="1" applyProtection="1"/>
    <xf numFmtId="3" fontId="8" fillId="20" borderId="12" xfId="0" applyNumberFormat="1" applyFont="1" applyFill="1" applyBorder="1" applyAlignment="1" applyProtection="1"/>
    <xf numFmtId="1" fontId="8" fillId="20" borderId="35" xfId="0" applyNumberFormat="1" applyFont="1" applyFill="1" applyBorder="1" applyAlignment="1" applyProtection="1">
      <alignment horizontal="center"/>
    </xf>
    <xf numFmtId="1" fontId="3" fillId="20" borderId="35" xfId="0" applyNumberFormat="1" applyFont="1" applyFill="1" applyBorder="1" applyAlignment="1" applyProtection="1">
      <alignment horizontal="left"/>
    </xf>
    <xf numFmtId="3" fontId="13" fillId="2" borderId="64" xfId="0" applyNumberFormat="1" applyFont="1" applyFill="1" applyBorder="1" applyAlignment="1" applyProtection="1">
      <alignment horizontal="right"/>
      <protection locked="0"/>
    </xf>
    <xf numFmtId="1" fontId="3" fillId="20" borderId="70" xfId="0" applyNumberFormat="1" applyFont="1" applyFill="1" applyBorder="1" applyAlignment="1" applyProtection="1">
      <alignment horizontal="left"/>
    </xf>
    <xf numFmtId="0" fontId="110" fillId="0" borderId="0" xfId="0" applyFont="1" applyFill="1" applyProtection="1"/>
    <xf numFmtId="0" fontId="110" fillId="0" borderId="0" xfId="0" applyFont="1" applyFill="1" applyBorder="1" applyProtection="1"/>
    <xf numFmtId="0" fontId="110" fillId="2" borderId="0" xfId="0" applyFont="1" applyFill="1" applyBorder="1" applyProtection="1"/>
    <xf numFmtId="3" fontId="110" fillId="2" borderId="0" xfId="0" applyNumberFormat="1" applyFont="1" applyFill="1" applyBorder="1" applyProtection="1"/>
    <xf numFmtId="0" fontId="22" fillId="20" borderId="5" xfId="0" applyFont="1" applyFill="1" applyBorder="1" applyProtection="1"/>
    <xf numFmtId="0" fontId="1" fillId="20" borderId="5" xfId="0" applyFont="1" applyFill="1" applyBorder="1" applyProtection="1"/>
    <xf numFmtId="3" fontId="119" fillId="20" borderId="5" xfId="0" applyNumberFormat="1" applyFont="1" applyFill="1" applyBorder="1" applyAlignment="1" applyProtection="1"/>
    <xf numFmtId="3" fontId="43" fillId="22" borderId="138" xfId="0" applyNumberFormat="1" applyFont="1" applyFill="1" applyBorder="1" applyProtection="1"/>
    <xf numFmtId="3" fontId="34" fillId="2" borderId="0" xfId="0" applyNumberFormat="1" applyFont="1" applyFill="1" applyAlignment="1" applyProtection="1">
      <alignment vertical="top" wrapText="1"/>
    </xf>
    <xf numFmtId="0" fontId="114" fillId="0" borderId="0" xfId="0" applyFont="1" applyFill="1" applyProtection="1"/>
    <xf numFmtId="0" fontId="3" fillId="20" borderId="25" xfId="6" applyFont="1" applyFill="1" applyBorder="1" applyProtection="1"/>
    <xf numFmtId="3" fontId="109" fillId="0" borderId="0" xfId="0" applyNumberFormat="1" applyFont="1" applyFill="1" applyBorder="1" applyAlignment="1" applyProtection="1">
      <alignment vertical="top"/>
    </xf>
    <xf numFmtId="3" fontId="2" fillId="0" borderId="18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49" fontId="3" fillId="20" borderId="211" xfId="0" applyNumberFormat="1" applyFont="1" applyFill="1" applyBorder="1" applyAlignment="1" applyProtection="1">
      <alignment horizontal="left"/>
    </xf>
    <xf numFmtId="0" fontId="49" fillId="2" borderId="170" xfId="0" applyFont="1" applyFill="1" applyBorder="1" applyProtection="1"/>
    <xf numFmtId="0" fontId="49" fillId="2" borderId="168" xfId="0" applyFont="1" applyFill="1" applyBorder="1" applyProtection="1"/>
    <xf numFmtId="3" fontId="2" fillId="2" borderId="43" xfId="0" applyNumberFormat="1" applyFont="1" applyFill="1" applyBorder="1" applyAlignment="1" applyProtection="1">
      <alignment horizontal="right"/>
      <protection locked="0"/>
    </xf>
    <xf numFmtId="0" fontId="0" fillId="2" borderId="57" xfId="0" applyFill="1" applyBorder="1" applyProtection="1"/>
    <xf numFmtId="0" fontId="2" fillId="0" borderId="0" xfId="0" applyFont="1" applyBorder="1" applyAlignment="1" applyProtection="1">
      <alignment wrapText="1"/>
      <protection locked="0"/>
    </xf>
    <xf numFmtId="0" fontId="49" fillId="2" borderId="1" xfId="0" applyFont="1" applyFill="1" applyBorder="1" applyProtection="1"/>
    <xf numFmtId="0" fontId="0" fillId="2" borderId="62" xfId="0" applyFill="1" applyBorder="1" applyProtection="1"/>
    <xf numFmtId="49" fontId="3" fillId="0" borderId="204" xfId="0" applyNumberFormat="1" applyFont="1" applyFill="1" applyBorder="1" applyAlignment="1" applyProtection="1">
      <alignment horizontal="center"/>
    </xf>
    <xf numFmtId="0" fontId="49" fillId="2" borderId="43" xfId="0" applyFont="1" applyFill="1" applyBorder="1" applyProtection="1"/>
    <xf numFmtId="3" fontId="2" fillId="9" borderId="85" xfId="0" applyNumberFormat="1" applyFont="1" applyFill="1" applyBorder="1" applyProtection="1"/>
    <xf numFmtId="3" fontId="13" fillId="2" borderId="35" xfId="0" applyNumberFormat="1" applyFont="1" applyFill="1" applyBorder="1" applyAlignment="1" applyProtection="1">
      <alignment horizontal="right"/>
      <protection locked="0"/>
    </xf>
    <xf numFmtId="3" fontId="13" fillId="2" borderId="40" xfId="0" applyNumberFormat="1" applyFont="1" applyFill="1" applyBorder="1" applyAlignment="1" applyProtection="1">
      <alignment horizontal="right"/>
      <protection locked="0"/>
    </xf>
    <xf numFmtId="0" fontId="3" fillId="20" borderId="133" xfId="0" applyFont="1" applyFill="1" applyBorder="1" applyAlignment="1" applyProtection="1">
      <alignment horizontal="center"/>
    </xf>
    <xf numFmtId="3" fontId="2" fillId="0" borderId="36" xfId="0" applyNumberFormat="1" applyFont="1" applyFill="1" applyBorder="1" applyProtection="1"/>
    <xf numFmtId="0" fontId="109" fillId="2" borderId="0" xfId="0" applyFont="1" applyFill="1" applyBorder="1" applyProtection="1"/>
    <xf numFmtId="166" fontId="5" fillId="20" borderId="147" xfId="0" applyNumberFormat="1" applyFont="1" applyFill="1" applyBorder="1" applyAlignment="1" applyProtection="1">
      <alignment horizontal="left"/>
    </xf>
    <xf numFmtId="3" fontId="13" fillId="2" borderId="107" xfId="0" applyNumberFormat="1" applyFont="1" applyFill="1" applyBorder="1" applyAlignment="1" applyProtection="1">
      <alignment horizontal="right"/>
      <protection locked="0"/>
    </xf>
    <xf numFmtId="166" fontId="5" fillId="20" borderId="95" xfId="0" applyNumberFormat="1" applyFont="1" applyFill="1" applyBorder="1" applyAlignment="1" applyProtection="1">
      <alignment horizontal="left"/>
    </xf>
    <xf numFmtId="166" fontId="3" fillId="20" borderId="56" xfId="0" applyNumberFormat="1" applyFont="1" applyFill="1" applyBorder="1" applyAlignment="1" applyProtection="1">
      <alignment horizontal="left"/>
    </xf>
    <xf numFmtId="0" fontId="3" fillId="20" borderId="34" xfId="0" applyNumberFormat="1" applyFont="1" applyFill="1" applyBorder="1" applyAlignment="1" applyProtection="1">
      <alignment horizontal="center"/>
    </xf>
    <xf numFmtId="49" fontId="3" fillId="20" borderId="35" xfId="0" applyNumberFormat="1" applyFont="1" applyFill="1" applyBorder="1" applyAlignment="1" applyProtection="1">
      <alignment horizontal="center" wrapText="1"/>
    </xf>
    <xf numFmtId="3" fontId="2" fillId="9" borderId="26" xfId="0" applyNumberFormat="1" applyFont="1" applyFill="1" applyBorder="1" applyAlignment="1" applyProtection="1"/>
    <xf numFmtId="1" fontId="120" fillId="20" borderId="90" xfId="0" applyNumberFormat="1" applyFont="1" applyFill="1" applyBorder="1" applyAlignment="1" applyProtection="1">
      <alignment horizontal="left" vertical="top" wrapText="1"/>
    </xf>
    <xf numFmtId="0" fontId="3" fillId="20" borderId="198" xfId="0" applyFont="1" applyFill="1" applyBorder="1" applyAlignment="1" applyProtection="1">
      <alignment wrapText="1"/>
    </xf>
    <xf numFmtId="0" fontId="3" fillId="20" borderId="206" xfId="0" applyFont="1" applyFill="1" applyBorder="1" applyAlignment="1" applyProtection="1">
      <alignment horizontal="left" wrapText="1"/>
    </xf>
    <xf numFmtId="0" fontId="122" fillId="20" borderId="150" xfId="0" applyFont="1" applyFill="1" applyBorder="1" applyProtection="1"/>
    <xf numFmtId="3" fontId="2" fillId="3" borderId="114" xfId="0" applyNumberFormat="1" applyFont="1" applyFill="1" applyBorder="1" applyProtection="1"/>
    <xf numFmtId="3" fontId="2" fillId="3" borderId="7" xfId="0" applyNumberFormat="1" applyFont="1" applyFill="1" applyBorder="1" applyProtection="1"/>
    <xf numFmtId="3" fontId="10" fillId="2" borderId="6" xfId="0" quotePrefix="1" applyNumberFormat="1" applyFont="1" applyFill="1" applyBorder="1" applyAlignment="1" applyProtection="1">
      <alignment horizontal="right"/>
      <protection locked="0"/>
    </xf>
    <xf numFmtId="3" fontId="10" fillId="0" borderId="6" xfId="0" quotePrefix="1" applyNumberFormat="1" applyFont="1" applyFill="1" applyBorder="1" applyAlignment="1" applyProtection="1">
      <alignment horizontal="right"/>
      <protection locked="0"/>
    </xf>
    <xf numFmtId="3" fontId="2" fillId="9" borderId="178" xfId="0" applyNumberFormat="1" applyFont="1" applyFill="1" applyBorder="1" applyAlignment="1" applyProtection="1"/>
    <xf numFmtId="3" fontId="2" fillId="9" borderId="91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alignment horizontal="left" vertical="top"/>
    </xf>
    <xf numFmtId="3" fontId="2" fillId="0" borderId="18" xfId="6" applyNumberFormat="1" applyFont="1" applyFill="1" applyBorder="1" applyAlignment="1" applyProtection="1">
      <alignment horizontal="right"/>
      <protection locked="0"/>
    </xf>
    <xf numFmtId="0" fontId="3" fillId="20" borderId="23" xfId="0" applyFont="1" applyFill="1" applyBorder="1" applyAlignment="1" applyProtection="1">
      <alignment horizontal="left" vertical="top" wrapText="1"/>
    </xf>
    <xf numFmtId="0" fontId="5" fillId="20" borderId="9" xfId="0" applyFont="1" applyFill="1" applyBorder="1" applyAlignment="1" applyProtection="1">
      <alignment wrapText="1"/>
    </xf>
    <xf numFmtId="0" fontId="3" fillId="20" borderId="23" xfId="6" applyFont="1" applyFill="1" applyBorder="1" applyAlignment="1" applyProtection="1">
      <alignment horizontal="left" vertical="top" wrapText="1"/>
    </xf>
    <xf numFmtId="0" fontId="2" fillId="0" borderId="0" xfId="0" quotePrefix="1" applyFont="1" applyFill="1" applyBorder="1" applyAlignment="1" applyProtection="1">
      <alignment vertical="top"/>
    </xf>
    <xf numFmtId="49" fontId="3" fillId="20" borderId="0" xfId="6" applyNumberFormat="1" applyFont="1" applyFill="1" applyBorder="1" applyAlignment="1" applyProtection="1">
      <alignment horizontal="center"/>
    </xf>
    <xf numFmtId="0" fontId="3" fillId="20" borderId="36" xfId="6" applyFont="1" applyFill="1" applyBorder="1" applyAlignment="1" applyProtection="1">
      <alignment horizontal="left" vertical="top" wrapText="1"/>
    </xf>
    <xf numFmtId="0" fontId="5" fillId="20" borderId="15" xfId="6" applyFont="1" applyFill="1" applyBorder="1" applyProtection="1"/>
    <xf numFmtId="0" fontId="3" fillId="20" borderId="42" xfId="6" applyFont="1" applyFill="1" applyBorder="1" applyProtection="1"/>
    <xf numFmtId="3" fontId="2" fillId="3" borderId="63" xfId="6" applyNumberFormat="1" applyFont="1" applyFill="1" applyBorder="1" applyAlignment="1" applyProtection="1">
      <alignment horizontal="right"/>
    </xf>
    <xf numFmtId="0" fontId="34" fillId="2" borderId="0" xfId="6" applyFont="1" applyFill="1" applyBorder="1" applyAlignment="1" applyProtection="1">
      <alignment horizontal="left" vertical="top"/>
    </xf>
    <xf numFmtId="3" fontId="2" fillId="3" borderId="84" xfId="6" applyNumberFormat="1" applyFont="1" applyFill="1" applyBorder="1" applyAlignment="1" applyProtection="1">
      <alignment horizontal="right"/>
    </xf>
    <xf numFmtId="0" fontId="5" fillId="20" borderId="118" xfId="6" applyFont="1" applyFill="1" applyBorder="1" applyAlignment="1" applyProtection="1">
      <alignment horizontal="left"/>
    </xf>
    <xf numFmtId="0" fontId="2" fillId="0" borderId="0" xfId="6" applyFont="1" applyFill="1" applyBorder="1" applyAlignment="1" applyProtection="1">
      <alignment vertical="top"/>
    </xf>
    <xf numFmtId="0" fontId="3" fillId="20" borderId="15" xfId="6" applyFont="1" applyFill="1" applyBorder="1" applyProtection="1"/>
    <xf numFmtId="3" fontId="2" fillId="0" borderId="2" xfId="6" applyNumberFormat="1" applyFont="1" applyFill="1" applyBorder="1" applyAlignment="1" applyProtection="1">
      <alignment horizontal="right"/>
      <protection locked="0"/>
    </xf>
    <xf numFmtId="3" fontId="2" fillId="0" borderId="15" xfId="6" applyNumberFormat="1" applyFont="1" applyFill="1" applyBorder="1" applyAlignment="1" applyProtection="1">
      <alignment horizontal="right"/>
      <protection locked="0"/>
    </xf>
    <xf numFmtId="3" fontId="2" fillId="0" borderId="60" xfId="6" applyNumberFormat="1" applyFont="1" applyFill="1" applyBorder="1" applyAlignment="1" applyProtection="1">
      <alignment horizontal="right"/>
      <protection locked="0"/>
    </xf>
    <xf numFmtId="0" fontId="1" fillId="2" borderId="0" xfId="6" applyFont="1" applyFill="1" applyAlignment="1" applyProtection="1">
      <alignment vertical="top"/>
    </xf>
    <xf numFmtId="3" fontId="34" fillId="2" borderId="0" xfId="6" applyNumberFormat="1" applyFont="1" applyFill="1" applyAlignment="1" applyProtection="1">
      <alignment vertical="top"/>
    </xf>
    <xf numFmtId="0" fontId="66" fillId="2" borderId="0" xfId="6" applyFont="1" applyFill="1" applyAlignment="1" applyProtection="1">
      <alignment vertical="top"/>
    </xf>
    <xf numFmtId="0" fontId="22" fillId="2" borderId="0" xfId="6" applyFill="1" applyBorder="1" applyAlignment="1" applyProtection="1">
      <alignment horizontal="left" vertical="top"/>
    </xf>
    <xf numFmtId="0" fontId="22" fillId="2" borderId="0" xfId="6" applyFill="1" applyAlignment="1" applyProtection="1">
      <alignment vertical="top"/>
    </xf>
    <xf numFmtId="0" fontId="67" fillId="2" borderId="0" xfId="6" applyFont="1" applyFill="1" applyAlignment="1" applyProtection="1">
      <alignment vertical="top"/>
    </xf>
    <xf numFmtId="3" fontId="3" fillId="20" borderId="20" xfId="0" applyNumberFormat="1" applyFont="1" applyFill="1" applyBorder="1" applyAlignment="1" applyProtection="1">
      <alignment horizontal="center"/>
    </xf>
    <xf numFmtId="3" fontId="2" fillId="20" borderId="35" xfId="6" applyNumberFormat="1" applyFont="1" applyFill="1" applyBorder="1" applyProtection="1"/>
    <xf numFmtId="3" fontId="3" fillId="20" borderId="159" xfId="6" applyNumberFormat="1" applyFont="1" applyFill="1" applyBorder="1" applyProtection="1"/>
    <xf numFmtId="0" fontId="7" fillId="20" borderId="177" xfId="6" applyFont="1" applyFill="1" applyBorder="1" applyProtection="1"/>
    <xf numFmtId="3" fontId="2" fillId="20" borderId="5" xfId="6" applyNumberFormat="1" applyFont="1" applyFill="1" applyBorder="1" applyProtection="1"/>
    <xf numFmtId="3" fontId="40" fillId="20" borderId="39" xfId="6" applyNumberFormat="1" applyFont="1" applyFill="1" applyBorder="1" applyAlignment="1" applyProtection="1">
      <alignment horizontal="right"/>
    </xf>
    <xf numFmtId="168" fontId="39" fillId="20" borderId="150" xfId="6" applyNumberFormat="1" applyFont="1" applyFill="1" applyBorder="1" applyProtection="1"/>
    <xf numFmtId="168" fontId="39" fillId="20" borderId="192" xfId="6" applyNumberFormat="1" applyFont="1" applyFill="1" applyBorder="1" applyProtection="1"/>
    <xf numFmtId="0" fontId="3" fillId="20" borderId="157" xfId="6" applyFont="1" applyFill="1" applyBorder="1" applyProtection="1"/>
    <xf numFmtId="3" fontId="5" fillId="20" borderId="111" xfId="6" applyNumberFormat="1" applyFont="1" applyFill="1" applyBorder="1" applyAlignment="1" applyProtection="1">
      <alignment vertical="top"/>
    </xf>
    <xf numFmtId="3" fontId="3" fillId="20" borderId="0" xfId="6" applyNumberFormat="1" applyFont="1" applyFill="1" applyBorder="1" applyAlignment="1" applyProtection="1">
      <alignment vertical="top"/>
    </xf>
    <xf numFmtId="168" fontId="3" fillId="20" borderId="1" xfId="6" applyNumberFormat="1" applyFont="1" applyFill="1" applyBorder="1" applyProtection="1"/>
    <xf numFmtId="3" fontId="2" fillId="20" borderId="68" xfId="6" applyNumberFormat="1" applyFont="1" applyFill="1" applyBorder="1" applyProtection="1"/>
    <xf numFmtId="3" fontId="43" fillId="20" borderId="35" xfId="6" quotePrefix="1" applyNumberFormat="1" applyFont="1" applyFill="1" applyBorder="1" applyAlignment="1" applyProtection="1">
      <alignment horizontal="right"/>
    </xf>
    <xf numFmtId="3" fontId="43" fillId="20" borderId="35" xfId="6" applyNumberFormat="1" applyFont="1" applyFill="1" applyBorder="1" applyProtection="1"/>
    <xf numFmtId="3" fontId="3" fillId="20" borderId="174" xfId="6" applyNumberFormat="1" applyFont="1" applyFill="1" applyBorder="1" applyAlignment="1" applyProtection="1">
      <alignment vertical="top" wrapText="1"/>
    </xf>
    <xf numFmtId="0" fontId="3" fillId="20" borderId="170" xfId="6" applyFont="1" applyFill="1" applyBorder="1" applyAlignment="1" applyProtection="1">
      <alignment vertical="top" wrapText="1"/>
    </xf>
    <xf numFmtId="3" fontId="3" fillId="20" borderId="159" xfId="6" applyNumberFormat="1" applyFont="1" applyFill="1" applyBorder="1" applyAlignment="1" applyProtection="1">
      <alignment vertical="center"/>
    </xf>
    <xf numFmtId="0" fontId="3" fillId="20" borderId="16" xfId="6" applyFont="1" applyFill="1" applyBorder="1" applyAlignment="1" applyProtection="1">
      <alignment horizontal="left" vertical="center"/>
    </xf>
    <xf numFmtId="0" fontId="3" fillId="20" borderId="16" xfId="6" applyFont="1" applyFill="1" applyBorder="1" applyAlignment="1" applyProtection="1">
      <alignment vertical="top"/>
    </xf>
    <xf numFmtId="3" fontId="2" fillId="20" borderId="15" xfId="6" applyNumberFormat="1" applyFont="1" applyFill="1" applyBorder="1" applyProtection="1"/>
    <xf numFmtId="3" fontId="2" fillId="20" borderId="13" xfId="6" applyNumberFormat="1" applyFont="1" applyFill="1" applyBorder="1" applyProtection="1"/>
    <xf numFmtId="0" fontId="3" fillId="20" borderId="191" xfId="0" applyFont="1" applyFill="1" applyBorder="1" applyAlignment="1" applyProtection="1"/>
    <xf numFmtId="3" fontId="3" fillId="20" borderId="157" xfId="0" applyNumberFormat="1" applyFont="1" applyFill="1" applyBorder="1" applyAlignment="1" applyProtection="1"/>
    <xf numFmtId="3" fontId="3" fillId="20" borderId="159" xfId="0" applyNumberFormat="1" applyFont="1" applyFill="1" applyBorder="1" applyAlignment="1" applyProtection="1"/>
    <xf numFmtId="0" fontId="0" fillId="2" borderId="0" xfId="0" applyFill="1" applyAlignment="1" applyProtection="1"/>
    <xf numFmtId="0" fontId="3" fillId="20" borderId="118" xfId="0" applyFont="1" applyFill="1" applyBorder="1" applyAlignment="1" applyProtection="1"/>
    <xf numFmtId="3" fontId="5" fillId="20" borderId="96" xfId="0" applyNumberFormat="1" applyFont="1" applyFill="1" applyBorder="1" applyAlignment="1" applyProtection="1"/>
    <xf numFmtId="3" fontId="2" fillId="9" borderId="5" xfId="0" applyNumberFormat="1" applyFont="1" applyFill="1" applyBorder="1" applyAlignment="1" applyProtection="1"/>
    <xf numFmtId="0" fontId="3" fillId="20" borderId="56" xfId="0" applyFont="1" applyFill="1" applyBorder="1" applyAlignment="1" applyProtection="1"/>
    <xf numFmtId="0" fontId="3" fillId="20" borderId="111" xfId="6" applyFont="1" applyFill="1" applyBorder="1" applyAlignment="1" applyProtection="1"/>
    <xf numFmtId="0" fontId="3" fillId="20" borderId="62" xfId="6" applyFont="1" applyFill="1" applyBorder="1" applyAlignment="1" applyProtection="1"/>
    <xf numFmtId="0" fontId="3" fillId="20" borderId="0" xfId="0" applyFont="1" applyFill="1" applyBorder="1" applyAlignment="1" applyProtection="1"/>
    <xf numFmtId="0" fontId="3" fillId="20" borderId="169" xfId="0" applyFont="1" applyFill="1" applyBorder="1" applyAlignment="1" applyProtection="1"/>
    <xf numFmtId="0" fontId="3" fillId="20" borderId="159" xfId="0" applyFont="1" applyFill="1" applyBorder="1" applyAlignment="1" applyProtection="1"/>
    <xf numFmtId="0" fontId="3" fillId="20" borderId="147" xfId="0" applyFont="1" applyFill="1" applyBorder="1" applyAlignment="1" applyProtection="1"/>
    <xf numFmtId="0" fontId="5" fillId="20" borderId="54" xfId="0" applyFont="1" applyFill="1" applyBorder="1" applyAlignment="1" applyProtection="1"/>
    <xf numFmtId="3" fontId="2" fillId="9" borderId="35" xfId="0" applyNumberFormat="1" applyFont="1" applyFill="1" applyBorder="1" applyAlignment="1" applyProtection="1"/>
    <xf numFmtId="3" fontId="2" fillId="9" borderId="136" xfId="0" applyNumberFormat="1" applyFont="1" applyFill="1" applyBorder="1" applyAlignment="1" applyProtection="1"/>
    <xf numFmtId="0" fontId="3" fillId="20" borderId="5" xfId="0" applyFont="1" applyFill="1" applyBorder="1" applyAlignment="1" applyProtection="1"/>
    <xf numFmtId="0" fontId="5" fillId="20" borderId="5" xfId="0" applyFont="1" applyFill="1" applyBorder="1" applyAlignment="1" applyProtection="1"/>
    <xf numFmtId="0" fontId="5" fillId="20" borderId="55" xfId="0" applyFont="1" applyFill="1" applyBorder="1" applyAlignment="1" applyProtection="1"/>
    <xf numFmtId="3" fontId="2" fillId="9" borderId="2" xfId="0" applyNumberFormat="1" applyFont="1" applyFill="1" applyBorder="1" applyAlignment="1" applyProtection="1"/>
    <xf numFmtId="3" fontId="2" fillId="9" borderId="54" xfId="0" applyNumberFormat="1" applyFont="1" applyFill="1" applyBorder="1" applyAlignment="1" applyProtection="1"/>
    <xf numFmtId="0" fontId="3" fillId="20" borderId="2" xfId="0" applyFont="1" applyFill="1" applyBorder="1" applyAlignment="1" applyProtection="1"/>
    <xf numFmtId="0" fontId="5" fillId="20" borderId="2" xfId="0" applyFont="1" applyFill="1" applyBorder="1" applyAlignment="1" applyProtection="1"/>
    <xf numFmtId="0" fontId="5" fillId="20" borderId="13" xfId="0" applyFont="1" applyFill="1" applyBorder="1" applyAlignment="1" applyProtection="1"/>
    <xf numFmtId="0" fontId="5" fillId="20" borderId="15" xfId="0" applyFont="1" applyFill="1" applyBorder="1" applyAlignment="1" applyProtection="1"/>
    <xf numFmtId="0" fontId="10" fillId="0" borderId="0" xfId="0" applyFont="1" applyFill="1" applyBorder="1" applyAlignment="1" applyProtection="1"/>
    <xf numFmtId="0" fontId="22" fillId="0" borderId="0" xfId="0" applyFont="1" applyFill="1" applyAlignment="1" applyProtection="1"/>
    <xf numFmtId="0" fontId="22" fillId="0" borderId="0" xfId="0" applyFont="1" applyFill="1" applyBorder="1" applyAlignment="1" applyProtection="1"/>
    <xf numFmtId="1" fontId="3" fillId="20" borderId="89" xfId="0" applyNumberFormat="1" applyFont="1" applyFill="1" applyBorder="1" applyAlignment="1" applyProtection="1">
      <alignment horizontal="center" vertical="top" wrapText="1"/>
    </xf>
    <xf numFmtId="3" fontId="3" fillId="20" borderId="159" xfId="0" applyNumberFormat="1" applyFont="1" applyFill="1" applyBorder="1" applyAlignment="1" applyProtection="1">
      <alignment vertical="top"/>
    </xf>
    <xf numFmtId="3" fontId="40" fillId="0" borderId="0" xfId="6" applyNumberFormat="1" applyFont="1" applyFill="1" applyBorder="1" applyAlignment="1" applyProtection="1">
      <alignment horizontal="right"/>
    </xf>
    <xf numFmtId="3" fontId="109" fillId="2" borderId="0" xfId="0" applyNumberFormat="1" applyFont="1" applyFill="1" applyProtection="1"/>
    <xf numFmtId="3" fontId="2" fillId="0" borderId="7" xfId="0" applyNumberFormat="1" applyFont="1" applyFill="1" applyBorder="1" applyAlignment="1" applyProtection="1">
      <alignment horizontal="right"/>
      <protection locked="0"/>
    </xf>
    <xf numFmtId="0" fontId="109" fillId="2" borderId="0" xfId="0" applyFont="1" applyFill="1" applyBorder="1" applyAlignment="1" applyProtection="1">
      <alignment horizontal="left"/>
    </xf>
    <xf numFmtId="0" fontId="109" fillId="2" borderId="0" xfId="0" applyFont="1" applyFill="1" applyBorder="1" applyAlignment="1" applyProtection="1"/>
    <xf numFmtId="3" fontId="40" fillId="0" borderId="124" xfId="6" applyNumberFormat="1" applyFont="1" applyFill="1" applyBorder="1" applyAlignment="1" applyProtection="1">
      <alignment horizontal="right"/>
    </xf>
    <xf numFmtId="49" fontId="3" fillId="20" borderId="130" xfId="0" applyNumberFormat="1" applyFont="1" applyFill="1" applyBorder="1" applyAlignment="1" applyProtection="1">
      <alignment horizontal="left"/>
    </xf>
    <xf numFmtId="49" fontId="3" fillId="20" borderId="172" xfId="0" applyNumberFormat="1" applyFont="1" applyFill="1" applyBorder="1" applyProtection="1"/>
    <xf numFmtId="3" fontId="10" fillId="27" borderId="161" xfId="0" applyNumberFormat="1" applyFont="1" applyFill="1" applyBorder="1" applyProtection="1"/>
    <xf numFmtId="3" fontId="10" fillId="27" borderId="68" xfId="0" applyNumberFormat="1" applyFont="1" applyFill="1" applyBorder="1" applyProtection="1"/>
    <xf numFmtId="3" fontId="10" fillId="27" borderId="69" xfId="0" applyNumberFormat="1" applyFont="1" applyFill="1" applyBorder="1" applyProtection="1"/>
    <xf numFmtId="1" fontId="3" fillId="20" borderId="213" xfId="0" applyNumberFormat="1" applyFont="1" applyFill="1" applyBorder="1" applyAlignment="1" applyProtection="1">
      <alignment horizontal="left"/>
    </xf>
    <xf numFmtId="1" fontId="3" fillId="20" borderId="213" xfId="0" applyNumberFormat="1" applyFont="1" applyFill="1" applyBorder="1" applyProtection="1"/>
    <xf numFmtId="1" fontId="2" fillId="20" borderId="214" xfId="0" applyNumberFormat="1" applyFont="1" applyFill="1" applyBorder="1" applyAlignment="1" applyProtection="1"/>
    <xf numFmtId="1" fontId="123" fillId="20" borderId="216" xfId="0" applyNumberFormat="1" applyFont="1" applyFill="1" applyBorder="1" applyProtection="1"/>
    <xf numFmtId="1" fontId="124" fillId="20" borderId="215" xfId="0" applyNumberFormat="1" applyFont="1" applyFill="1" applyBorder="1" applyAlignment="1" applyProtection="1"/>
    <xf numFmtId="1" fontId="123" fillId="20" borderId="217" xfId="0" applyNumberFormat="1" applyFont="1" applyFill="1" applyBorder="1" applyProtection="1"/>
    <xf numFmtId="1" fontId="123" fillId="20" borderId="218" xfId="0" applyNumberFormat="1" applyFont="1" applyFill="1" applyBorder="1" applyProtection="1"/>
    <xf numFmtId="1" fontId="124" fillId="20" borderId="180" xfId="0" applyNumberFormat="1" applyFont="1" applyFill="1" applyBorder="1" applyAlignment="1" applyProtection="1"/>
    <xf numFmtId="1" fontId="124" fillId="20" borderId="39" xfId="0" applyNumberFormat="1" applyFont="1" applyFill="1" applyBorder="1" applyAlignment="1" applyProtection="1"/>
    <xf numFmtId="1" fontId="124" fillId="20" borderId="59" xfId="0" applyNumberFormat="1" applyFont="1" applyFill="1" applyBorder="1" applyAlignment="1" applyProtection="1"/>
    <xf numFmtId="1" fontId="124" fillId="20" borderId="0" xfId="0" applyNumberFormat="1" applyFont="1" applyFill="1" applyBorder="1" applyAlignment="1" applyProtection="1"/>
    <xf numFmtId="0" fontId="116" fillId="20" borderId="39" xfId="0" applyNumberFormat="1" applyFont="1" applyFill="1" applyBorder="1" applyAlignment="1" applyProtection="1"/>
    <xf numFmtId="0" fontId="116" fillId="20" borderId="66" xfId="0" applyNumberFormat="1" applyFont="1" applyFill="1" applyBorder="1" applyAlignment="1" applyProtection="1"/>
    <xf numFmtId="0" fontId="116" fillId="20" borderId="180" xfId="0" applyNumberFormat="1" applyFont="1" applyFill="1" applyBorder="1" applyAlignment="1" applyProtection="1"/>
    <xf numFmtId="49" fontId="124" fillId="20" borderId="39" xfId="0" applyNumberFormat="1" applyFont="1" applyFill="1" applyBorder="1" applyAlignment="1" applyProtection="1"/>
    <xf numFmtId="0" fontId="116" fillId="20" borderId="59" xfId="0" applyNumberFormat="1" applyFont="1" applyFill="1" applyBorder="1" applyAlignment="1" applyProtection="1"/>
    <xf numFmtId="3" fontId="2" fillId="2" borderId="91" xfId="0" applyNumberFormat="1" applyFont="1" applyFill="1" applyBorder="1" applyAlignment="1" applyProtection="1">
      <alignment horizontal="right"/>
      <protection locked="0"/>
    </xf>
    <xf numFmtId="0" fontId="22" fillId="20" borderId="160" xfId="6" applyFont="1" applyFill="1" applyBorder="1" applyAlignment="1" applyProtection="1">
      <alignment horizontal="left" wrapText="1"/>
    </xf>
    <xf numFmtId="168" fontId="39" fillId="20" borderId="160" xfId="6" applyNumberFormat="1" applyFont="1" applyFill="1" applyBorder="1" applyProtection="1"/>
    <xf numFmtId="0" fontId="22" fillId="20" borderId="160" xfId="6" applyFill="1" applyBorder="1" applyProtection="1"/>
    <xf numFmtId="3" fontId="40" fillId="20" borderId="160" xfId="6" applyNumberFormat="1" applyFont="1" applyFill="1" applyBorder="1" applyProtection="1"/>
    <xf numFmtId="3" fontId="2" fillId="20" borderId="32" xfId="6" applyNumberFormat="1" applyFont="1" applyFill="1" applyBorder="1" applyAlignment="1" applyProtection="1">
      <alignment horizontal="right"/>
    </xf>
    <xf numFmtId="3" fontId="2" fillId="20" borderId="31" xfId="6" applyNumberFormat="1" applyFont="1" applyFill="1" applyBorder="1" applyAlignment="1" applyProtection="1">
      <alignment horizontal="right"/>
    </xf>
    <xf numFmtId="3" fontId="2" fillId="20" borderId="33" xfId="6" applyNumberFormat="1" applyFont="1" applyFill="1" applyBorder="1" applyAlignment="1" applyProtection="1">
      <alignment horizontal="right"/>
    </xf>
    <xf numFmtId="3" fontId="2" fillId="20" borderId="119" xfId="6" applyNumberFormat="1" applyFont="1" applyFill="1" applyBorder="1" applyAlignment="1" applyProtection="1">
      <alignment horizontal="right"/>
    </xf>
    <xf numFmtId="3" fontId="2" fillId="20" borderId="103" xfId="6" applyNumberFormat="1" applyFont="1" applyFill="1" applyBorder="1" applyAlignment="1" applyProtection="1">
      <alignment horizontal="right"/>
    </xf>
    <xf numFmtId="3" fontId="2" fillId="20" borderId="212" xfId="6" applyNumberFormat="1" applyFont="1" applyFill="1" applyBorder="1" applyAlignment="1" applyProtection="1">
      <alignment horizontal="right"/>
    </xf>
    <xf numFmtId="3" fontId="2" fillId="20" borderId="209" xfId="6" applyNumberFormat="1" applyFont="1" applyFill="1" applyBorder="1" applyAlignment="1" applyProtection="1">
      <alignment horizontal="right"/>
    </xf>
    <xf numFmtId="3" fontId="2" fillId="20" borderId="33" xfId="6" applyNumberFormat="1" applyFont="1" applyFill="1" applyBorder="1" applyProtection="1"/>
    <xf numFmtId="0" fontId="22" fillId="20" borderId="181" xfId="6" applyFill="1" applyBorder="1" applyProtection="1"/>
    <xf numFmtId="3" fontId="43" fillId="21" borderId="130" xfId="0" applyNumberFormat="1" applyFont="1" applyFill="1" applyBorder="1" applyProtection="1"/>
    <xf numFmtId="0" fontId="0" fillId="0" borderId="57" xfId="0" applyFill="1" applyBorder="1" applyProtection="1"/>
    <xf numFmtId="0" fontId="0" fillId="0" borderId="0" xfId="0" applyBorder="1" applyAlignment="1" applyProtection="1">
      <alignment wrapText="1"/>
      <protection locked="0"/>
    </xf>
    <xf numFmtId="3" fontId="2" fillId="0" borderId="19" xfId="0" applyNumberFormat="1" applyFont="1" applyFill="1" applyBorder="1" applyAlignment="1" applyProtection="1">
      <alignment horizontal="right"/>
      <protection locked="0"/>
    </xf>
    <xf numFmtId="3" fontId="3" fillId="20" borderId="56" xfId="0" applyNumberFormat="1" applyFont="1" applyFill="1" applyBorder="1" applyAlignment="1" applyProtection="1">
      <alignment horizontal="left" wrapText="1"/>
    </xf>
    <xf numFmtId="3" fontId="3" fillId="20" borderId="56" xfId="0" applyNumberFormat="1" applyFont="1" applyFill="1" applyBorder="1" applyAlignment="1" applyProtection="1">
      <alignment horizontal="left" vertical="top"/>
    </xf>
    <xf numFmtId="3" fontId="3" fillId="20" borderId="147" xfId="0" applyNumberFormat="1" applyFont="1" applyFill="1" applyBorder="1" applyAlignment="1" applyProtection="1">
      <alignment horizontal="left" vertical="top"/>
    </xf>
    <xf numFmtId="170" fontId="3" fillId="20" borderId="220" xfId="0" applyNumberFormat="1" applyFont="1" applyFill="1" applyBorder="1" applyAlignment="1" applyProtection="1">
      <alignment horizontal="left"/>
    </xf>
    <xf numFmtId="3" fontId="13" fillId="2" borderId="147" xfId="0" applyNumberFormat="1" applyFont="1" applyFill="1" applyBorder="1" applyAlignment="1" applyProtection="1">
      <alignment horizontal="right"/>
      <protection locked="0"/>
    </xf>
    <xf numFmtId="3" fontId="2" fillId="3" borderId="221" xfId="0" applyNumberFormat="1" applyFont="1" applyFill="1" applyBorder="1" applyAlignment="1" applyProtection="1">
      <alignment horizontal="right"/>
    </xf>
    <xf numFmtId="3" fontId="13" fillId="6" borderId="147" xfId="0" applyNumberFormat="1" applyFont="1" applyFill="1" applyBorder="1" applyAlignment="1" applyProtection="1">
      <alignment horizontal="right"/>
      <protection locked="0"/>
    </xf>
    <xf numFmtId="3" fontId="2" fillId="20" borderId="220" xfId="0" applyNumberFormat="1" applyFont="1" applyFill="1" applyBorder="1" applyAlignment="1" applyProtection="1">
      <alignment horizontal="right"/>
    </xf>
    <xf numFmtId="3" fontId="2" fillId="3" borderId="147" xfId="0" applyNumberFormat="1" applyFont="1" applyFill="1" applyBorder="1" applyAlignment="1" applyProtection="1">
      <alignment horizontal="right"/>
    </xf>
    <xf numFmtId="3" fontId="2" fillId="3" borderId="211" xfId="0" applyNumberFormat="1" applyFont="1" applyFill="1" applyBorder="1" applyAlignment="1" applyProtection="1">
      <alignment horizontal="right"/>
    </xf>
    <xf numFmtId="3" fontId="13" fillId="2" borderId="86" xfId="0" applyNumberFormat="1" applyFont="1" applyFill="1" applyBorder="1" applyAlignment="1" applyProtection="1">
      <alignment horizontal="right"/>
      <protection locked="0"/>
    </xf>
    <xf numFmtId="3" fontId="2" fillId="3" borderId="201" xfId="0" applyNumberFormat="1" applyFont="1" applyFill="1" applyBorder="1" applyAlignment="1" applyProtection="1">
      <alignment horizontal="right"/>
    </xf>
    <xf numFmtId="3" fontId="5" fillId="0" borderId="58" xfId="0" applyNumberFormat="1" applyFont="1" applyFill="1" applyBorder="1" applyAlignment="1" applyProtection="1">
      <alignment horizontal="left"/>
    </xf>
    <xf numFmtId="3" fontId="3" fillId="0" borderId="0" xfId="0" applyNumberFormat="1" applyFont="1" applyFill="1" applyBorder="1" applyAlignment="1" applyProtection="1">
      <alignment horizontal="left"/>
    </xf>
    <xf numFmtId="3" fontId="5" fillId="0" borderId="58" xfId="0" applyNumberFormat="1" applyFont="1" applyFill="1" applyBorder="1" applyAlignment="1" applyProtection="1">
      <alignment horizontal="left" vertical="top" wrapText="1"/>
    </xf>
    <xf numFmtId="3" fontId="3" fillId="0" borderId="0" xfId="0" applyNumberFormat="1" applyFont="1" applyFill="1" applyBorder="1" applyAlignment="1" applyProtection="1">
      <alignment horizontal="left" wrapText="1"/>
    </xf>
    <xf numFmtId="0" fontId="5" fillId="0" borderId="58" xfId="0" applyFont="1" applyFill="1" applyBorder="1" applyAlignment="1" applyProtection="1">
      <alignment horizontal="left"/>
    </xf>
    <xf numFmtId="3" fontId="3" fillId="0" borderId="0" xfId="0" applyNumberFormat="1" applyFont="1" applyFill="1" applyBorder="1" applyAlignment="1" applyProtection="1">
      <alignment horizontal="left" vertical="top"/>
    </xf>
    <xf numFmtId="3" fontId="3" fillId="0" borderId="58" xfId="0" applyNumberFormat="1" applyFont="1" applyFill="1" applyBorder="1" applyAlignment="1" applyProtection="1">
      <alignment horizontal="left" vertical="top" wrapText="1"/>
    </xf>
    <xf numFmtId="170" fontId="3" fillId="0" borderId="58" xfId="0" applyNumberFormat="1" applyFont="1" applyFill="1" applyBorder="1" applyAlignment="1" applyProtection="1">
      <alignment horizontal="left"/>
    </xf>
    <xf numFmtId="170" fontId="3" fillId="0" borderId="0" xfId="0" applyNumberFormat="1" applyFont="1" applyFill="1" applyBorder="1" applyAlignment="1" applyProtection="1">
      <alignment horizontal="left"/>
    </xf>
    <xf numFmtId="3" fontId="109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/>
    <xf numFmtId="0" fontId="0" fillId="0" borderId="0" xfId="0" applyBorder="1" applyAlignment="1">
      <alignment wrapText="1"/>
    </xf>
    <xf numFmtId="0" fontId="0" fillId="0" borderId="0" xfId="0" applyBorder="1" applyAlignment="1" applyProtection="1">
      <alignment vertical="top"/>
    </xf>
    <xf numFmtId="0" fontId="3" fillId="0" borderId="0" xfId="0" applyFont="1" applyBorder="1" applyAlignment="1" applyProtection="1"/>
    <xf numFmtId="49" fontId="3" fillId="20" borderId="64" xfId="0" applyNumberFormat="1" applyFont="1" applyFill="1" applyBorder="1" applyAlignment="1" applyProtection="1">
      <alignment horizontal="left"/>
    </xf>
    <xf numFmtId="49" fontId="3" fillId="20" borderId="91" xfId="0" applyNumberFormat="1" applyFont="1" applyFill="1" applyBorder="1" applyAlignment="1" applyProtection="1">
      <alignment horizontal="center"/>
    </xf>
    <xf numFmtId="49" fontId="3" fillId="20" borderId="179" xfId="0" applyNumberFormat="1" applyFont="1" applyFill="1" applyBorder="1" applyAlignment="1" applyProtection="1">
      <alignment horizontal="left"/>
    </xf>
    <xf numFmtId="0" fontId="2" fillId="20" borderId="110" xfId="0" applyFont="1" applyFill="1" applyBorder="1" applyProtection="1"/>
    <xf numFmtId="49" fontId="3" fillId="20" borderId="71" xfId="0" applyNumberFormat="1" applyFont="1" applyFill="1" applyBorder="1" applyAlignment="1" applyProtection="1">
      <alignment horizontal="left"/>
    </xf>
    <xf numFmtId="0" fontId="110" fillId="2" borderId="67" xfId="0" applyFont="1" applyFill="1" applyBorder="1" applyProtection="1"/>
    <xf numFmtId="49" fontId="3" fillId="20" borderId="25" xfId="0" applyNumberFormat="1" applyFont="1" applyFill="1" applyBorder="1" applyAlignment="1" applyProtection="1">
      <alignment horizontal="center"/>
    </xf>
    <xf numFmtId="0" fontId="3" fillId="20" borderId="117" xfId="0" applyNumberFormat="1" applyFont="1" applyFill="1" applyBorder="1" applyAlignment="1" applyProtection="1">
      <alignment horizontal="center" vertical="top" wrapText="1"/>
    </xf>
    <xf numFmtId="0" fontId="109" fillId="0" borderId="58" xfId="0" applyNumberFormat="1" applyFont="1" applyFill="1" applyBorder="1" applyAlignment="1" applyProtection="1">
      <alignment horizontal="left"/>
    </xf>
    <xf numFmtId="0" fontId="2" fillId="20" borderId="98" xfId="0" applyFont="1" applyFill="1" applyBorder="1" applyAlignment="1" applyProtection="1">
      <alignment horizontal="left" vertical="top" wrapText="1"/>
    </xf>
    <xf numFmtId="0" fontId="34" fillId="0" borderId="0" xfId="0" applyFont="1" applyFill="1" applyAlignment="1" applyProtection="1"/>
    <xf numFmtId="0" fontId="3" fillId="20" borderId="111" xfId="6" applyFont="1" applyFill="1" applyBorder="1" applyAlignment="1" applyProtection="1">
      <alignment horizontal="left" vertical="top"/>
    </xf>
    <xf numFmtId="3" fontId="43" fillId="20" borderId="9" xfId="6" applyNumberFormat="1" applyFont="1" applyFill="1" applyBorder="1" applyAlignment="1" applyProtection="1">
      <alignment horizontal="right"/>
    </xf>
    <xf numFmtId="0" fontId="3" fillId="20" borderId="3" xfId="0" applyFont="1" applyFill="1" applyBorder="1" applyAlignment="1" applyProtection="1">
      <alignment vertical="top" wrapText="1"/>
    </xf>
    <xf numFmtId="3" fontId="2" fillId="2" borderId="222" xfId="0" applyNumberFormat="1" applyFont="1" applyFill="1" applyBorder="1" applyProtection="1">
      <protection locked="0"/>
    </xf>
    <xf numFmtId="3" fontId="2" fillId="2" borderId="110" xfId="0" applyNumberFormat="1" applyFont="1" applyFill="1" applyBorder="1" applyProtection="1">
      <protection locked="0"/>
    </xf>
    <xf numFmtId="3" fontId="2" fillId="0" borderId="34" xfId="0" applyNumberFormat="1" applyFont="1" applyFill="1" applyBorder="1" applyProtection="1">
      <protection locked="0"/>
    </xf>
    <xf numFmtId="3" fontId="2" fillId="0" borderId="114" xfId="0" applyNumberFormat="1" applyFont="1" applyFill="1" applyBorder="1" applyProtection="1">
      <protection locked="0"/>
    </xf>
    <xf numFmtId="3" fontId="13" fillId="0" borderId="22" xfId="0" applyNumberFormat="1" applyFont="1" applyFill="1" applyBorder="1" applyAlignment="1" applyProtection="1">
      <alignment horizontal="right"/>
      <protection locked="0"/>
    </xf>
    <xf numFmtId="3" fontId="13" fillId="0" borderId="5" xfId="0" applyNumberFormat="1" applyFont="1" applyFill="1" applyBorder="1" applyAlignment="1" applyProtection="1">
      <alignment horizontal="right"/>
      <protection locked="0"/>
    </xf>
    <xf numFmtId="3" fontId="13" fillId="0" borderId="21" xfId="0" applyNumberFormat="1" applyFont="1" applyFill="1" applyBorder="1" applyAlignment="1" applyProtection="1">
      <alignment horizontal="right"/>
      <protection locked="0"/>
    </xf>
    <xf numFmtId="3" fontId="13" fillId="0" borderId="2" xfId="0" applyNumberFormat="1" applyFont="1" applyFill="1" applyBorder="1" applyAlignment="1" applyProtection="1">
      <alignment horizontal="right"/>
      <protection locked="0"/>
    </xf>
    <xf numFmtId="3" fontId="13" fillId="27" borderId="29" xfId="0" applyNumberFormat="1" applyFont="1" applyFill="1" applyBorder="1" applyAlignment="1" applyProtection="1">
      <alignment horizontal="right"/>
    </xf>
    <xf numFmtId="3" fontId="2" fillId="20" borderId="94" xfId="0" applyNumberFormat="1" applyFont="1" applyFill="1" applyBorder="1" applyAlignment="1" applyProtection="1">
      <alignment horizontal="right"/>
    </xf>
    <xf numFmtId="0" fontId="109" fillId="0" borderId="0" xfId="0" applyNumberFormat="1" applyFont="1" applyFill="1" applyBorder="1" applyAlignment="1" applyProtection="1">
      <alignment horizontal="left"/>
    </xf>
    <xf numFmtId="3" fontId="2" fillId="3" borderId="85" xfId="0" applyNumberFormat="1" applyFont="1" applyFill="1" applyBorder="1" applyAlignment="1" applyProtection="1">
      <alignment horizontal="right"/>
    </xf>
    <xf numFmtId="0" fontId="22" fillId="0" borderId="0" xfId="0" quotePrefix="1" applyFont="1" applyBorder="1" applyAlignment="1" applyProtection="1">
      <alignment vertical="top" wrapText="1"/>
    </xf>
    <xf numFmtId="0" fontId="3" fillId="0" borderId="0" xfId="0" applyFont="1" applyAlignment="1" applyProtection="1"/>
    <xf numFmtId="0" fontId="2" fillId="0" borderId="0" xfId="0" applyFont="1" applyBorder="1" applyAlignment="1" applyProtection="1">
      <alignment wrapText="1"/>
    </xf>
    <xf numFmtId="3" fontId="3" fillId="20" borderId="20" xfId="6" applyNumberFormat="1" applyFont="1" applyFill="1" applyBorder="1" applyAlignment="1" applyProtection="1">
      <alignment horizontal="center"/>
    </xf>
    <xf numFmtId="3" fontId="123" fillId="21" borderId="42" xfId="0" applyNumberFormat="1" applyFont="1" applyFill="1" applyBorder="1" applyAlignment="1" applyProtection="1">
      <alignment horizontal="right"/>
    </xf>
    <xf numFmtId="3" fontId="2" fillId="32" borderId="113" xfId="6" applyNumberFormat="1" applyFont="1" applyFill="1" applyBorder="1" applyProtection="1"/>
    <xf numFmtId="3" fontId="2" fillId="32" borderId="5" xfId="6" applyNumberFormat="1" applyFont="1" applyFill="1" applyBorder="1" applyAlignment="1" applyProtection="1">
      <alignment horizontal="right"/>
    </xf>
    <xf numFmtId="3" fontId="2" fillId="32" borderId="70" xfId="6" applyNumberFormat="1" applyFont="1" applyFill="1" applyBorder="1" applyAlignment="1" applyProtection="1">
      <alignment horizontal="right"/>
    </xf>
    <xf numFmtId="3" fontId="2" fillId="32" borderId="25" xfId="6" applyNumberFormat="1" applyFont="1" applyFill="1" applyBorder="1" applyAlignment="1" applyProtection="1">
      <alignment horizontal="right"/>
    </xf>
    <xf numFmtId="3" fontId="109" fillId="20" borderId="14" xfId="0" applyNumberFormat="1" applyFont="1" applyFill="1" applyBorder="1" applyProtection="1"/>
    <xf numFmtId="3" fontId="111" fillId="20" borderId="9" xfId="0" applyNumberFormat="1" applyFont="1" applyFill="1" applyBorder="1" applyProtection="1"/>
    <xf numFmtId="3" fontId="112" fillId="20" borderId="9" xfId="0" applyNumberFormat="1" applyFont="1" applyFill="1" applyBorder="1" applyProtection="1"/>
    <xf numFmtId="3" fontId="112" fillId="20" borderId="5" xfId="0" applyNumberFormat="1" applyFont="1" applyFill="1" applyBorder="1" applyProtection="1"/>
    <xf numFmtId="0" fontId="109" fillId="0" borderId="0" xfId="0" applyNumberFormat="1" applyFont="1" applyFill="1" applyBorder="1" applyAlignment="1" applyProtection="1"/>
    <xf numFmtId="0" fontId="0" fillId="0" borderId="0" xfId="0" applyFill="1" applyBorder="1" applyAlignment="1" applyProtection="1">
      <alignment vertical="top" wrapText="1"/>
    </xf>
    <xf numFmtId="3" fontId="3" fillId="20" borderId="15" xfId="6" applyNumberFormat="1" applyFont="1" applyFill="1" applyBorder="1" applyAlignment="1" applyProtection="1">
      <alignment vertical="top" wrapText="1"/>
    </xf>
    <xf numFmtId="3" fontId="3" fillId="20" borderId="159" xfId="6" applyNumberFormat="1" applyFont="1" applyFill="1" applyBorder="1" applyAlignment="1" applyProtection="1">
      <alignment vertical="center" wrapText="1"/>
    </xf>
    <xf numFmtId="49" fontId="3" fillId="20" borderId="70" xfId="0" applyNumberFormat="1" applyFont="1" applyFill="1" applyBorder="1" applyAlignment="1" applyProtection="1">
      <alignment horizontal="center"/>
    </xf>
    <xf numFmtId="166" fontId="5" fillId="20" borderId="88" xfId="0" applyNumberFormat="1" applyFont="1" applyFill="1" applyBorder="1" applyAlignment="1" applyProtection="1">
      <alignment horizontal="left"/>
    </xf>
    <xf numFmtId="166" fontId="3" fillId="20" borderId="60" xfId="0" applyNumberFormat="1" applyFont="1" applyFill="1" applyBorder="1" applyAlignment="1" applyProtection="1">
      <alignment horizontal="left"/>
    </xf>
    <xf numFmtId="0" fontId="5" fillId="20" borderId="88" xfId="0" applyFont="1" applyFill="1" applyBorder="1" applyAlignment="1" applyProtection="1">
      <alignment horizontal="left"/>
    </xf>
    <xf numFmtId="0" fontId="121" fillId="20" borderId="101" xfId="0" applyFont="1" applyFill="1" applyBorder="1" applyAlignment="1" applyProtection="1">
      <alignment vertical="top" wrapText="1"/>
    </xf>
    <xf numFmtId="0" fontId="121" fillId="20" borderId="88" xfId="0" applyFont="1" applyFill="1" applyBorder="1" applyAlignment="1" applyProtection="1">
      <alignment vertical="top" wrapText="1"/>
    </xf>
    <xf numFmtId="0" fontId="100" fillId="20" borderId="5" xfId="0" applyFont="1" applyFill="1" applyBorder="1" applyProtection="1"/>
    <xf numFmtId="0" fontId="100" fillId="20" borderId="25" xfId="0" applyFont="1" applyFill="1" applyBorder="1" applyProtection="1"/>
    <xf numFmtId="49" fontId="3" fillId="20" borderId="22" xfId="6" applyNumberFormat="1" applyFont="1" applyFill="1" applyBorder="1" applyAlignment="1" applyProtection="1">
      <alignment horizontal="center"/>
    </xf>
    <xf numFmtId="0" fontId="5" fillId="20" borderId="84" xfId="6" applyFont="1" applyFill="1" applyBorder="1" applyProtection="1"/>
    <xf numFmtId="3" fontId="5" fillId="20" borderId="118" xfId="6" applyNumberFormat="1" applyFont="1" applyFill="1" applyBorder="1" applyAlignment="1" applyProtection="1">
      <alignment horizontal="left" vertical="top" wrapText="1"/>
    </xf>
    <xf numFmtId="3" fontId="5" fillId="20" borderId="88" xfId="6" applyNumberFormat="1" applyFont="1" applyFill="1" applyBorder="1" applyAlignment="1" applyProtection="1">
      <alignment horizontal="left" vertical="top" wrapText="1"/>
    </xf>
    <xf numFmtId="3" fontId="5" fillId="20" borderId="60" xfId="6" applyNumberFormat="1" applyFont="1" applyFill="1" applyBorder="1" applyAlignment="1" applyProtection="1">
      <alignment horizontal="left"/>
    </xf>
    <xf numFmtId="3" fontId="5" fillId="20" borderId="60" xfId="6" quotePrefix="1" applyNumberFormat="1" applyFont="1" applyFill="1" applyBorder="1" applyAlignment="1" applyProtection="1">
      <alignment horizontal="left" vertical="top"/>
    </xf>
    <xf numFmtId="0" fontId="3" fillId="20" borderId="42" xfId="6" applyFont="1" applyFill="1" applyBorder="1" applyAlignment="1" applyProtection="1">
      <alignment horizontal="center" wrapText="1"/>
    </xf>
    <xf numFmtId="3" fontId="3" fillId="20" borderId="90" xfId="6" applyNumberFormat="1" applyFont="1" applyFill="1" applyBorder="1" applyAlignment="1" applyProtection="1">
      <alignment horizontal="center" wrapText="1"/>
    </xf>
    <xf numFmtId="3" fontId="5" fillId="20" borderId="191" xfId="6" applyNumberFormat="1" applyFont="1" applyFill="1" applyBorder="1" applyProtection="1"/>
    <xf numFmtId="3" fontId="5" fillId="20" borderId="0" xfId="6" applyNumberFormat="1" applyFont="1" applyFill="1" applyBorder="1" applyAlignment="1" applyProtection="1">
      <alignment vertical="center"/>
    </xf>
    <xf numFmtId="3" fontId="3" fillId="20" borderId="191" xfId="0" applyNumberFormat="1" applyFont="1" applyFill="1" applyBorder="1" applyAlignment="1" applyProtection="1"/>
    <xf numFmtId="49" fontId="3" fillId="20" borderId="2" xfId="0" applyNumberFormat="1" applyFont="1" applyFill="1" applyBorder="1" applyAlignment="1" applyProtection="1">
      <alignment horizontal="left" vertical="top" wrapText="1"/>
    </xf>
    <xf numFmtId="49" fontId="3" fillId="20" borderId="58" xfId="0" applyNumberFormat="1" applyFont="1" applyFill="1" applyBorder="1" applyAlignment="1" applyProtection="1">
      <alignment horizontal="center"/>
    </xf>
    <xf numFmtId="2" fontId="3" fillId="20" borderId="11" xfId="0" applyNumberFormat="1" applyFont="1" applyFill="1" applyBorder="1" applyAlignment="1" applyProtection="1">
      <alignment horizontal="left"/>
    </xf>
    <xf numFmtId="2" fontId="3" fillId="20" borderId="128" xfId="0" applyNumberFormat="1" applyFont="1" applyFill="1" applyBorder="1" applyAlignment="1" applyProtection="1">
      <alignment horizontal="left"/>
    </xf>
    <xf numFmtId="3" fontId="2" fillId="0" borderId="124" xfId="0" applyNumberFormat="1" applyFont="1" applyFill="1" applyBorder="1" applyAlignment="1" applyProtection="1">
      <alignment horizontal="right"/>
      <protection locked="0"/>
    </xf>
    <xf numFmtId="49" fontId="3" fillId="0" borderId="124" xfId="0" applyNumberFormat="1" applyFont="1" applyFill="1" applyBorder="1" applyAlignment="1" applyProtection="1">
      <alignment horizontal="center"/>
    </xf>
    <xf numFmtId="0" fontId="3" fillId="0" borderId="124" xfId="0" applyFont="1" applyFill="1" applyBorder="1" applyProtection="1"/>
    <xf numFmtId="0" fontId="1" fillId="0" borderId="124" xfId="0" applyFont="1" applyFill="1" applyBorder="1" applyProtection="1"/>
    <xf numFmtId="3" fontId="5" fillId="20" borderId="219" xfId="6" applyNumberFormat="1" applyFont="1" applyFill="1" applyBorder="1" applyAlignment="1" applyProtection="1">
      <alignment horizontal="left" vertical="center" wrapText="1"/>
    </xf>
    <xf numFmtId="0" fontId="127" fillId="20" borderId="2" xfId="6" applyFont="1" applyFill="1" applyBorder="1" applyAlignment="1" applyProtection="1">
      <alignment horizontal="left"/>
    </xf>
    <xf numFmtId="49" fontId="100" fillId="20" borderId="22" xfId="0" applyNumberFormat="1" applyFont="1" applyFill="1" applyBorder="1" applyAlignment="1" applyProtection="1">
      <alignment horizontal="center"/>
    </xf>
    <xf numFmtId="0" fontId="100" fillId="20" borderId="24" xfId="0" applyFont="1" applyFill="1" applyBorder="1" applyAlignment="1" applyProtection="1">
      <alignment horizontal="center"/>
    </xf>
    <xf numFmtId="49" fontId="127" fillId="20" borderId="22" xfId="6" applyNumberFormat="1" applyFont="1" applyFill="1" applyBorder="1" applyAlignment="1" applyProtection="1">
      <alignment horizontal="center"/>
    </xf>
    <xf numFmtId="49" fontId="127" fillId="20" borderId="24" xfId="6" applyNumberFormat="1" applyFont="1" applyFill="1" applyBorder="1" applyAlignment="1" applyProtection="1">
      <alignment horizontal="center"/>
    </xf>
    <xf numFmtId="49" fontId="127" fillId="20" borderId="142" xfId="0" applyNumberFormat="1" applyFont="1" applyFill="1" applyBorder="1" applyAlignment="1" applyProtection="1">
      <alignment horizontal="center"/>
    </xf>
    <xf numFmtId="49" fontId="127" fillId="20" borderId="146" xfId="6" applyNumberFormat="1" applyFont="1" applyFill="1" applyBorder="1" applyAlignment="1" applyProtection="1">
      <alignment horizontal="center"/>
    </xf>
    <xf numFmtId="0" fontId="128" fillId="20" borderId="9" xfId="0" applyFont="1" applyFill="1" applyBorder="1" applyAlignment="1" applyProtection="1">
      <alignment horizontal="left"/>
    </xf>
    <xf numFmtId="0" fontId="127" fillId="20" borderId="5" xfId="0" applyFont="1" applyFill="1" applyBorder="1" applyAlignment="1" applyProtection="1">
      <alignment horizontal="left"/>
    </xf>
    <xf numFmtId="3" fontId="2" fillId="21" borderId="20" xfId="0" applyNumberFormat="1" applyFont="1" applyFill="1" applyBorder="1" applyProtection="1"/>
    <xf numFmtId="0" fontId="127" fillId="20" borderId="25" xfId="0" applyFont="1" applyFill="1" applyBorder="1" applyAlignment="1" applyProtection="1">
      <alignment horizontal="left"/>
    </xf>
    <xf numFmtId="3" fontId="2" fillId="9" borderId="181" xfId="0" applyNumberFormat="1" applyFont="1" applyFill="1" applyBorder="1" applyProtection="1"/>
    <xf numFmtId="3" fontId="2" fillId="20" borderId="32" xfId="0" applyNumberFormat="1" applyFont="1" applyFill="1" applyBorder="1" applyAlignment="1" applyProtection="1">
      <alignment horizontal="right"/>
    </xf>
    <xf numFmtId="3" fontId="2" fillId="0" borderId="19" xfId="0" applyNumberFormat="1" applyFont="1" applyFill="1" applyBorder="1" applyProtection="1">
      <protection locked="0"/>
    </xf>
    <xf numFmtId="3" fontId="2" fillId="0" borderId="26" xfId="0" applyNumberFormat="1" applyFont="1" applyFill="1" applyBorder="1" applyProtection="1">
      <protection locked="0"/>
    </xf>
    <xf numFmtId="0" fontId="61" fillId="20" borderId="27" xfId="0" applyFont="1" applyFill="1" applyBorder="1" applyAlignment="1">
      <alignment horizontal="right" wrapText="1"/>
    </xf>
    <xf numFmtId="0" fontId="116" fillId="20" borderId="27" xfId="0" applyFont="1" applyFill="1" applyBorder="1" applyAlignment="1" applyProtection="1"/>
    <xf numFmtId="0" fontId="0" fillId="20" borderId="0" xfId="0" applyFill="1" applyAlignment="1"/>
    <xf numFmtId="0" fontId="127" fillId="20" borderId="0" xfId="0" applyFont="1" applyFill="1" applyAlignment="1">
      <alignment wrapText="1"/>
    </xf>
    <xf numFmtId="0" fontId="127" fillId="20" borderId="215" xfId="0" applyFont="1" applyFill="1" applyBorder="1" applyAlignment="1">
      <alignment wrapText="1"/>
    </xf>
    <xf numFmtId="0" fontId="129" fillId="20" borderId="0" xfId="0" applyFont="1" applyFill="1" applyAlignment="1">
      <alignment vertical="top" wrapText="1"/>
    </xf>
    <xf numFmtId="0" fontId="129" fillId="20" borderId="0" xfId="0" applyFont="1" applyFill="1" applyAlignment="1">
      <alignment wrapText="1"/>
    </xf>
    <xf numFmtId="0" fontId="128" fillId="20" borderId="0" xfId="0" applyFont="1" applyFill="1" applyAlignment="1">
      <alignment wrapText="1"/>
    </xf>
    <xf numFmtId="0" fontId="109" fillId="20" borderId="0" xfId="0" applyFont="1" applyFill="1" applyBorder="1" applyAlignment="1" applyProtection="1">
      <alignment wrapText="1"/>
    </xf>
    <xf numFmtId="0" fontId="0" fillId="20" borderId="0" xfId="0" applyFill="1" applyAlignment="1">
      <alignment wrapText="1"/>
    </xf>
    <xf numFmtId="0" fontId="0" fillId="20" borderId="0" xfId="0" applyFill="1" applyAlignment="1">
      <alignment horizontal="left" vertical="top" wrapText="1"/>
    </xf>
    <xf numFmtId="0" fontId="127" fillId="20" borderId="39" xfId="0" applyFont="1" applyFill="1" applyBorder="1" applyAlignment="1">
      <alignment wrapText="1"/>
    </xf>
    <xf numFmtId="0" fontId="7" fillId="20" borderId="0" xfId="0" applyFont="1" applyFill="1" applyAlignment="1">
      <alignment wrapText="1"/>
    </xf>
    <xf numFmtId="0" fontId="34" fillId="0" borderId="0" xfId="0" quotePrefix="1" applyFont="1" applyFill="1" applyProtection="1"/>
    <xf numFmtId="0" fontId="99" fillId="0" borderId="0" xfId="0" applyFont="1" applyFill="1" applyAlignment="1" applyProtection="1">
      <alignment wrapText="1"/>
    </xf>
    <xf numFmtId="0" fontId="110" fillId="0" borderId="0" xfId="0" applyFont="1" applyFill="1" applyAlignment="1" applyProtection="1">
      <alignment vertical="top" wrapText="1"/>
    </xf>
    <xf numFmtId="1" fontId="109" fillId="0" borderId="58" xfId="0" applyNumberFormat="1" applyFont="1" applyFill="1" applyBorder="1" applyAlignment="1" applyProtection="1">
      <alignment horizontal="left"/>
    </xf>
    <xf numFmtId="0" fontId="109" fillId="0" borderId="0" xfId="0" applyNumberFormat="1" applyFont="1" applyFill="1" applyBorder="1" applyAlignment="1" applyProtection="1">
      <alignment horizontal="left" wrapText="1"/>
    </xf>
    <xf numFmtId="0" fontId="125" fillId="0" borderId="0" xfId="0" applyFont="1" applyFill="1" applyBorder="1" applyProtection="1"/>
    <xf numFmtId="3" fontId="34" fillId="0" borderId="56" xfId="6" quotePrefix="1" applyNumberFormat="1" applyFont="1" applyFill="1" applyBorder="1" applyAlignment="1" applyProtection="1">
      <alignment horizontal="left"/>
    </xf>
    <xf numFmtId="3" fontId="126" fillId="0" borderId="73" xfId="6" quotePrefix="1" applyNumberFormat="1" applyFont="1" applyFill="1" applyBorder="1" applyAlignment="1" applyProtection="1">
      <alignment horizontal="left"/>
    </xf>
    <xf numFmtId="3" fontId="126" fillId="0" borderId="75" xfId="6" quotePrefix="1" applyNumberFormat="1" applyFont="1" applyFill="1" applyBorder="1" applyAlignment="1" applyProtection="1">
      <alignment horizontal="left"/>
    </xf>
    <xf numFmtId="0" fontId="48" fillId="0" borderId="75" xfId="6" applyFont="1" applyFill="1" applyBorder="1" applyProtection="1"/>
    <xf numFmtId="0" fontId="48" fillId="0" borderId="123" xfId="6" applyFont="1" applyFill="1" applyBorder="1" applyProtection="1"/>
    <xf numFmtId="3" fontId="34" fillId="0" borderId="73" xfId="6" quotePrefix="1" applyNumberFormat="1" applyFont="1" applyFill="1" applyBorder="1" applyAlignment="1" applyProtection="1">
      <alignment horizontal="left"/>
    </xf>
    <xf numFmtId="0" fontId="36" fillId="0" borderId="75" xfId="6" applyFont="1" applyFill="1" applyBorder="1" applyProtection="1"/>
    <xf numFmtId="0" fontId="36" fillId="0" borderId="73" xfId="6" applyFont="1" applyFill="1" applyBorder="1" applyProtection="1"/>
    <xf numFmtId="3" fontId="34" fillId="0" borderId="77" xfId="6" quotePrefix="1" applyNumberFormat="1" applyFont="1" applyFill="1" applyBorder="1" applyAlignment="1" applyProtection="1">
      <alignment horizontal="left"/>
    </xf>
    <xf numFmtId="0" fontId="109" fillId="0" borderId="0" xfId="0" applyFont="1" applyFill="1" applyAlignment="1" applyProtection="1"/>
    <xf numFmtId="49" fontId="127" fillId="20" borderId="7" xfId="0" applyNumberFormat="1" applyFont="1" applyFill="1" applyBorder="1" applyAlignment="1" applyProtection="1">
      <alignment horizontal="center"/>
    </xf>
    <xf numFmtId="0" fontId="110" fillId="0" borderId="0" xfId="0" applyFont="1" applyFill="1" applyAlignment="1" applyProtection="1">
      <alignment horizontal="right" vertical="top" wrapText="1"/>
    </xf>
    <xf numFmtId="3" fontId="2" fillId="0" borderId="32" xfId="0" applyNumberFormat="1" applyFont="1" applyFill="1" applyBorder="1" applyProtection="1">
      <protection locked="0"/>
    </xf>
    <xf numFmtId="49" fontId="3" fillId="20" borderId="42" xfId="0" applyNumberFormat="1" applyFont="1" applyFill="1" applyBorder="1" applyAlignment="1" applyProtection="1">
      <alignment horizontal="center"/>
    </xf>
    <xf numFmtId="49" fontId="127" fillId="20" borderId="2" xfId="0" applyNumberFormat="1" applyFont="1" applyFill="1" applyBorder="1" applyAlignment="1" applyProtection="1">
      <alignment horizontal="center" vertical="top" wrapText="1"/>
    </xf>
    <xf numFmtId="0" fontId="3" fillId="20" borderId="60" xfId="6" applyFont="1" applyFill="1" applyBorder="1" applyAlignment="1" applyProtection="1">
      <alignment horizontal="left" wrapText="1"/>
    </xf>
    <xf numFmtId="0" fontId="134" fillId="0" borderId="0" xfId="0" applyFont="1" applyFill="1" applyBorder="1" applyAlignment="1" applyProtection="1">
      <alignment horizontal="left" vertical="top"/>
    </xf>
    <xf numFmtId="0" fontId="0" fillId="0" borderId="57" xfId="0" applyFill="1" applyBorder="1" applyAlignment="1"/>
    <xf numFmtId="0" fontId="0" fillId="0" borderId="0" xfId="0" applyFill="1" applyAlignment="1"/>
    <xf numFmtId="3" fontId="13" fillId="0" borderId="44" xfId="0" applyNumberFormat="1" applyFont="1" applyFill="1" applyBorder="1" applyAlignment="1" applyProtection="1">
      <alignment horizontal="right"/>
      <protection locked="0"/>
    </xf>
    <xf numFmtId="0" fontId="125" fillId="2" borderId="0" xfId="0" applyFont="1" applyFill="1" applyProtection="1"/>
    <xf numFmtId="0" fontId="136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3" fontId="109" fillId="0" borderId="0" xfId="0" applyNumberFormat="1" applyFont="1" applyFill="1" applyBorder="1" applyProtection="1"/>
    <xf numFmtId="0" fontId="34" fillId="0" borderId="0" xfId="0" applyFont="1" applyFill="1" applyAlignment="1" applyProtection="1">
      <alignment horizontal="left" vertical="top"/>
    </xf>
    <xf numFmtId="0" fontId="110" fillId="0" borderId="0" xfId="0" applyFont="1" applyFill="1" applyAlignment="1" applyProtection="1">
      <alignment horizontal="right"/>
    </xf>
    <xf numFmtId="0" fontId="110" fillId="0" borderId="0" xfId="0" applyFont="1" applyFill="1" applyAlignment="1" applyProtection="1">
      <alignment horizontal="left" vertical="top" wrapText="1"/>
    </xf>
    <xf numFmtId="3" fontId="5" fillId="20" borderId="15" xfId="6" applyNumberFormat="1" applyFont="1" applyFill="1" applyBorder="1" applyAlignment="1" applyProtection="1">
      <alignment horizontal="left"/>
    </xf>
    <xf numFmtId="3" fontId="5" fillId="20" borderId="15" xfId="6" applyNumberFormat="1" applyFont="1" applyFill="1" applyBorder="1" applyAlignment="1" applyProtection="1">
      <alignment horizontal="left" vertical="center"/>
    </xf>
    <xf numFmtId="3" fontId="128" fillId="20" borderId="15" xfId="6" applyNumberFormat="1" applyFont="1" applyFill="1" applyBorder="1" applyAlignment="1" applyProtection="1">
      <alignment horizontal="left" vertical="top" wrapText="1"/>
    </xf>
    <xf numFmtId="0" fontId="109" fillId="0" borderId="0" xfId="0" applyFont="1" applyFill="1" applyBorder="1" applyAlignment="1" applyProtection="1">
      <alignment vertical="top"/>
    </xf>
    <xf numFmtId="0" fontId="125" fillId="0" borderId="0" xfId="0" applyFont="1" applyFill="1" applyBorder="1" applyAlignment="1" applyProtection="1">
      <alignment vertical="top"/>
    </xf>
    <xf numFmtId="0" fontId="136" fillId="0" borderId="0" xfId="0" applyFont="1" applyAlignment="1">
      <alignment wrapText="1"/>
    </xf>
    <xf numFmtId="3" fontId="137" fillId="0" borderId="0" xfId="0" applyNumberFormat="1" applyFont="1" applyFill="1" applyBorder="1" applyProtection="1"/>
    <xf numFmtId="0" fontId="0" fillId="0" borderId="0" xfId="0" applyFill="1" applyBorder="1" applyAlignment="1">
      <alignment horizontal="left" wrapText="1"/>
    </xf>
    <xf numFmtId="3" fontId="2" fillId="33" borderId="5" xfId="0" applyNumberFormat="1" applyFont="1" applyFill="1" applyBorder="1" applyProtection="1">
      <protection locked="0"/>
    </xf>
    <xf numFmtId="3" fontId="2" fillId="33" borderId="19" xfId="0" applyNumberFormat="1" applyFont="1" applyFill="1" applyBorder="1" applyProtection="1">
      <protection locked="0"/>
    </xf>
    <xf numFmtId="1" fontId="3" fillId="20" borderId="2" xfId="0" applyNumberFormat="1" applyFont="1" applyFill="1" applyBorder="1" applyAlignment="1" applyProtection="1">
      <alignment horizontal="center" vertical="center" wrapText="1"/>
    </xf>
    <xf numFmtId="0" fontId="3" fillId="20" borderId="2" xfId="0" applyFont="1" applyFill="1" applyBorder="1" applyAlignment="1" applyProtection="1">
      <alignment horizontal="left" vertical="center" wrapText="1"/>
    </xf>
    <xf numFmtId="0" fontId="5" fillId="20" borderId="25" xfId="0" applyFont="1" applyFill="1" applyBorder="1" applyAlignment="1" applyProtection="1">
      <alignment horizontal="left" vertical="center" wrapText="1"/>
    </xf>
    <xf numFmtId="0" fontId="34" fillId="0" borderId="0" xfId="0" applyFont="1" applyFill="1" applyAlignment="1" applyProtection="1">
      <alignment vertical="top" wrapText="1"/>
    </xf>
    <xf numFmtId="3" fontId="2" fillId="2" borderId="44" xfId="0" applyNumberFormat="1" applyFont="1" applyFill="1" applyBorder="1" applyAlignment="1" applyProtection="1">
      <alignment horizontal="right"/>
      <protection locked="0"/>
    </xf>
    <xf numFmtId="0" fontId="53" fillId="2" borderId="0" xfId="0" applyFont="1" applyFill="1" applyAlignment="1" applyProtection="1"/>
    <xf numFmtId="0" fontId="3" fillId="20" borderId="9" xfId="0" applyFont="1" applyFill="1" applyBorder="1" applyAlignment="1" applyProtection="1">
      <alignment horizontal="center" wrapText="1"/>
    </xf>
    <xf numFmtId="0" fontId="3" fillId="20" borderId="169" xfId="0" applyNumberFormat="1" applyFont="1" applyFill="1" applyBorder="1" applyAlignment="1" applyProtection="1">
      <alignment horizontal="center" vertical="top" wrapText="1"/>
    </xf>
    <xf numFmtId="49" fontId="115" fillId="20" borderId="5" xfId="0" applyNumberFormat="1" applyFont="1" applyFill="1" applyBorder="1" applyAlignment="1" applyProtection="1">
      <alignment horizontal="center"/>
    </xf>
    <xf numFmtId="49" fontId="3" fillId="20" borderId="98" xfId="0" applyNumberFormat="1" applyFont="1" applyFill="1" applyBorder="1" applyAlignment="1" applyProtection="1">
      <alignment horizontal="left"/>
    </xf>
    <xf numFmtId="49" fontId="3" fillId="20" borderId="116" xfId="0" applyNumberFormat="1" applyFont="1" applyFill="1" applyBorder="1" applyAlignment="1" applyProtection="1">
      <alignment horizontal="left"/>
    </xf>
    <xf numFmtId="49" fontId="3" fillId="20" borderId="12" xfId="0" applyNumberFormat="1" applyFont="1" applyFill="1" applyBorder="1" applyAlignment="1" applyProtection="1">
      <alignment horizontal="left" vertical="top" wrapText="1"/>
    </xf>
    <xf numFmtId="0" fontId="3" fillId="20" borderId="8" xfId="0" applyFont="1" applyFill="1" applyBorder="1" applyAlignment="1" applyProtection="1">
      <alignment vertical="top" wrapText="1"/>
    </xf>
    <xf numFmtId="2" fontId="3" fillId="20" borderId="172" xfId="0" applyNumberFormat="1" applyFont="1" applyFill="1" applyBorder="1" applyAlignment="1" applyProtection="1">
      <alignment horizontal="left"/>
    </xf>
    <xf numFmtId="49" fontId="3" fillId="20" borderId="220" xfId="0" applyNumberFormat="1" applyFont="1" applyFill="1" applyBorder="1" applyAlignment="1" applyProtection="1">
      <alignment horizontal="left"/>
    </xf>
    <xf numFmtId="0" fontId="49" fillId="20" borderId="64" xfId="0" applyFont="1" applyFill="1" applyBorder="1" applyProtection="1"/>
    <xf numFmtId="165" fontId="9" fillId="2" borderId="0" xfId="0" applyNumberFormat="1" applyFont="1" applyFill="1" applyBorder="1" applyAlignment="1" applyProtection="1">
      <alignment horizontal="center" vertical="center"/>
    </xf>
    <xf numFmtId="49" fontId="8" fillId="0" borderId="229" xfId="0" applyNumberFormat="1" applyFont="1" applyFill="1" applyBorder="1" applyAlignment="1" applyProtection="1">
      <alignment horizontal="center"/>
    </xf>
    <xf numFmtId="49" fontId="8" fillId="0" borderId="229" xfId="0" applyNumberFormat="1" applyFont="1" applyFill="1" applyBorder="1" applyAlignment="1" applyProtection="1">
      <alignment horizontal="left"/>
    </xf>
    <xf numFmtId="3" fontId="2" fillId="0" borderId="229" xfId="0" applyNumberFormat="1" applyFont="1" applyFill="1" applyBorder="1" applyAlignment="1" applyProtection="1">
      <alignment horizontal="right"/>
    </xf>
    <xf numFmtId="3" fontId="3" fillId="20" borderId="44" xfId="6" applyNumberFormat="1" applyFont="1" applyFill="1" applyBorder="1" applyAlignment="1" applyProtection="1"/>
    <xf numFmtId="3" fontId="3" fillId="20" borderId="44" xfId="6" applyNumberFormat="1" applyFont="1" applyFill="1" applyBorder="1" applyAlignment="1" applyProtection="1">
      <alignment vertical="top" wrapText="1"/>
    </xf>
    <xf numFmtId="3" fontId="2" fillId="26" borderId="35" xfId="0" applyNumberFormat="1" applyFont="1" applyFill="1" applyBorder="1" applyAlignment="1" applyProtection="1"/>
    <xf numFmtId="3" fontId="2" fillId="26" borderId="2" xfId="0" applyNumberFormat="1" applyFont="1" applyFill="1" applyBorder="1" applyAlignment="1" applyProtection="1"/>
    <xf numFmtId="3" fontId="2" fillId="26" borderId="5" xfId="0" applyNumberFormat="1" applyFont="1" applyFill="1" applyBorder="1" applyAlignment="1" applyProtection="1"/>
    <xf numFmtId="0" fontId="3" fillId="20" borderId="35" xfId="0" applyFont="1" applyFill="1" applyBorder="1" applyProtection="1"/>
    <xf numFmtId="49" fontId="7" fillId="0" borderId="0" xfId="0" applyNumberFormat="1" applyFont="1" applyFill="1" applyBorder="1" applyAlignment="1" applyProtection="1">
      <alignment horizontal="center"/>
    </xf>
    <xf numFmtId="49" fontId="3" fillId="20" borderId="124" xfId="0" applyNumberFormat="1" applyFont="1" applyFill="1" applyBorder="1" applyAlignment="1" applyProtection="1">
      <alignment horizontal="left"/>
    </xf>
    <xf numFmtId="0" fontId="14" fillId="20" borderId="124" xfId="0" applyFont="1" applyFill="1" applyBorder="1" applyProtection="1"/>
    <xf numFmtId="49" fontId="3" fillId="20" borderId="1" xfId="0" applyNumberFormat="1" applyFont="1" applyFill="1" applyBorder="1" applyAlignment="1" applyProtection="1">
      <alignment horizontal="left"/>
    </xf>
    <xf numFmtId="0" fontId="8" fillId="20" borderId="35" xfId="0" applyFont="1" applyFill="1" applyBorder="1" applyProtection="1"/>
    <xf numFmtId="49" fontId="3" fillId="20" borderId="12" xfId="0" applyNumberFormat="1" applyFont="1" applyFill="1" applyBorder="1" applyAlignment="1" applyProtection="1">
      <alignment horizontal="right" vertical="center" wrapText="1"/>
    </xf>
    <xf numFmtId="0" fontId="3" fillId="20" borderId="8" xfId="0" applyFont="1" applyFill="1" applyBorder="1" applyAlignment="1" applyProtection="1">
      <alignment horizontal="left" vertical="top" wrapText="1"/>
    </xf>
    <xf numFmtId="0" fontId="53" fillId="0" borderId="0" xfId="0" applyFont="1" applyFill="1" applyAlignment="1" applyProtection="1">
      <alignment vertical="top"/>
    </xf>
    <xf numFmtId="1" fontId="5" fillId="0" borderId="0" xfId="0" applyNumberFormat="1" applyFont="1" applyFill="1" applyBorder="1" applyAlignment="1" applyProtection="1">
      <alignment horizontal="left" wrapText="1"/>
    </xf>
    <xf numFmtId="1" fontId="3" fillId="0" borderId="0" xfId="0" applyNumberFormat="1" applyFont="1" applyFill="1" applyBorder="1" applyAlignment="1" applyProtection="1">
      <alignment horizontal="center" wrapText="1"/>
    </xf>
    <xf numFmtId="0" fontId="109" fillId="0" borderId="0" xfId="0" applyNumberFormat="1" applyFont="1" applyFill="1" applyAlignment="1" applyProtection="1"/>
    <xf numFmtId="3" fontId="109" fillId="0" borderId="0" xfId="0" applyNumberFormat="1" applyFont="1" applyFill="1" applyBorder="1" applyAlignment="1" applyProtection="1">
      <alignment horizontal="left" wrapText="1"/>
    </xf>
    <xf numFmtId="1" fontId="3" fillId="20" borderId="42" xfId="0" applyNumberFormat="1" applyFont="1" applyFill="1" applyBorder="1" applyAlignment="1" applyProtection="1">
      <alignment horizontal="left" vertical="top" wrapText="1"/>
    </xf>
    <xf numFmtId="1" fontId="15" fillId="20" borderId="118" xfId="0" applyNumberFormat="1" applyFont="1" applyFill="1" applyBorder="1" applyAlignment="1" applyProtection="1">
      <alignment horizontal="center"/>
    </xf>
    <xf numFmtId="0" fontId="15" fillId="20" borderId="118" xfId="0" applyFont="1" applyFill="1" applyBorder="1" applyAlignment="1" applyProtection="1">
      <alignment horizontal="center"/>
    </xf>
    <xf numFmtId="49" fontId="3" fillId="20" borderId="5" xfId="0" applyNumberFormat="1" applyFont="1" applyFill="1" applyBorder="1" applyAlignment="1" applyProtection="1">
      <alignment horizontal="left"/>
    </xf>
    <xf numFmtId="0" fontId="15" fillId="20" borderId="72" xfId="0" applyFont="1" applyFill="1" applyBorder="1" applyAlignment="1" applyProtection="1">
      <alignment horizontal="center" vertical="center"/>
    </xf>
    <xf numFmtId="0" fontId="15" fillId="20" borderId="190" xfId="0" applyFont="1" applyFill="1" applyBorder="1" applyAlignment="1" applyProtection="1">
      <alignment horizontal="center" vertical="center" wrapText="1"/>
    </xf>
    <xf numFmtId="168" fontId="3" fillId="20" borderId="62" xfId="6" applyNumberFormat="1" applyFont="1" applyFill="1" applyBorder="1" applyAlignment="1" applyProtection="1">
      <alignment vertical="top"/>
    </xf>
    <xf numFmtId="168" fontId="3" fillId="20" borderId="177" xfId="0" applyNumberFormat="1" applyFont="1" applyFill="1" applyBorder="1" applyAlignment="1" applyProtection="1">
      <alignment vertical="top"/>
    </xf>
    <xf numFmtId="0" fontId="2" fillId="0" borderId="0" xfId="0" applyFont="1" applyBorder="1" applyAlignment="1" applyProtection="1">
      <alignment vertical="top" wrapText="1"/>
      <protection locked="0"/>
    </xf>
    <xf numFmtId="3" fontId="13" fillId="20" borderId="69" xfId="0" applyNumberFormat="1" applyFont="1" applyFill="1" applyBorder="1" applyAlignment="1" applyProtection="1">
      <alignment horizontal="right"/>
    </xf>
    <xf numFmtId="49" fontId="3" fillId="20" borderId="7" xfId="0" applyNumberFormat="1" applyFont="1" applyFill="1" applyBorder="1" applyAlignment="1" applyProtection="1">
      <alignment horizontal="center"/>
    </xf>
    <xf numFmtId="0" fontId="3" fillId="20" borderId="8" xfId="0" applyFont="1" applyFill="1" applyBorder="1" applyAlignment="1" applyProtection="1">
      <alignment horizontal="left"/>
    </xf>
    <xf numFmtId="49" fontId="3" fillId="20" borderId="76" xfId="0" applyNumberFormat="1" applyFont="1" applyFill="1" applyBorder="1" applyAlignment="1" applyProtection="1">
      <alignment wrapText="1"/>
    </xf>
    <xf numFmtId="49" fontId="3" fillId="20" borderId="11" xfId="0" applyNumberFormat="1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/>
    </xf>
    <xf numFmtId="49" fontId="8" fillId="20" borderId="197" xfId="0" applyNumberFormat="1" applyFont="1" applyFill="1" applyBorder="1" applyAlignment="1" applyProtection="1">
      <alignment horizontal="center"/>
    </xf>
    <xf numFmtId="49" fontId="8" fillId="20" borderId="198" xfId="0" applyNumberFormat="1" applyFont="1" applyFill="1" applyBorder="1" applyAlignment="1" applyProtection="1">
      <alignment horizontal="left"/>
    </xf>
    <xf numFmtId="3" fontId="2" fillId="2" borderId="196" xfId="0" applyNumberFormat="1" applyFont="1" applyFill="1" applyBorder="1" applyAlignment="1" applyProtection="1">
      <alignment horizontal="right"/>
      <protection locked="0"/>
    </xf>
    <xf numFmtId="3" fontId="2" fillId="2" borderId="150" xfId="0" applyNumberFormat="1" applyFont="1" applyFill="1" applyBorder="1" applyAlignment="1" applyProtection="1">
      <alignment horizontal="right"/>
      <protection locked="0"/>
    </xf>
    <xf numFmtId="3" fontId="2" fillId="20" borderId="192" xfId="0" applyNumberFormat="1" applyFont="1" applyFill="1" applyBorder="1" applyAlignment="1" applyProtection="1">
      <alignment horizontal="right"/>
    </xf>
    <xf numFmtId="0" fontId="109" fillId="2" borderId="0" xfId="0" applyFont="1" applyFill="1" applyAlignment="1" applyProtection="1">
      <alignment wrapText="1"/>
    </xf>
    <xf numFmtId="167" fontId="109" fillId="0" borderId="0" xfId="0" applyNumberFormat="1" applyFont="1" applyFill="1" applyAlignment="1" applyProtection="1"/>
    <xf numFmtId="0" fontId="44" fillId="0" borderId="0" xfId="0" applyNumberFormat="1" applyFont="1" applyFill="1" applyBorder="1" applyAlignment="1" applyProtection="1">
      <alignment horizontal="right"/>
    </xf>
    <xf numFmtId="3" fontId="34" fillId="0" borderId="126" xfId="0" applyNumberFormat="1" applyFont="1" applyFill="1" applyBorder="1" applyProtection="1"/>
    <xf numFmtId="0" fontId="5" fillId="20" borderId="24" xfId="0" applyFont="1" applyFill="1" applyBorder="1" applyAlignment="1" applyProtection="1">
      <alignment vertical="top"/>
    </xf>
    <xf numFmtId="0" fontId="3" fillId="20" borderId="8" xfId="0" applyFont="1" applyFill="1" applyBorder="1" applyAlignment="1" applyProtection="1">
      <alignment horizontal="center" wrapText="1"/>
    </xf>
    <xf numFmtId="0" fontId="3" fillId="20" borderId="55" xfId="0" applyFont="1" applyFill="1" applyBorder="1" applyAlignment="1" applyProtection="1">
      <alignment horizontal="center" wrapText="1"/>
    </xf>
    <xf numFmtId="1" fontId="3" fillId="20" borderId="25" xfId="0" applyNumberFormat="1" applyFont="1" applyFill="1" applyBorder="1" applyAlignment="1" applyProtection="1">
      <alignment horizontal="center" wrapText="1"/>
    </xf>
    <xf numFmtId="1" fontId="3" fillId="0" borderId="0" xfId="0" applyNumberFormat="1" applyFont="1" applyFill="1" applyBorder="1" applyAlignment="1" applyProtection="1">
      <alignment horizontal="center" wrapText="1"/>
    </xf>
    <xf numFmtId="1" fontId="3" fillId="20" borderId="82" xfId="0" applyNumberFormat="1" applyFont="1" applyFill="1" applyBorder="1" applyAlignment="1" applyProtection="1">
      <alignment horizontal="center" wrapText="1"/>
    </xf>
    <xf numFmtId="3" fontId="13" fillId="0" borderId="229" xfId="0" applyNumberFormat="1" applyFont="1" applyFill="1" applyBorder="1" applyAlignment="1" applyProtection="1">
      <alignment horizontal="right"/>
    </xf>
    <xf numFmtId="0" fontId="3" fillId="0" borderId="227" xfId="0" applyFont="1" applyFill="1" applyBorder="1" applyAlignment="1" applyProtection="1">
      <alignment horizontal="center"/>
    </xf>
    <xf numFmtId="1" fontId="3" fillId="0" borderId="227" xfId="0" applyNumberFormat="1" applyFont="1" applyFill="1" applyBorder="1" applyAlignment="1" applyProtection="1">
      <alignment horizontal="center" wrapText="1"/>
    </xf>
    <xf numFmtId="1" fontId="3" fillId="0" borderId="227" xfId="0" applyNumberFormat="1" applyFont="1" applyFill="1" applyBorder="1" applyAlignment="1" applyProtection="1">
      <alignment horizontal="left"/>
    </xf>
    <xf numFmtId="0" fontId="3" fillId="0" borderId="229" xfId="0" applyFont="1" applyFill="1" applyBorder="1" applyAlignment="1" applyProtection="1">
      <alignment horizontal="center"/>
    </xf>
    <xf numFmtId="1" fontId="3" fillId="0" borderId="229" xfId="0" applyNumberFormat="1" applyFont="1" applyFill="1" applyBorder="1" applyAlignment="1" applyProtection="1">
      <alignment horizontal="center" wrapText="1"/>
    </xf>
    <xf numFmtId="1" fontId="3" fillId="0" borderId="229" xfId="0" applyNumberFormat="1" applyFont="1" applyFill="1" applyBorder="1" applyAlignment="1" applyProtection="1">
      <alignment horizontal="left"/>
    </xf>
    <xf numFmtId="0" fontId="3" fillId="20" borderId="82" xfId="0" applyFont="1" applyFill="1" applyBorder="1" applyAlignment="1" applyProtection="1">
      <alignment horizontal="left" wrapText="1"/>
    </xf>
    <xf numFmtId="0" fontId="3" fillId="20" borderId="21" xfId="0" applyNumberFormat="1" applyFont="1" applyFill="1" applyBorder="1" applyAlignment="1" applyProtection="1">
      <alignment horizontal="center"/>
    </xf>
    <xf numFmtId="0" fontId="3" fillId="20" borderId="2" xfId="0" applyNumberFormat="1" applyFont="1" applyFill="1" applyBorder="1" applyAlignment="1" applyProtection="1">
      <alignment horizontal="center"/>
    </xf>
    <xf numFmtId="0" fontId="5" fillId="20" borderId="15" xfId="0" applyNumberFormat="1" applyFont="1" applyFill="1" applyBorder="1" applyAlignment="1" applyProtection="1">
      <alignment horizontal="center"/>
    </xf>
    <xf numFmtId="0" fontId="3" fillId="20" borderId="5" xfId="0" applyNumberFormat="1" applyFont="1" applyFill="1" applyBorder="1" applyAlignment="1" applyProtection="1">
      <alignment horizontal="center"/>
    </xf>
    <xf numFmtId="0" fontId="8" fillId="20" borderId="2" xfId="0" applyNumberFormat="1" applyFont="1" applyFill="1" applyBorder="1" applyAlignment="1" applyProtection="1">
      <alignment horizontal="center"/>
    </xf>
    <xf numFmtId="0" fontId="14" fillId="20" borderId="2" xfId="0" applyNumberFormat="1" applyFont="1" applyFill="1" applyBorder="1" applyAlignment="1" applyProtection="1">
      <alignment horizontal="center"/>
    </xf>
    <xf numFmtId="0" fontId="3" fillId="20" borderId="129" xfId="0" applyNumberFormat="1" applyFont="1" applyFill="1" applyBorder="1" applyAlignment="1" applyProtection="1">
      <alignment horizontal="center"/>
    </xf>
    <xf numFmtId="0" fontId="14" fillId="20" borderId="13" xfId="0" applyNumberFormat="1" applyFont="1" applyFill="1" applyBorder="1" applyAlignment="1" applyProtection="1">
      <alignment horizontal="center"/>
    </xf>
    <xf numFmtId="0" fontId="3" fillId="20" borderId="127" xfId="0" applyNumberFormat="1" applyFont="1" applyFill="1" applyBorder="1" applyAlignment="1" applyProtection="1">
      <alignment horizontal="center"/>
    </xf>
    <xf numFmtId="0" fontId="3" fillId="20" borderId="13" xfId="0" applyNumberFormat="1" applyFont="1" applyFill="1" applyBorder="1" applyAlignment="1" applyProtection="1">
      <alignment horizontal="center"/>
    </xf>
    <xf numFmtId="0" fontId="8" fillId="20" borderId="98" xfId="0" applyNumberFormat="1" applyFont="1" applyFill="1" applyBorder="1" applyAlignment="1" applyProtection="1">
      <alignment horizontal="center"/>
    </xf>
    <xf numFmtId="0" fontId="8" fillId="20" borderId="118" xfId="0" applyNumberFormat="1" applyFont="1" applyFill="1" applyBorder="1" applyAlignment="1" applyProtection="1">
      <alignment horizontal="center"/>
    </xf>
    <xf numFmtId="0" fontId="5" fillId="20" borderId="21" xfId="0" applyNumberFormat="1" applyFont="1" applyFill="1" applyBorder="1" applyAlignment="1" applyProtection="1">
      <alignment horizontal="center"/>
    </xf>
    <xf numFmtId="0" fontId="3" fillId="20" borderId="24" xfId="0" applyNumberFormat="1" applyFont="1" applyFill="1" applyBorder="1" applyAlignment="1" applyProtection="1">
      <alignment horizontal="center"/>
    </xf>
    <xf numFmtId="0" fontId="3" fillId="20" borderId="146" xfId="0" applyNumberFormat="1" applyFont="1" applyFill="1" applyBorder="1" applyAlignment="1" applyProtection="1">
      <alignment horizontal="center"/>
    </xf>
    <xf numFmtId="0" fontId="3" fillId="20" borderId="22" xfId="0" applyNumberFormat="1" applyFont="1" applyFill="1" applyBorder="1" applyAlignment="1" applyProtection="1">
      <alignment horizontal="center"/>
    </xf>
    <xf numFmtId="0" fontId="8" fillId="20" borderId="36" xfId="0" applyNumberFormat="1" applyFont="1" applyFill="1" applyBorder="1" applyAlignment="1" applyProtection="1">
      <alignment horizontal="center"/>
    </xf>
    <xf numFmtId="0" fontId="8" fillId="20" borderId="127" xfId="0" applyNumberFormat="1" applyFont="1" applyFill="1" applyBorder="1" applyAlignment="1" applyProtection="1">
      <alignment horizontal="center"/>
    </xf>
    <xf numFmtId="0" fontId="116" fillId="20" borderId="127" xfId="0" applyNumberFormat="1" applyFont="1" applyFill="1" applyBorder="1" applyAlignment="1" applyProtection="1">
      <alignment horizontal="center"/>
    </xf>
    <xf numFmtId="0" fontId="8" fillId="20" borderId="37" xfId="0" applyNumberFormat="1" applyFont="1" applyFill="1" applyBorder="1" applyAlignment="1" applyProtection="1">
      <alignment horizontal="center"/>
    </xf>
    <xf numFmtId="0" fontId="11" fillId="20" borderId="58" xfId="0" applyNumberFormat="1" applyFont="1" applyFill="1" applyBorder="1" applyProtection="1"/>
    <xf numFmtId="0" fontId="3" fillId="20" borderId="131" xfId="0" applyNumberFormat="1" applyFont="1" applyFill="1" applyBorder="1" applyAlignment="1" applyProtection="1">
      <alignment horizontal="center"/>
    </xf>
    <xf numFmtId="0" fontId="8" fillId="20" borderId="130" xfId="0" applyNumberFormat="1" applyFont="1" applyFill="1" applyBorder="1" applyAlignment="1" applyProtection="1">
      <alignment horizontal="center"/>
    </xf>
    <xf numFmtId="0" fontId="104" fillId="20" borderId="21" xfId="0" applyNumberFormat="1" applyFont="1" applyFill="1" applyBorder="1" applyAlignment="1" applyProtection="1">
      <alignment horizontal="center"/>
    </xf>
    <xf numFmtId="49" fontId="3" fillId="20" borderId="24" xfId="6" applyNumberFormat="1" applyFont="1" applyFill="1" applyBorder="1" applyAlignment="1" applyProtection="1">
      <alignment horizontal="center"/>
    </xf>
    <xf numFmtId="3" fontId="109" fillId="2" borderId="0" xfId="0" applyNumberFormat="1" applyFont="1" applyFill="1" applyBorder="1" applyAlignment="1" applyProtection="1">
      <alignment horizontal="left"/>
      <protection locked="0"/>
    </xf>
    <xf numFmtId="166" fontId="2" fillId="20" borderId="52" xfId="0" applyNumberFormat="1" applyFont="1" applyFill="1" applyBorder="1" applyProtection="1"/>
    <xf numFmtId="166" fontId="2" fillId="20" borderId="59" xfId="0" applyNumberFormat="1" applyFont="1" applyFill="1" applyBorder="1" applyProtection="1"/>
    <xf numFmtId="3" fontId="13" fillId="2" borderId="227" xfId="0" applyNumberFormat="1" applyFont="1" applyFill="1" applyBorder="1" applyAlignment="1" applyProtection="1">
      <alignment horizontal="right"/>
    </xf>
    <xf numFmtId="3" fontId="13" fillId="20" borderId="26" xfId="0" applyNumberFormat="1" applyFont="1" applyFill="1" applyBorder="1" applyAlignment="1" applyProtection="1">
      <alignment horizontal="right"/>
      <protection locked="0"/>
    </xf>
    <xf numFmtId="49" fontId="8" fillId="20" borderId="170" xfId="0" applyNumberFormat="1" applyFont="1" applyFill="1" applyBorder="1" applyAlignment="1" applyProtection="1">
      <alignment horizontal="center"/>
    </xf>
    <xf numFmtId="49" fontId="3" fillId="20" borderId="136" xfId="0" applyNumberFormat="1" applyFont="1" applyFill="1" applyBorder="1" applyAlignment="1" applyProtection="1">
      <alignment horizontal="center" wrapText="1"/>
    </xf>
    <xf numFmtId="49" fontId="8" fillId="20" borderId="136" xfId="0" applyNumberFormat="1" applyFont="1" applyFill="1" applyBorder="1" applyAlignment="1" applyProtection="1">
      <alignment horizontal="left"/>
    </xf>
    <xf numFmtId="49" fontId="8" fillId="20" borderId="4" xfId="0" applyNumberFormat="1" applyFont="1" applyFill="1" applyBorder="1" applyAlignment="1" applyProtection="1">
      <alignment horizontal="center"/>
    </xf>
    <xf numFmtId="49" fontId="8" fillId="0" borderId="204" xfId="0" applyNumberFormat="1" applyFont="1" applyFill="1" applyBorder="1" applyAlignment="1" applyProtection="1">
      <alignment horizontal="left"/>
    </xf>
    <xf numFmtId="3" fontId="109" fillId="0" borderId="0" xfId="0" applyNumberFormat="1" applyFont="1" applyFill="1" applyBorder="1" applyProtection="1">
      <protection locked="0"/>
    </xf>
    <xf numFmtId="3" fontId="2" fillId="2" borderId="206" xfId="0" applyNumberFormat="1" applyFont="1" applyFill="1" applyBorder="1" applyAlignment="1" applyProtection="1">
      <alignment horizontal="right"/>
      <protection locked="0"/>
    </xf>
    <xf numFmtId="3" fontId="2" fillId="0" borderId="206" xfId="0" applyNumberFormat="1" applyFont="1" applyFill="1" applyBorder="1" applyProtection="1">
      <protection locked="0"/>
    </xf>
    <xf numFmtId="3" fontId="2" fillId="20" borderId="58" xfId="0" applyNumberFormat="1" applyFont="1" applyFill="1" applyBorder="1" applyAlignment="1" applyProtection="1">
      <alignment horizontal="right"/>
      <protection locked="0"/>
    </xf>
    <xf numFmtId="3" fontId="2" fillId="20" borderId="57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Fill="1" applyAlignment="1" applyProtection="1">
      <alignment vertical="top"/>
    </xf>
    <xf numFmtId="0" fontId="109" fillId="0" borderId="0" xfId="0" applyFont="1" applyFill="1" applyBorder="1" applyAlignment="1" applyProtection="1"/>
    <xf numFmtId="3" fontId="43" fillId="21" borderId="127" xfId="0" applyNumberFormat="1" applyFont="1" applyFill="1" applyBorder="1" applyAlignment="1" applyProtection="1"/>
    <xf numFmtId="3" fontId="43" fillId="21" borderId="6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left" vertical="center"/>
    </xf>
    <xf numFmtId="0" fontId="109" fillId="0" borderId="0" xfId="0" applyNumberFormat="1" applyFont="1" applyFill="1" applyBorder="1" applyAlignment="1" applyProtection="1">
      <alignment vertical="top" wrapText="1"/>
    </xf>
    <xf numFmtId="0" fontId="109" fillId="0" borderId="0" xfId="0" applyNumberFormat="1" applyFont="1" applyFill="1" applyBorder="1" applyAlignment="1" applyProtection="1">
      <alignment wrapText="1"/>
    </xf>
    <xf numFmtId="3" fontId="10" fillId="0" borderId="7" xfId="0" applyNumberFormat="1" applyFont="1" applyFill="1" applyBorder="1" applyAlignment="1" applyProtection="1">
      <alignment horizontal="right"/>
      <protection locked="0"/>
    </xf>
    <xf numFmtId="0" fontId="140" fillId="0" borderId="0" xfId="0" applyFont="1" applyFill="1" applyBorder="1" applyProtection="1"/>
    <xf numFmtId="3" fontId="109" fillId="0" borderId="0" xfId="0" applyNumberFormat="1" applyFont="1" applyFill="1" applyBorder="1" applyAlignment="1" applyProtection="1">
      <alignment horizontal="left" vertical="top" wrapText="1"/>
    </xf>
    <xf numFmtId="0" fontId="3" fillId="20" borderId="37" xfId="0" applyFont="1" applyFill="1" applyBorder="1" applyAlignment="1" applyProtection="1">
      <alignment horizontal="center"/>
    </xf>
    <xf numFmtId="0" fontId="8" fillId="20" borderId="230" xfId="0" applyFont="1" applyFill="1" applyBorder="1" applyAlignment="1" applyProtection="1">
      <alignment horizontal="center"/>
    </xf>
    <xf numFmtId="0" fontId="3" fillId="20" borderId="91" xfId="0" applyFont="1" applyFill="1" applyBorder="1" applyAlignment="1" applyProtection="1">
      <alignment horizontal="left" vertical="top" wrapText="1"/>
    </xf>
    <xf numFmtId="3" fontId="3" fillId="20" borderId="25" xfId="0" applyNumberFormat="1" applyFont="1" applyFill="1" applyBorder="1" applyProtection="1"/>
    <xf numFmtId="0" fontId="3" fillId="20" borderId="135" xfId="0" applyFont="1" applyFill="1" applyBorder="1" applyAlignment="1" applyProtection="1">
      <alignment horizontal="left" vertical="top" wrapText="1"/>
    </xf>
    <xf numFmtId="0" fontId="3" fillId="20" borderId="130" xfId="0" applyFont="1" applyFill="1" applyBorder="1" applyAlignment="1" applyProtection="1">
      <alignment horizontal="left" vertical="top" wrapText="1"/>
    </xf>
    <xf numFmtId="0" fontId="3" fillId="20" borderId="169" xfId="6" applyFont="1" applyFill="1" applyBorder="1" applyAlignment="1" applyProtection="1">
      <alignment vertical="top" wrapText="1"/>
    </xf>
    <xf numFmtId="3" fontId="3" fillId="20" borderId="190" xfId="0" applyNumberFormat="1" applyFont="1" applyFill="1" applyBorder="1" applyAlignment="1" applyProtection="1">
      <alignment vertical="top" wrapText="1"/>
    </xf>
    <xf numFmtId="0" fontId="0" fillId="0" borderId="0" xfId="0" applyFill="1" applyBorder="1" applyAlignment="1"/>
    <xf numFmtId="3" fontId="2" fillId="2" borderId="0" xfId="0" applyNumberFormat="1" applyFont="1" applyFill="1" applyBorder="1" applyProtection="1">
      <protection locked="0"/>
    </xf>
    <xf numFmtId="49" fontId="3" fillId="28" borderId="0" xfId="0" applyNumberFormat="1" applyFont="1" applyFill="1" applyBorder="1" applyAlignment="1" applyProtection="1">
      <alignment horizontal="center"/>
    </xf>
    <xf numFmtId="0" fontId="5" fillId="28" borderId="0" xfId="0" applyFont="1" applyFill="1" applyBorder="1" applyAlignment="1" applyProtection="1">
      <alignment horizontal="left"/>
    </xf>
    <xf numFmtId="49" fontId="3" fillId="20" borderId="115" xfId="0" applyNumberFormat="1" applyFont="1" applyFill="1" applyBorder="1" applyAlignment="1" applyProtection="1">
      <alignment horizontal="center"/>
    </xf>
    <xf numFmtId="3" fontId="2" fillId="3" borderId="155" xfId="0" applyNumberFormat="1" applyFont="1" applyFill="1" applyBorder="1" applyProtection="1"/>
    <xf numFmtId="49" fontId="3" fillId="20" borderId="15" xfId="0" applyNumberFormat="1" applyFont="1" applyFill="1" applyBorder="1" applyAlignment="1" applyProtection="1">
      <alignment horizontal="center"/>
    </xf>
    <xf numFmtId="166" fontId="3" fillId="20" borderId="15" xfId="0" applyNumberFormat="1" applyFont="1" applyFill="1" applyBorder="1" applyAlignment="1" applyProtection="1">
      <alignment horizontal="left"/>
    </xf>
    <xf numFmtId="49" fontId="3" fillId="20" borderId="68" xfId="0" applyNumberFormat="1" applyFont="1" applyFill="1" applyBorder="1" applyAlignment="1" applyProtection="1">
      <alignment horizontal="center"/>
    </xf>
    <xf numFmtId="3" fontId="2" fillId="2" borderId="189" xfId="0" applyNumberFormat="1" applyFont="1" applyFill="1" applyBorder="1" applyAlignment="1" applyProtection="1">
      <alignment horizontal="right"/>
      <protection locked="0"/>
    </xf>
    <xf numFmtId="3" fontId="2" fillId="2" borderId="95" xfId="0" applyNumberFormat="1" applyFont="1" applyFill="1" applyBorder="1" applyAlignment="1" applyProtection="1">
      <alignment horizontal="right"/>
      <protection locked="0"/>
    </xf>
    <xf numFmtId="0" fontId="34" fillId="0" borderId="158" xfId="0" applyFont="1" applyFill="1" applyBorder="1" applyProtection="1"/>
    <xf numFmtId="49" fontId="5" fillId="20" borderId="68" xfId="0" applyNumberFormat="1" applyFont="1" applyFill="1" applyBorder="1" applyAlignment="1" applyProtection="1">
      <alignment horizontal="center"/>
    </xf>
    <xf numFmtId="3" fontId="2" fillId="2" borderId="25" xfId="0" applyNumberFormat="1" applyFont="1" applyFill="1" applyBorder="1" applyAlignment="1" applyProtection="1">
      <alignment horizontal="right"/>
      <protection locked="0"/>
    </xf>
    <xf numFmtId="3" fontId="2" fillId="2" borderId="69" xfId="0" applyNumberFormat="1" applyFont="1" applyFill="1" applyBorder="1" applyAlignment="1" applyProtection="1">
      <alignment horizontal="right"/>
      <protection locked="0"/>
    </xf>
    <xf numFmtId="0" fontId="3" fillId="20" borderId="128" xfId="0" applyFont="1" applyFill="1" applyBorder="1" applyAlignment="1" applyProtection="1">
      <alignment horizontal="left"/>
    </xf>
    <xf numFmtId="0" fontId="9" fillId="2" borderId="227" xfId="0" applyFont="1" applyFill="1" applyBorder="1" applyProtection="1"/>
    <xf numFmtId="1" fontId="3" fillId="20" borderId="68" xfId="0" applyNumberFormat="1" applyFont="1" applyFill="1" applyBorder="1" applyAlignment="1" applyProtection="1">
      <alignment horizontal="center"/>
    </xf>
    <xf numFmtId="0" fontId="0" fillId="0" borderId="227" xfId="0" applyFill="1" applyBorder="1" applyProtection="1"/>
    <xf numFmtId="0" fontId="0" fillId="2" borderId="204" xfId="0" applyFill="1" applyBorder="1" applyProtection="1"/>
    <xf numFmtId="0" fontId="9" fillId="2" borderId="204" xfId="0" applyFont="1" applyFill="1" applyBorder="1" applyProtection="1"/>
    <xf numFmtId="3" fontId="13" fillId="2" borderId="167" xfId="0" applyNumberFormat="1" applyFont="1" applyFill="1" applyBorder="1" applyAlignment="1" applyProtection="1">
      <alignment horizontal="right"/>
      <protection locked="0"/>
    </xf>
    <xf numFmtId="3" fontId="2" fillId="2" borderId="71" xfId="0" applyNumberFormat="1" applyFont="1" applyFill="1" applyBorder="1" applyAlignment="1" applyProtection="1">
      <alignment horizontal="right"/>
      <protection locked="0"/>
    </xf>
    <xf numFmtId="3" fontId="43" fillId="0" borderId="58" xfId="0" applyNumberFormat="1" applyFont="1" applyFill="1" applyBorder="1" applyProtection="1"/>
    <xf numFmtId="3" fontId="43" fillId="20" borderId="69" xfId="0" applyNumberFormat="1" applyFont="1" applyFill="1" applyBorder="1" applyProtection="1"/>
    <xf numFmtId="3" fontId="43" fillId="21" borderId="87" xfId="0" applyNumberFormat="1" applyFont="1" applyFill="1" applyBorder="1" applyProtection="1"/>
    <xf numFmtId="3" fontId="43" fillId="20" borderId="18" xfId="0" applyNumberFormat="1" applyFont="1" applyFill="1" applyBorder="1" applyProtection="1"/>
    <xf numFmtId="3" fontId="2" fillId="28" borderId="61" xfId="0" applyNumberFormat="1" applyFont="1" applyFill="1" applyBorder="1" applyAlignment="1" applyProtection="1">
      <alignment horizontal="right"/>
      <protection locked="0"/>
    </xf>
    <xf numFmtId="49" fontId="3" fillId="20" borderId="133" xfId="0" applyNumberFormat="1" applyFont="1" applyFill="1" applyBorder="1" applyAlignment="1" applyProtection="1">
      <alignment horizontal="center" wrapText="1"/>
    </xf>
    <xf numFmtId="49" fontId="3" fillId="20" borderId="206" xfId="0" applyNumberFormat="1" applyFont="1" applyFill="1" applyBorder="1" applyAlignment="1" applyProtection="1">
      <alignment horizontal="left"/>
    </xf>
    <xf numFmtId="3" fontId="2" fillId="2" borderId="132" xfId="0" applyNumberFormat="1" applyFont="1" applyFill="1" applyBorder="1" applyAlignment="1" applyProtection="1">
      <alignment horizontal="right"/>
      <protection locked="0"/>
    </xf>
    <xf numFmtId="49" fontId="8" fillId="20" borderId="192" xfId="0" applyNumberFormat="1" applyFont="1" applyFill="1" applyBorder="1" applyAlignment="1" applyProtection="1">
      <alignment horizontal="left"/>
    </xf>
    <xf numFmtId="49" fontId="3" fillId="20" borderId="231" xfId="0" applyNumberFormat="1" applyFont="1" applyFill="1" applyBorder="1" applyAlignment="1" applyProtection="1">
      <alignment horizontal="center"/>
    </xf>
    <xf numFmtId="3" fontId="2" fillId="28" borderId="85" xfId="0" applyNumberFormat="1" applyFont="1" applyFill="1" applyBorder="1" applyProtection="1">
      <protection locked="0"/>
    </xf>
    <xf numFmtId="3" fontId="34" fillId="20" borderId="56" xfId="0" applyNumberFormat="1" applyFont="1" applyFill="1" applyBorder="1" applyAlignment="1" applyProtection="1"/>
    <xf numFmtId="3" fontId="109" fillId="20" borderId="56" xfId="0" applyNumberFormat="1" applyFont="1" applyFill="1" applyBorder="1" applyAlignment="1" applyProtection="1">
      <alignment vertical="center"/>
    </xf>
    <xf numFmtId="0" fontId="3" fillId="20" borderId="7" xfId="0" applyFont="1" applyFill="1" applyBorder="1" applyAlignment="1" applyProtection="1">
      <alignment horizontal="center"/>
    </xf>
    <xf numFmtId="0" fontId="0" fillId="20" borderId="67" xfId="0" applyFill="1" applyBorder="1"/>
    <xf numFmtId="0" fontId="74" fillId="20" borderId="27" xfId="0" applyFont="1" applyFill="1" applyBorder="1" applyAlignment="1">
      <alignment horizontal="left" wrapText="1"/>
    </xf>
    <xf numFmtId="0" fontId="75" fillId="20" borderId="0" xfId="0" applyFont="1" applyFill="1" applyBorder="1" applyAlignment="1">
      <alignment horizontal="right" wrapText="1"/>
    </xf>
    <xf numFmtId="0" fontId="73" fillId="20" borderId="0" xfId="0" applyFont="1" applyFill="1" applyBorder="1" applyAlignment="1">
      <alignment wrapText="1"/>
    </xf>
    <xf numFmtId="0" fontId="0" fillId="20" borderId="0" xfId="0" applyFill="1" applyBorder="1"/>
    <xf numFmtId="0" fontId="70" fillId="20" borderId="27" xfId="0" applyFont="1" applyFill="1" applyBorder="1" applyAlignment="1">
      <alignment horizontal="right" wrapText="1"/>
    </xf>
    <xf numFmtId="49" fontId="75" fillId="20" borderId="0" xfId="0" applyNumberFormat="1" applyFont="1" applyFill="1" applyBorder="1" applyAlignment="1">
      <alignment horizontal="right" wrapText="1"/>
    </xf>
    <xf numFmtId="3" fontId="141" fillId="20" borderId="0" xfId="0" applyNumberFormat="1" applyFont="1" applyFill="1" applyBorder="1" applyAlignment="1" applyProtection="1">
      <alignment horizontal="right"/>
    </xf>
    <xf numFmtId="3" fontId="15" fillId="20" borderId="0" xfId="0" applyNumberFormat="1" applyFont="1" applyFill="1" applyBorder="1" applyAlignment="1" applyProtection="1">
      <alignment horizontal="right"/>
    </xf>
    <xf numFmtId="0" fontId="0" fillId="20" borderId="0" xfId="0" applyFill="1"/>
    <xf numFmtId="0" fontId="142" fillId="20" borderId="0" xfId="0" applyFont="1" applyFill="1"/>
    <xf numFmtId="2" fontId="72" fillId="20" borderId="27" xfId="5" applyNumberFormat="1" applyFill="1" applyBorder="1" applyAlignment="1" applyProtection="1">
      <alignment horizontal="left"/>
    </xf>
    <xf numFmtId="0" fontId="0" fillId="20" borderId="111" xfId="0" applyFill="1" applyBorder="1"/>
    <xf numFmtId="0" fontId="0" fillId="20" borderId="1" xfId="0" applyFill="1" applyBorder="1"/>
    <xf numFmtId="0" fontId="0" fillId="34" borderId="0" xfId="0" applyFill="1"/>
    <xf numFmtId="49" fontId="3" fillId="35" borderId="27" xfId="0" applyNumberFormat="1" applyFont="1" applyFill="1" applyBorder="1" applyAlignment="1" applyProtection="1">
      <alignment horizontal="center"/>
    </xf>
    <xf numFmtId="49" fontId="3" fillId="35" borderId="9" xfId="0" applyNumberFormat="1" applyFont="1" applyFill="1" applyBorder="1" applyAlignment="1" applyProtection="1">
      <alignment horizontal="center"/>
    </xf>
    <xf numFmtId="0" fontId="3" fillId="35" borderId="0" xfId="0" applyFont="1" applyFill="1" applyBorder="1" applyProtection="1"/>
    <xf numFmtId="0" fontId="3" fillId="35" borderId="5" xfId="0" applyFont="1" applyFill="1" applyBorder="1" applyProtection="1"/>
    <xf numFmtId="0" fontId="3" fillId="35" borderId="133" xfId="0" applyFont="1" applyFill="1" applyBorder="1" applyProtection="1"/>
    <xf numFmtId="49" fontId="3" fillId="35" borderId="156" xfId="0" applyNumberFormat="1" applyFont="1" applyFill="1" applyBorder="1" applyAlignment="1" applyProtection="1">
      <alignment horizontal="center" wrapText="1"/>
    </xf>
    <xf numFmtId="49" fontId="3" fillId="35" borderId="2" xfId="0" applyNumberFormat="1" applyFont="1" applyFill="1" applyBorder="1" applyAlignment="1" applyProtection="1">
      <alignment horizontal="left"/>
    </xf>
    <xf numFmtId="49" fontId="3" fillId="35" borderId="211" xfId="0" applyNumberFormat="1" applyFont="1" applyFill="1" applyBorder="1" applyAlignment="1" applyProtection="1">
      <alignment horizontal="left"/>
    </xf>
    <xf numFmtId="49" fontId="3" fillId="35" borderId="232" xfId="0" applyNumberFormat="1" applyFont="1" applyFill="1" applyBorder="1" applyAlignment="1" applyProtection="1">
      <alignment horizontal="left"/>
    </xf>
    <xf numFmtId="173" fontId="2" fillId="0" borderId="71" xfId="0" applyNumberFormat="1" applyFont="1" applyFill="1" applyBorder="1" applyProtection="1">
      <protection locked="0"/>
    </xf>
    <xf numFmtId="3" fontId="10" fillId="36" borderId="52" xfId="0" applyNumberFormat="1" applyFont="1" applyFill="1" applyBorder="1" applyAlignment="1" applyProtection="1">
      <alignment horizontal="right"/>
      <protection locked="0"/>
    </xf>
    <xf numFmtId="3" fontId="10" fillId="36" borderId="10" xfId="0" applyNumberFormat="1" applyFont="1" applyFill="1" applyBorder="1" applyAlignment="1" applyProtection="1">
      <alignment horizontal="right"/>
      <protection locked="0"/>
    </xf>
    <xf numFmtId="0" fontId="5" fillId="20" borderId="95" xfId="0" applyFont="1" applyFill="1" applyBorder="1" applyAlignment="1" applyProtection="1">
      <alignment horizontal="center"/>
    </xf>
    <xf numFmtId="0" fontId="5" fillId="20" borderId="56" xfId="0" applyFont="1" applyFill="1" applyBorder="1" applyAlignment="1" applyProtection="1">
      <alignment horizontal="center"/>
    </xf>
    <xf numFmtId="0" fontId="5" fillId="20" borderId="147" xfId="0" applyFont="1" applyFill="1" applyBorder="1" applyAlignment="1" applyProtection="1">
      <alignment horizontal="right"/>
    </xf>
    <xf numFmtId="3" fontId="2" fillId="20" borderId="233" xfId="0" applyNumberFormat="1" applyFont="1" applyFill="1" applyBorder="1" applyAlignment="1" applyProtection="1">
      <alignment horizontal="right"/>
    </xf>
    <xf numFmtId="3" fontId="2" fillId="20" borderId="95" xfId="0" applyNumberFormat="1" applyFont="1" applyFill="1" applyBorder="1" applyAlignment="1" applyProtection="1">
      <alignment horizontal="right"/>
    </xf>
    <xf numFmtId="3" fontId="2" fillId="20" borderId="56" xfId="0" applyNumberFormat="1" applyFont="1" applyFill="1" applyBorder="1" applyAlignment="1" applyProtection="1">
      <alignment horizontal="right"/>
    </xf>
    <xf numFmtId="3" fontId="2" fillId="20" borderId="54" xfId="0" applyNumberFormat="1" applyFont="1" applyFill="1" applyBorder="1" applyAlignment="1" applyProtection="1">
      <alignment horizontal="right"/>
    </xf>
    <xf numFmtId="3" fontId="2" fillId="20" borderId="107" xfId="0" applyNumberFormat="1" applyFont="1" applyFill="1" applyBorder="1" applyAlignment="1" applyProtection="1">
      <alignment horizontal="right"/>
    </xf>
    <xf numFmtId="3" fontId="2" fillId="20" borderId="12" xfId="0" applyNumberFormat="1" applyFont="1" applyFill="1" applyBorder="1" applyAlignment="1" applyProtection="1">
      <alignment horizontal="right"/>
    </xf>
    <xf numFmtId="0" fontId="5" fillId="20" borderId="234" xfId="0" applyFont="1" applyFill="1" applyBorder="1" applyAlignment="1" applyProtection="1">
      <alignment horizontal="center"/>
    </xf>
    <xf numFmtId="0" fontId="5" fillId="20" borderId="235" xfId="0" applyFont="1" applyFill="1" applyBorder="1" applyAlignment="1" applyProtection="1">
      <alignment horizontal="center"/>
    </xf>
    <xf numFmtId="0" fontId="5" fillId="20" borderId="236" xfId="0" applyFont="1" applyFill="1" applyBorder="1" applyAlignment="1" applyProtection="1">
      <alignment horizontal="center"/>
    </xf>
    <xf numFmtId="9" fontId="3" fillId="20" borderId="237" xfId="0" applyNumberFormat="1" applyFont="1" applyFill="1" applyBorder="1" applyAlignment="1" applyProtection="1">
      <alignment horizontal="right"/>
    </xf>
    <xf numFmtId="9" fontId="3" fillId="20" borderId="234" xfId="0" applyNumberFormat="1" applyFont="1" applyFill="1" applyBorder="1" applyAlignment="1" applyProtection="1">
      <alignment horizontal="right"/>
    </xf>
    <xf numFmtId="9" fontId="3" fillId="20" borderId="235" xfId="0" applyNumberFormat="1" applyFont="1" applyFill="1" applyBorder="1" applyAlignment="1" applyProtection="1">
      <alignment horizontal="right"/>
    </xf>
    <xf numFmtId="9" fontId="3" fillId="20" borderId="238" xfId="0" applyNumberFormat="1" applyFont="1" applyFill="1" applyBorder="1" applyAlignment="1" applyProtection="1">
      <alignment horizontal="right"/>
    </xf>
    <xf numFmtId="9" fontId="3" fillId="20" borderId="239" xfId="0" applyNumberFormat="1" applyFont="1" applyFill="1" applyBorder="1" applyAlignment="1" applyProtection="1">
      <alignment horizontal="right"/>
    </xf>
    <xf numFmtId="9" fontId="3" fillId="20" borderId="240" xfId="0" applyNumberFormat="1" applyFont="1" applyFill="1" applyBorder="1" applyAlignment="1" applyProtection="1">
      <alignment horizontal="right"/>
    </xf>
    <xf numFmtId="9" fontId="3" fillId="20" borderId="241" xfId="0" applyNumberFormat="1" applyFont="1" applyFill="1" applyBorder="1" applyAlignment="1" applyProtection="1">
      <alignment horizontal="right"/>
    </xf>
    <xf numFmtId="9" fontId="3" fillId="20" borderId="242" xfId="0" applyNumberFormat="1" applyFont="1" applyFill="1" applyBorder="1" applyAlignment="1" applyProtection="1">
      <alignment horizontal="right"/>
    </xf>
    <xf numFmtId="9" fontId="3" fillId="0" borderId="0" xfId="0" applyNumberFormat="1" applyFont="1" applyFill="1" applyBorder="1" applyAlignment="1" applyProtection="1">
      <alignment horizontal="right"/>
    </xf>
    <xf numFmtId="0" fontId="5" fillId="20" borderId="243" xfId="0" applyFont="1" applyFill="1" applyBorder="1" applyAlignment="1" applyProtection="1">
      <alignment horizontal="center"/>
    </xf>
    <xf numFmtId="0" fontId="5" fillId="20" borderId="244" xfId="0" applyFont="1" applyFill="1" applyBorder="1" applyAlignment="1" applyProtection="1">
      <alignment horizontal="center"/>
    </xf>
    <xf numFmtId="3" fontId="3" fillId="37" borderId="0" xfId="0" applyNumberFormat="1" applyFont="1" applyFill="1" applyBorder="1" applyProtection="1"/>
    <xf numFmtId="0" fontId="3" fillId="35" borderId="5" xfId="0" applyFont="1" applyFill="1" applyBorder="1" applyAlignment="1" applyProtection="1">
      <alignment horizontal="center"/>
    </xf>
    <xf numFmtId="0" fontId="3" fillId="35" borderId="8" xfId="0" applyFont="1" applyFill="1" applyBorder="1" applyAlignment="1" applyProtection="1">
      <alignment horizontal="left" wrapText="1"/>
    </xf>
    <xf numFmtId="0" fontId="3" fillId="35" borderId="84" xfId="0" applyFont="1" applyFill="1" applyBorder="1" applyProtection="1"/>
    <xf numFmtId="49" fontId="3" fillId="35" borderId="161" xfId="0" applyNumberFormat="1" applyFont="1" applyFill="1" applyBorder="1" applyAlignment="1" applyProtection="1">
      <alignment horizontal="center"/>
    </xf>
    <xf numFmtId="49" fontId="3" fillId="35" borderId="132" xfId="0" applyNumberFormat="1" applyFont="1" applyFill="1" applyBorder="1" applyAlignment="1" applyProtection="1">
      <alignment horizontal="center"/>
    </xf>
    <xf numFmtId="49" fontId="3" fillId="35" borderId="133" xfId="0" applyNumberFormat="1" applyFont="1" applyFill="1" applyBorder="1" applyAlignment="1" applyProtection="1">
      <alignment horizontal="center"/>
    </xf>
    <xf numFmtId="1" fontId="3" fillId="35" borderId="70" xfId="0" applyNumberFormat="1" applyFont="1" applyFill="1" applyBorder="1" applyAlignment="1" applyProtection="1">
      <alignment horizontal="center"/>
    </xf>
    <xf numFmtId="1" fontId="3" fillId="35" borderId="133" xfId="0" applyNumberFormat="1" applyFont="1" applyFill="1" applyBorder="1" applyAlignment="1" applyProtection="1">
      <alignment horizontal="center"/>
    </xf>
    <xf numFmtId="1" fontId="8" fillId="35" borderId="70" xfId="0" applyNumberFormat="1" applyFont="1" applyFill="1" applyBorder="1" applyAlignment="1" applyProtection="1">
      <alignment horizontal="center"/>
    </xf>
    <xf numFmtId="49" fontId="3" fillId="35" borderId="133" xfId="0" applyNumberFormat="1" applyFont="1" applyFill="1" applyBorder="1" applyAlignment="1" applyProtection="1">
      <alignment horizontal="left"/>
    </xf>
    <xf numFmtId="0" fontId="3" fillId="35" borderId="68" xfId="0" applyFont="1" applyFill="1" applyBorder="1" applyAlignment="1" applyProtection="1">
      <alignment horizontal="left"/>
    </xf>
    <xf numFmtId="0" fontId="3" fillId="35" borderId="154" xfId="0" applyFont="1" applyFill="1" applyBorder="1" applyAlignment="1" applyProtection="1">
      <alignment horizontal="left"/>
    </xf>
    <xf numFmtId="0" fontId="5" fillId="35" borderId="9" xfId="6" applyFont="1" applyFill="1" applyBorder="1" applyAlignment="1" applyProtection="1">
      <alignment wrapText="1"/>
    </xf>
    <xf numFmtId="0" fontId="3" fillId="35" borderId="2" xfId="6" applyFont="1" applyFill="1" applyBorder="1" applyProtection="1"/>
    <xf numFmtId="0" fontId="3" fillId="20" borderId="234" xfId="0" applyFont="1" applyFill="1" applyBorder="1" applyAlignment="1" applyProtection="1">
      <alignment horizontal="left" vertical="top" wrapText="1"/>
    </xf>
    <xf numFmtId="0" fontId="33" fillId="20" borderId="235" xfId="0" applyFont="1" applyFill="1" applyBorder="1" applyAlignment="1" applyProtection="1">
      <alignment horizontal="left" vertical="top" wrapText="1"/>
    </xf>
    <xf numFmtId="0" fontId="33" fillId="20" borderId="241" xfId="0" applyFont="1" applyFill="1" applyBorder="1" applyAlignment="1" applyProtection="1">
      <alignment horizontal="left" vertical="top" wrapText="1"/>
    </xf>
    <xf numFmtId="0" fontId="4" fillId="20" borderId="235" xfId="0" applyFont="1" applyFill="1" applyBorder="1" applyProtection="1"/>
    <xf numFmtId="0" fontId="33" fillId="20" borderId="246" xfId="0" applyFont="1" applyFill="1" applyBorder="1" applyProtection="1"/>
    <xf numFmtId="3" fontId="90" fillId="20" borderId="242" xfId="0" applyNumberFormat="1" applyFont="1" applyFill="1" applyBorder="1" applyProtection="1"/>
    <xf numFmtId="0" fontId="2" fillId="20" borderId="242" xfId="0" applyFont="1" applyFill="1" applyBorder="1" applyAlignment="1" applyProtection="1">
      <alignment vertical="top"/>
    </xf>
    <xf numFmtId="9" fontId="43" fillId="20" borderId="241" xfId="0" applyNumberFormat="1" applyFont="1" applyFill="1" applyBorder="1" applyProtection="1"/>
    <xf numFmtId="3" fontId="90" fillId="20" borderId="247" xfId="0" applyNumberFormat="1" applyFont="1" applyFill="1" applyBorder="1" applyProtection="1"/>
    <xf numFmtId="0" fontId="2" fillId="20" borderId="248" xfId="0" applyFont="1" applyFill="1" applyBorder="1" applyAlignment="1" applyProtection="1">
      <alignment vertical="top"/>
    </xf>
    <xf numFmtId="3" fontId="90" fillId="20" borderId="246" xfId="0" applyNumberFormat="1" applyFont="1" applyFill="1" applyBorder="1" applyProtection="1"/>
    <xf numFmtId="3" fontId="16" fillId="20" borderId="246" xfId="0" applyNumberFormat="1" applyFont="1" applyFill="1" applyBorder="1" applyProtection="1"/>
    <xf numFmtId="9" fontId="43" fillId="20" borderId="242" xfId="0" applyNumberFormat="1" applyFont="1" applyFill="1" applyBorder="1" applyProtection="1"/>
    <xf numFmtId="9" fontId="43" fillId="20" borderId="238" xfId="0" applyNumberFormat="1" applyFont="1" applyFill="1" applyBorder="1" applyProtection="1"/>
    <xf numFmtId="3" fontId="10" fillId="20" borderId="242" xfId="0" applyNumberFormat="1" applyFont="1" applyFill="1" applyBorder="1" applyAlignment="1" applyProtection="1">
      <alignment vertical="top"/>
      <protection locked="0"/>
    </xf>
    <xf numFmtId="3" fontId="90" fillId="20" borderId="249" xfId="0" applyNumberFormat="1" applyFont="1" applyFill="1" applyBorder="1" applyProtection="1"/>
    <xf numFmtId="3" fontId="3" fillId="20" borderId="250" xfId="0" applyNumberFormat="1" applyFont="1" applyFill="1" applyBorder="1" applyProtection="1"/>
    <xf numFmtId="9" fontId="43" fillId="20" borderId="240" xfId="0" applyNumberFormat="1" applyFont="1" applyFill="1" applyBorder="1" applyProtection="1"/>
    <xf numFmtId="3" fontId="90" fillId="20" borderId="251" xfId="0" applyNumberFormat="1" applyFont="1" applyFill="1" applyBorder="1" applyProtection="1"/>
    <xf numFmtId="0" fontId="9" fillId="20" borderId="242" xfId="0" applyFont="1" applyFill="1" applyBorder="1" applyAlignment="1" applyProtection="1">
      <alignment vertical="top"/>
    </xf>
    <xf numFmtId="9" fontId="43" fillId="20" borderId="238" xfId="0" quotePrefix="1" applyNumberFormat="1" applyFont="1" applyFill="1" applyBorder="1" applyProtection="1"/>
    <xf numFmtId="3" fontId="90" fillId="20" borderId="252" xfId="0" applyNumberFormat="1" applyFont="1" applyFill="1" applyBorder="1" applyProtection="1"/>
    <xf numFmtId="0" fontId="2" fillId="20" borderId="242" xfId="0" applyFont="1" applyFill="1" applyBorder="1" applyAlignment="1" applyProtection="1">
      <alignment vertical="top"/>
      <protection locked="0"/>
    </xf>
    <xf numFmtId="0" fontId="2" fillId="20" borderId="240" xfId="0" applyFont="1" applyFill="1" applyBorder="1" applyAlignment="1" applyProtection="1">
      <alignment vertical="top"/>
      <protection locked="0"/>
    </xf>
    <xf numFmtId="9" fontId="119" fillId="20" borderId="242" xfId="0" applyNumberFormat="1" applyFont="1" applyFill="1" applyBorder="1" applyAlignment="1" applyProtection="1"/>
    <xf numFmtId="9" fontId="43" fillId="20" borderId="239" xfId="0" applyNumberFormat="1" applyFont="1" applyFill="1" applyBorder="1" applyProtection="1"/>
    <xf numFmtId="3" fontId="103" fillId="20" borderId="253" xfId="0" applyNumberFormat="1" applyFont="1" applyFill="1" applyBorder="1" applyProtection="1"/>
    <xf numFmtId="3" fontId="90" fillId="20" borderId="253" xfId="0" applyNumberFormat="1" applyFont="1" applyFill="1" applyBorder="1" applyProtection="1"/>
    <xf numFmtId="0" fontId="1" fillId="20" borderId="254" xfId="0" applyFont="1" applyFill="1" applyBorder="1" applyProtection="1"/>
    <xf numFmtId="3" fontId="2" fillId="21" borderId="239" xfId="0" applyNumberFormat="1" applyFont="1" applyFill="1" applyBorder="1" applyAlignment="1" applyProtection="1">
      <alignment horizontal="right"/>
    </xf>
    <xf numFmtId="3" fontId="90" fillId="20" borderId="255" xfId="0" applyNumberFormat="1" applyFont="1" applyFill="1" applyBorder="1" applyProtection="1"/>
    <xf numFmtId="0" fontId="7" fillId="20" borderId="27" xfId="0" applyFont="1" applyFill="1" applyBorder="1" applyAlignment="1">
      <alignment vertical="top" wrapText="1"/>
    </xf>
    <xf numFmtId="0" fontId="0" fillId="20" borderId="27" xfId="0" applyFill="1" applyBorder="1" applyAlignment="1">
      <alignment vertical="top" wrapText="1"/>
    </xf>
    <xf numFmtId="3" fontId="8" fillId="20" borderId="27" xfId="0" applyNumberFormat="1" applyFont="1" applyFill="1" applyBorder="1" applyAlignment="1" applyProtection="1">
      <alignment vertical="top" wrapText="1"/>
    </xf>
    <xf numFmtId="3" fontId="8" fillId="20" borderId="27" xfId="0" applyNumberFormat="1" applyFont="1" applyFill="1" applyBorder="1" applyAlignment="1" applyProtection="1">
      <alignment horizontal="left" wrapText="1"/>
    </xf>
    <xf numFmtId="3" fontId="33" fillId="20" borderId="111" xfId="0" applyNumberFormat="1" applyFont="1" applyFill="1" applyBorder="1" applyAlignment="1" applyProtection="1">
      <alignment wrapText="1"/>
    </xf>
    <xf numFmtId="3" fontId="43" fillId="20" borderId="0" xfId="0" applyNumberFormat="1" applyFont="1" applyFill="1" applyBorder="1" applyProtection="1"/>
    <xf numFmtId="3" fontId="43" fillId="20" borderId="27" xfId="0" applyNumberFormat="1" applyFont="1" applyFill="1" applyBorder="1" applyProtection="1"/>
    <xf numFmtId="3" fontId="34" fillId="20" borderId="180" xfId="6" quotePrefix="1" applyNumberFormat="1" applyFont="1" applyFill="1" applyBorder="1" applyAlignment="1" applyProtection="1">
      <alignment horizontal="left"/>
    </xf>
    <xf numFmtId="3" fontId="43" fillId="20" borderId="27" xfId="10" applyNumberFormat="1" applyFont="1" applyFill="1" applyBorder="1" applyAlignment="1" applyProtection="1">
      <alignment horizontal="center"/>
    </xf>
    <xf numFmtId="3" fontId="43" fillId="20" borderId="180" xfId="13" applyNumberFormat="1" applyFont="1" applyFill="1" applyBorder="1" applyAlignment="1" applyProtection="1">
      <alignment horizontal="center"/>
    </xf>
    <xf numFmtId="3" fontId="43" fillId="20" borderId="180" xfId="10" applyNumberFormat="1" applyFont="1" applyFill="1" applyBorder="1" applyAlignment="1" applyProtection="1">
      <alignment horizontal="center"/>
    </xf>
    <xf numFmtId="3" fontId="76" fillId="20" borderId="27" xfId="10" applyNumberFormat="1" applyFont="1" applyFill="1" applyBorder="1" applyAlignment="1" applyProtection="1">
      <alignment horizontal="center"/>
    </xf>
    <xf numFmtId="3" fontId="43" fillId="20" borderId="187" xfId="13" applyNumberFormat="1" applyFont="1" applyFill="1" applyBorder="1" applyAlignment="1" applyProtection="1">
      <alignment horizontal="center"/>
    </xf>
    <xf numFmtId="3" fontId="101" fillId="20" borderId="187" xfId="13" applyNumberFormat="1" applyFont="1" applyFill="1" applyBorder="1" applyAlignment="1" applyProtection="1">
      <alignment horizontal="center"/>
    </xf>
    <xf numFmtId="3" fontId="101" fillId="20" borderId="180" xfId="10" applyNumberFormat="1" applyFont="1" applyFill="1" applyBorder="1" applyAlignment="1" applyProtection="1">
      <alignment horizontal="center"/>
    </xf>
    <xf numFmtId="3" fontId="101" fillId="20" borderId="27" xfId="10" applyNumberFormat="1" applyFont="1" applyFill="1" applyBorder="1" applyAlignment="1" applyProtection="1">
      <alignment horizontal="center"/>
    </xf>
    <xf numFmtId="3" fontId="43" fillId="20" borderId="256" xfId="10" applyNumberFormat="1" applyFont="1" applyFill="1" applyBorder="1" applyAlignment="1" applyProtection="1">
      <alignment horizontal="center"/>
    </xf>
    <xf numFmtId="3" fontId="102" fillId="20" borderId="27" xfId="10" applyNumberFormat="1" applyFont="1" applyFill="1" applyBorder="1" applyAlignment="1" applyProtection="1">
      <alignment horizontal="center"/>
    </xf>
    <xf numFmtId="3" fontId="43" fillId="20" borderId="180" xfId="0" applyNumberFormat="1" applyFont="1" applyFill="1" applyBorder="1" applyProtection="1"/>
    <xf numFmtId="3" fontId="5" fillId="20" borderId="102" xfId="0" applyNumberFormat="1" applyFont="1" applyFill="1" applyBorder="1" applyAlignment="1" applyProtection="1">
      <alignment horizontal="left" vertical="center" wrapText="1"/>
    </xf>
    <xf numFmtId="3" fontId="2" fillId="20" borderId="92" xfId="0" applyNumberFormat="1" applyFont="1" applyFill="1" applyBorder="1" applyAlignment="1" applyProtection="1">
      <alignment horizontal="right"/>
    </xf>
    <xf numFmtId="3" fontId="2" fillId="20" borderId="179" xfId="0" applyNumberFormat="1" applyFont="1" applyFill="1" applyBorder="1" applyAlignment="1" applyProtection="1">
      <alignment horizontal="right"/>
    </xf>
    <xf numFmtId="3" fontId="2" fillId="20" borderId="166" xfId="0" applyNumberFormat="1" applyFont="1" applyFill="1" applyBorder="1" applyAlignment="1" applyProtection="1">
      <alignment horizontal="right"/>
    </xf>
    <xf numFmtId="3" fontId="2" fillId="20" borderId="96" xfId="0" applyNumberFormat="1" applyFont="1" applyFill="1" applyBorder="1" applyAlignment="1" applyProtection="1">
      <alignment horizontal="right"/>
    </xf>
    <xf numFmtId="3" fontId="2" fillId="20" borderId="65" xfId="0" applyNumberFormat="1" applyFont="1" applyFill="1" applyBorder="1" applyAlignment="1" applyProtection="1">
      <alignment horizontal="right"/>
    </xf>
    <xf numFmtId="3" fontId="2" fillId="20" borderId="167" xfId="0" applyNumberFormat="1" applyFont="1" applyFill="1" applyBorder="1" applyAlignment="1" applyProtection="1">
      <alignment horizontal="right"/>
    </xf>
    <xf numFmtId="3" fontId="2" fillId="20" borderId="225" xfId="0" applyNumberFormat="1" applyFont="1" applyFill="1" applyBorder="1" applyAlignment="1" applyProtection="1">
      <alignment horizontal="right"/>
    </xf>
    <xf numFmtId="3" fontId="2" fillId="20" borderId="179" xfId="0" applyNumberFormat="1" applyFont="1" applyFill="1" applyBorder="1" applyProtection="1"/>
    <xf numFmtId="0" fontId="0" fillId="20" borderId="97" xfId="0" applyFill="1" applyBorder="1" applyProtection="1"/>
    <xf numFmtId="3" fontId="5" fillId="20" borderId="257" xfId="0" applyNumberFormat="1" applyFont="1" applyFill="1" applyBorder="1" applyAlignment="1" applyProtection="1">
      <alignment horizontal="left" vertical="center" wrapText="1"/>
    </xf>
    <xf numFmtId="0" fontId="0" fillId="20" borderId="259" xfId="0" applyFill="1" applyBorder="1" applyProtection="1"/>
    <xf numFmtId="3" fontId="2" fillId="20" borderId="260" xfId="0" applyNumberFormat="1" applyFont="1" applyFill="1" applyBorder="1" applyAlignment="1" applyProtection="1">
      <alignment horizontal="right"/>
    </xf>
    <xf numFmtId="3" fontId="2" fillId="20" borderId="261" xfId="0" applyNumberFormat="1" applyFont="1" applyFill="1" applyBorder="1" applyAlignment="1" applyProtection="1">
      <alignment horizontal="right"/>
    </xf>
    <xf numFmtId="3" fontId="2" fillId="20" borderId="262" xfId="0" applyNumberFormat="1" applyFont="1" applyFill="1" applyBorder="1" applyAlignment="1" applyProtection="1">
      <alignment horizontal="right"/>
    </xf>
    <xf numFmtId="3" fontId="2" fillId="20" borderId="263" xfId="0" applyNumberFormat="1" applyFont="1" applyFill="1" applyBorder="1" applyAlignment="1" applyProtection="1">
      <alignment horizontal="right"/>
    </xf>
    <xf numFmtId="3" fontId="2" fillId="20" borderId="259" xfId="0" applyNumberFormat="1" applyFont="1" applyFill="1" applyBorder="1" applyAlignment="1" applyProtection="1">
      <alignment horizontal="right"/>
    </xf>
    <xf numFmtId="0" fontId="9" fillId="20" borderId="263" xfId="0" applyFont="1" applyFill="1" applyBorder="1" applyProtection="1"/>
    <xf numFmtId="3" fontId="2" fillId="20" borderId="264" xfId="0" applyNumberFormat="1" applyFont="1" applyFill="1" applyBorder="1" applyAlignment="1" applyProtection="1">
      <alignment horizontal="right"/>
    </xf>
    <xf numFmtId="3" fontId="2" fillId="20" borderId="265" xfId="0" applyNumberFormat="1" applyFont="1" applyFill="1" applyBorder="1" applyAlignment="1" applyProtection="1">
      <alignment horizontal="right"/>
    </xf>
    <xf numFmtId="3" fontId="2" fillId="20" borderId="266" xfId="0" applyNumberFormat="1" applyFont="1" applyFill="1" applyBorder="1" applyAlignment="1" applyProtection="1">
      <alignment horizontal="right"/>
    </xf>
    <xf numFmtId="3" fontId="2" fillId="20" borderId="261" xfId="0" applyNumberFormat="1" applyFont="1" applyFill="1" applyBorder="1" applyProtection="1"/>
    <xf numFmtId="0" fontId="0" fillId="20" borderId="267" xfId="0" applyFill="1" applyBorder="1" applyProtection="1"/>
    <xf numFmtId="3" fontId="13" fillId="37" borderId="5" xfId="0" applyNumberFormat="1" applyFont="1" applyFill="1" applyBorder="1" applyAlignment="1" applyProtection="1">
      <alignment horizontal="right"/>
      <protection locked="0"/>
    </xf>
    <xf numFmtId="0" fontId="3" fillId="35" borderId="155" xfId="0" applyFont="1" applyFill="1" applyBorder="1" applyAlignment="1" applyProtection="1">
      <alignment horizontal="left" vertical="top" wrapText="1"/>
    </xf>
    <xf numFmtId="3" fontId="3" fillId="35" borderId="29" xfId="0" applyNumberFormat="1" applyFont="1" applyFill="1" applyBorder="1" applyAlignment="1" applyProtection="1">
      <alignment horizontal="center"/>
    </xf>
    <xf numFmtId="3" fontId="3" fillId="35" borderId="55" xfId="0" applyNumberFormat="1" applyFont="1" applyFill="1" applyBorder="1" applyAlignment="1" applyProtection="1"/>
    <xf numFmtId="3" fontId="3" fillId="35" borderId="12" xfId="0" applyNumberFormat="1" applyFont="1" applyFill="1" applyBorder="1" applyAlignment="1" applyProtection="1"/>
    <xf numFmtId="3" fontId="13" fillId="37" borderId="3" xfId="0" applyNumberFormat="1" applyFont="1" applyFill="1" applyBorder="1" applyAlignment="1" applyProtection="1">
      <alignment horizontal="right"/>
      <protection locked="0"/>
    </xf>
    <xf numFmtId="3" fontId="3" fillId="35" borderId="92" xfId="0" applyNumberFormat="1" applyFont="1" applyFill="1" applyBorder="1" applyAlignment="1" applyProtection="1"/>
    <xf numFmtId="3" fontId="13" fillId="37" borderId="3" xfId="0" applyNumberFormat="1" applyFont="1" applyFill="1" applyBorder="1" applyAlignment="1" applyProtection="1">
      <alignment horizontal="right"/>
    </xf>
    <xf numFmtId="3" fontId="13" fillId="37" borderId="29" xfId="0" applyNumberFormat="1" applyFont="1" applyFill="1" applyBorder="1" applyAlignment="1" applyProtection="1">
      <alignment horizontal="right"/>
      <protection locked="0"/>
    </xf>
    <xf numFmtId="0" fontId="3" fillId="35" borderId="69" xfId="0" applyFont="1" applyFill="1" applyBorder="1" applyAlignment="1" applyProtection="1">
      <alignment horizontal="left" vertical="top" wrapText="1"/>
    </xf>
    <xf numFmtId="0" fontId="3" fillId="20" borderId="227" xfId="0" applyFont="1" applyFill="1" applyBorder="1" applyProtection="1"/>
    <xf numFmtId="0" fontId="0" fillId="20" borderId="0" xfId="0" applyFill="1" applyBorder="1" applyAlignment="1"/>
    <xf numFmtId="0" fontId="129" fillId="20" borderId="0" xfId="0" applyFont="1" applyFill="1" applyBorder="1" applyAlignment="1">
      <alignment vertical="top" wrapText="1"/>
    </xf>
    <xf numFmtId="0" fontId="129" fillId="20" borderId="0" xfId="0" applyFont="1" applyFill="1" applyBorder="1" applyAlignment="1">
      <alignment wrapText="1"/>
    </xf>
    <xf numFmtId="0" fontId="128" fillId="20" borderId="0" xfId="0" applyFont="1" applyFill="1" applyBorder="1" applyAlignment="1">
      <alignment wrapText="1"/>
    </xf>
    <xf numFmtId="0" fontId="0" fillId="20" borderId="0" xfId="0" applyFill="1" applyBorder="1" applyAlignment="1">
      <alignment wrapText="1"/>
    </xf>
    <xf numFmtId="0" fontId="0" fillId="20" borderId="0" xfId="0" applyFill="1" applyBorder="1" applyAlignment="1">
      <alignment horizontal="left" vertical="top" wrapText="1"/>
    </xf>
    <xf numFmtId="0" fontId="127" fillId="20" borderId="0" xfId="0" applyFont="1" applyFill="1" applyBorder="1" applyAlignment="1">
      <alignment wrapText="1"/>
    </xf>
    <xf numFmtId="0" fontId="7" fillId="20" borderId="0" xfId="0" applyFont="1" applyFill="1" applyBorder="1" applyAlignment="1">
      <alignment wrapText="1"/>
    </xf>
    <xf numFmtId="0" fontId="3" fillId="20" borderId="269" xfId="0" applyFont="1" applyFill="1" applyBorder="1" applyAlignment="1" applyProtection="1">
      <alignment horizontal="center"/>
    </xf>
    <xf numFmtId="3" fontId="43" fillId="21" borderId="271" xfId="0" applyNumberFormat="1" applyFont="1" applyFill="1" applyBorder="1" applyProtection="1"/>
    <xf numFmtId="3" fontId="43" fillId="21" borderId="272" xfId="0" applyNumberFormat="1" applyFont="1" applyFill="1" applyBorder="1" applyProtection="1"/>
    <xf numFmtId="3" fontId="43" fillId="21" borderId="269" xfId="0" applyNumberFormat="1" applyFont="1" applyFill="1" applyBorder="1" applyProtection="1"/>
    <xf numFmtId="3" fontId="43" fillId="21" borderId="273" xfId="0" applyNumberFormat="1" applyFont="1" applyFill="1" applyBorder="1" applyProtection="1"/>
    <xf numFmtId="3" fontId="43" fillId="21" borderId="274" xfId="0" applyNumberFormat="1" applyFont="1" applyFill="1" applyBorder="1" applyProtection="1"/>
    <xf numFmtId="3" fontId="43" fillId="21" borderId="275" xfId="0" applyNumberFormat="1" applyFont="1" applyFill="1" applyBorder="1" applyProtection="1"/>
    <xf numFmtId="3" fontId="43" fillId="21" borderId="276" xfId="0" applyNumberFormat="1" applyFont="1" applyFill="1" applyBorder="1" applyProtection="1"/>
    <xf numFmtId="3" fontId="43" fillId="21" borderId="277" xfId="0" applyNumberFormat="1" applyFont="1" applyFill="1" applyBorder="1" applyProtection="1"/>
    <xf numFmtId="3" fontId="43" fillId="21" borderId="268" xfId="0" applyNumberFormat="1" applyFont="1" applyFill="1" applyBorder="1" applyProtection="1"/>
    <xf numFmtId="3" fontId="43" fillId="20" borderId="276" xfId="0" applyNumberFormat="1" applyFont="1" applyFill="1" applyBorder="1" applyProtection="1"/>
    <xf numFmtId="3" fontId="43" fillId="20" borderId="277" xfId="0" applyNumberFormat="1" applyFont="1" applyFill="1" applyBorder="1" applyProtection="1"/>
    <xf numFmtId="1" fontId="43" fillId="20" borderId="278" xfId="0" applyNumberFormat="1" applyFont="1" applyFill="1" applyBorder="1" applyProtection="1"/>
    <xf numFmtId="3" fontId="3" fillId="20" borderId="280" xfId="0" applyNumberFormat="1" applyFont="1" applyFill="1" applyBorder="1" applyProtection="1"/>
    <xf numFmtId="3" fontId="3" fillId="20" borderId="279" xfId="0" applyNumberFormat="1" applyFont="1" applyFill="1" applyBorder="1" applyProtection="1"/>
    <xf numFmtId="3" fontId="3" fillId="20" borderId="281" xfId="0" applyNumberFormat="1" applyFont="1" applyFill="1" applyBorder="1" applyProtection="1"/>
    <xf numFmtId="3" fontId="34" fillId="20" borderId="280" xfId="0" applyNumberFormat="1" applyFont="1" applyFill="1" applyBorder="1" applyProtection="1"/>
    <xf numFmtId="1" fontId="3" fillId="20" borderId="282" xfId="0" applyNumberFormat="1" applyFont="1" applyFill="1" applyBorder="1" applyProtection="1"/>
    <xf numFmtId="3" fontId="109" fillId="0" borderId="0" xfId="6" applyNumberFormat="1" applyFont="1" applyFill="1" applyBorder="1" applyAlignment="1" applyProtection="1">
      <alignment horizontal="right"/>
    </xf>
    <xf numFmtId="0" fontId="3" fillId="20" borderId="244" xfId="6" applyFont="1" applyFill="1" applyBorder="1" applyAlignment="1" applyProtection="1">
      <alignment horizontal="center" vertical="top"/>
    </xf>
    <xf numFmtId="0" fontId="3" fillId="20" borderId="244" xfId="6" applyFont="1" applyFill="1" applyBorder="1" applyProtection="1"/>
    <xf numFmtId="1" fontId="3" fillId="20" borderId="244" xfId="6" applyNumberFormat="1" applyFont="1" applyFill="1" applyBorder="1" applyAlignment="1" applyProtection="1">
      <alignment horizontal="left"/>
    </xf>
    <xf numFmtId="168" fontId="39" fillId="20" borderId="283" xfId="6" applyNumberFormat="1" applyFont="1" applyFill="1" applyBorder="1" applyProtection="1"/>
    <xf numFmtId="3" fontId="43" fillId="20" borderId="284" xfId="6" applyNumberFormat="1" applyFont="1" applyFill="1" applyBorder="1" applyProtection="1"/>
    <xf numFmtId="9" fontId="43" fillId="20" borderId="242" xfId="6" quotePrefix="1" applyNumberFormat="1" applyFont="1" applyFill="1" applyBorder="1" applyAlignment="1" applyProtection="1">
      <alignment horizontal="right"/>
    </xf>
    <xf numFmtId="3" fontId="40" fillId="20" borderId="254" xfId="6" applyNumberFormat="1" applyFont="1" applyFill="1" applyBorder="1" applyAlignment="1" applyProtection="1">
      <alignment horizontal="right"/>
    </xf>
    <xf numFmtId="3" fontId="40" fillId="20" borderId="246" xfId="6" applyNumberFormat="1" applyFont="1" applyFill="1" applyBorder="1" applyAlignment="1" applyProtection="1">
      <alignment horizontal="right"/>
    </xf>
    <xf numFmtId="3" fontId="40" fillId="20" borderId="255" xfId="6" applyNumberFormat="1" applyFont="1" applyFill="1" applyBorder="1" applyAlignment="1" applyProtection="1">
      <alignment horizontal="right"/>
    </xf>
    <xf numFmtId="9" fontId="43" fillId="20" borderId="251" xfId="6" applyNumberFormat="1" applyFont="1" applyFill="1" applyBorder="1" applyProtection="1"/>
    <xf numFmtId="0" fontId="3" fillId="20" borderId="285" xfId="6" applyFont="1" applyFill="1" applyBorder="1" applyProtection="1"/>
    <xf numFmtId="3" fontId="3" fillId="20" borderId="286" xfId="6" applyNumberFormat="1" applyFont="1" applyFill="1" applyBorder="1" applyProtection="1"/>
    <xf numFmtId="0" fontId="3" fillId="20" borderId="286" xfId="6" applyFont="1" applyFill="1" applyBorder="1" applyProtection="1"/>
    <xf numFmtId="0" fontId="7" fillId="20" borderId="286" xfId="6" applyFont="1" applyFill="1" applyBorder="1" applyAlignment="1" applyProtection="1">
      <alignment horizontal="left"/>
    </xf>
    <xf numFmtId="3" fontId="39" fillId="20" borderId="286" xfId="6" applyNumberFormat="1" applyFont="1" applyFill="1" applyBorder="1" applyProtection="1"/>
    <xf numFmtId="168" fontId="39" fillId="20" borderId="287" xfId="6" applyNumberFormat="1" applyFont="1" applyFill="1" applyBorder="1" applyProtection="1"/>
    <xf numFmtId="3" fontId="3" fillId="20" borderId="288" xfId="6" applyNumberFormat="1" applyFont="1" applyFill="1" applyBorder="1" applyProtection="1"/>
    <xf numFmtId="3" fontId="39" fillId="20" borderId="286" xfId="6" applyNumberFormat="1" applyFont="1" applyFill="1" applyBorder="1" applyAlignment="1" applyProtection="1">
      <alignment horizontal="right"/>
    </xf>
    <xf numFmtId="0" fontId="130" fillId="20" borderId="286" xfId="0" applyFont="1" applyFill="1" applyBorder="1" applyAlignment="1">
      <alignment vertical="top" wrapText="1"/>
    </xf>
    <xf numFmtId="3" fontId="39" fillId="20" borderId="289" xfId="6" applyNumberFormat="1" applyFont="1" applyFill="1" applyBorder="1" applyAlignment="1" applyProtection="1">
      <alignment horizontal="right"/>
    </xf>
    <xf numFmtId="3" fontId="3" fillId="20" borderId="285" xfId="6" applyNumberFormat="1" applyFont="1" applyFill="1" applyBorder="1" applyProtection="1"/>
    <xf numFmtId="3" fontId="116" fillId="20" borderId="286" xfId="6" applyNumberFormat="1" applyFont="1" applyFill="1" applyBorder="1" applyAlignment="1" applyProtection="1">
      <alignment horizontal="left" vertical="top"/>
    </xf>
    <xf numFmtId="0" fontId="117" fillId="20" borderId="286" xfId="0" applyFont="1" applyFill="1" applyBorder="1" applyAlignment="1"/>
    <xf numFmtId="3" fontId="3" fillId="20" borderId="285" xfId="6" applyNumberFormat="1" applyFont="1" applyFill="1" applyBorder="1" applyAlignment="1" applyProtection="1">
      <alignment horizontal="right"/>
    </xf>
    <xf numFmtId="3" fontId="3" fillId="20" borderId="286" xfId="6" applyNumberFormat="1" applyFont="1" applyFill="1" applyBorder="1" applyAlignment="1" applyProtection="1">
      <alignment horizontal="right"/>
    </xf>
    <xf numFmtId="0" fontId="131" fillId="20" borderId="286" xfId="0" applyFont="1" applyFill="1" applyBorder="1" applyAlignment="1">
      <alignment horizontal="left" vertical="top"/>
    </xf>
    <xf numFmtId="0" fontId="131" fillId="20" borderId="289" xfId="0" applyFont="1" applyFill="1" applyBorder="1" applyAlignment="1">
      <alignment horizontal="left" vertical="top"/>
    </xf>
    <xf numFmtId="3" fontId="3" fillId="20" borderId="290" xfId="6" applyNumberFormat="1" applyFont="1" applyFill="1" applyBorder="1" applyAlignment="1" applyProtection="1">
      <alignment wrapText="1"/>
    </xf>
    <xf numFmtId="3" fontId="3" fillId="20" borderId="246" xfId="6" applyNumberFormat="1" applyFont="1" applyFill="1" applyBorder="1" applyProtection="1"/>
    <xf numFmtId="0" fontId="3" fillId="20" borderId="246" xfId="6" applyFont="1" applyFill="1" applyBorder="1" applyAlignment="1" applyProtection="1">
      <alignment wrapText="1"/>
    </xf>
    <xf numFmtId="0" fontId="7" fillId="20" borderId="246" xfId="6" applyFont="1" applyFill="1" applyBorder="1" applyAlignment="1" applyProtection="1">
      <alignment horizontal="left" wrapText="1"/>
    </xf>
    <xf numFmtId="3" fontId="39" fillId="20" borderId="246" xfId="6" applyNumberFormat="1" applyFont="1" applyFill="1" applyBorder="1" applyProtection="1"/>
    <xf numFmtId="3" fontId="3" fillId="20" borderId="246" xfId="6" applyNumberFormat="1" applyFont="1" applyFill="1" applyBorder="1" applyAlignment="1" applyProtection="1">
      <alignment horizontal="left"/>
    </xf>
    <xf numFmtId="0" fontId="0" fillId="20" borderId="246" xfId="0" applyFill="1" applyBorder="1" applyAlignment="1"/>
    <xf numFmtId="3" fontId="39" fillId="20" borderId="255" xfId="6" applyNumberFormat="1" applyFont="1" applyFill="1" applyBorder="1" applyAlignment="1" applyProtection="1">
      <alignment horizontal="left"/>
    </xf>
    <xf numFmtId="168" fontId="3" fillId="20" borderId="290" xfId="6" applyNumberFormat="1" applyFont="1" applyFill="1" applyBorder="1" applyAlignment="1" applyProtection="1">
      <alignment horizontal="left"/>
    </xf>
    <xf numFmtId="168" fontId="39" fillId="20" borderId="246" xfId="6" applyNumberFormat="1" applyFont="1" applyFill="1" applyBorder="1" applyAlignment="1" applyProtection="1">
      <alignment horizontal="left"/>
    </xf>
    <xf numFmtId="3" fontId="3" fillId="20" borderId="247" xfId="6" applyNumberFormat="1" applyFont="1" applyFill="1" applyBorder="1" applyAlignment="1" applyProtection="1">
      <alignment horizontal="left"/>
    </xf>
    <xf numFmtId="3" fontId="3" fillId="20" borderId="253" xfId="6" applyNumberFormat="1" applyFont="1" applyFill="1" applyBorder="1" applyAlignment="1" applyProtection="1">
      <alignment horizontal="left"/>
    </xf>
    <xf numFmtId="3" fontId="2" fillId="38" borderId="5" xfId="6" applyNumberFormat="1" applyFont="1" applyFill="1" applyBorder="1" applyAlignment="1" applyProtection="1"/>
    <xf numFmtId="0" fontId="0" fillId="20" borderId="291" xfId="0" applyFill="1" applyBorder="1"/>
    <xf numFmtId="0" fontId="0" fillId="20" borderId="292" xfId="0" applyFill="1" applyBorder="1"/>
    <xf numFmtId="1" fontId="5" fillId="20" borderId="293" xfId="0" applyNumberFormat="1" applyFont="1" applyFill="1" applyBorder="1" applyAlignment="1" applyProtection="1">
      <alignment horizontal="left"/>
    </xf>
    <xf numFmtId="1" fontId="3" fillId="20" borderId="294" xfId="0" applyNumberFormat="1" applyFont="1" applyFill="1" applyBorder="1" applyAlignment="1" applyProtection="1">
      <alignment horizontal="left"/>
    </xf>
    <xf numFmtId="1" fontId="5" fillId="20" borderId="294" xfId="0" applyNumberFormat="1" applyFont="1" applyFill="1" applyBorder="1" applyAlignment="1" applyProtection="1">
      <alignment horizontal="left"/>
    </xf>
    <xf numFmtId="0" fontId="0" fillId="20" borderId="295" xfId="0" applyFill="1" applyBorder="1"/>
    <xf numFmtId="1" fontId="3" fillId="20" borderId="296" xfId="0" applyNumberFormat="1" applyFont="1" applyFill="1" applyBorder="1" applyAlignment="1" applyProtection="1">
      <alignment horizontal="left"/>
    </xf>
    <xf numFmtId="1" fontId="5" fillId="20" borderId="297" xfId="0" applyNumberFormat="1" applyFont="1" applyFill="1" applyBorder="1" applyAlignment="1" applyProtection="1">
      <alignment horizontal="left"/>
    </xf>
    <xf numFmtId="1" fontId="5" fillId="20" borderId="298" xfId="0" applyNumberFormat="1" applyFont="1" applyFill="1" applyBorder="1" applyAlignment="1" applyProtection="1">
      <alignment horizontal="left"/>
    </xf>
    <xf numFmtId="0" fontId="3" fillId="20" borderId="244" xfId="6" applyFont="1" applyFill="1" applyBorder="1" applyAlignment="1" applyProtection="1">
      <alignment horizontal="center"/>
    </xf>
    <xf numFmtId="0" fontId="3" fillId="20" borderId="244" xfId="6" applyFont="1" applyFill="1" applyBorder="1" applyAlignment="1" applyProtection="1"/>
    <xf numFmtId="0" fontId="3" fillId="20" borderId="244" xfId="0" applyFont="1" applyFill="1" applyBorder="1" applyAlignment="1" applyProtection="1"/>
    <xf numFmtId="0" fontId="9" fillId="20" borderId="299" xfId="0" applyFont="1" applyFill="1" applyBorder="1" applyAlignment="1" applyProtection="1">
      <alignment horizontal="left"/>
    </xf>
    <xf numFmtId="9" fontId="43" fillId="20" borderId="300" xfId="0" quotePrefix="1" applyNumberFormat="1" applyFont="1" applyFill="1" applyBorder="1" applyAlignment="1" applyProtection="1">
      <alignment horizontal="right"/>
    </xf>
    <xf numFmtId="9" fontId="43" fillId="20" borderId="242" xfId="0" quotePrefix="1" applyNumberFormat="1" applyFont="1" applyFill="1" applyBorder="1" applyAlignment="1" applyProtection="1">
      <alignment horizontal="right"/>
    </xf>
    <xf numFmtId="3" fontId="43" fillId="20" borderId="254" xfId="0" applyNumberFormat="1" applyFont="1" applyFill="1" applyBorder="1" applyAlignment="1" applyProtection="1">
      <alignment horizontal="right"/>
    </xf>
    <xf numFmtId="0" fontId="0" fillId="20" borderId="301" xfId="0" applyFill="1" applyBorder="1"/>
    <xf numFmtId="9" fontId="43" fillId="20" borderId="238" xfId="0" quotePrefix="1" applyNumberFormat="1" applyFont="1" applyFill="1" applyBorder="1" applyAlignment="1" applyProtection="1">
      <alignment horizontal="right"/>
    </xf>
    <xf numFmtId="9" fontId="43" fillId="20" borderId="239" xfId="0" quotePrefix="1" applyNumberFormat="1" applyFont="1" applyFill="1" applyBorder="1" applyAlignment="1" applyProtection="1">
      <alignment horizontal="right"/>
    </xf>
    <xf numFmtId="9" fontId="43" fillId="20" borderId="251" xfId="0" quotePrefix="1" applyNumberFormat="1" applyFont="1" applyFill="1" applyBorder="1" applyAlignment="1" applyProtection="1">
      <alignment horizontal="right"/>
    </xf>
    <xf numFmtId="3" fontId="3" fillId="20" borderId="302" xfId="0" applyNumberFormat="1" applyFont="1" applyFill="1" applyBorder="1" applyAlignment="1" applyProtection="1">
      <alignment wrapText="1"/>
    </xf>
    <xf numFmtId="3" fontId="3" fillId="20" borderId="293" xfId="0" applyNumberFormat="1" applyFont="1" applyFill="1" applyBorder="1" applyAlignment="1" applyProtection="1"/>
    <xf numFmtId="3" fontId="3" fillId="20" borderId="293" xfId="0" applyNumberFormat="1" applyFont="1" applyFill="1" applyBorder="1" applyAlignment="1" applyProtection="1">
      <alignment vertical="center" wrapText="1"/>
    </xf>
    <xf numFmtId="0" fontId="2" fillId="20" borderId="293" xfId="0" applyFont="1" applyFill="1" applyBorder="1" applyAlignment="1" applyProtection="1">
      <alignment wrapText="1"/>
    </xf>
    <xf numFmtId="0" fontId="9" fillId="20" borderId="303" xfId="0" applyFont="1" applyFill="1" applyBorder="1" applyAlignment="1" applyProtection="1">
      <alignment horizontal="left" wrapText="1"/>
    </xf>
    <xf numFmtId="3" fontId="3" fillId="20" borderId="304" xfId="0" applyNumberFormat="1" applyFont="1" applyFill="1" applyBorder="1" applyAlignment="1" applyProtection="1">
      <alignment horizontal="right"/>
    </xf>
    <xf numFmtId="0" fontId="0" fillId="20" borderId="293" xfId="0" applyFill="1" applyBorder="1"/>
    <xf numFmtId="3" fontId="39" fillId="20" borderId="305" xfId="0" applyNumberFormat="1" applyFont="1" applyFill="1" applyBorder="1" applyAlignment="1" applyProtection="1">
      <alignment horizontal="right"/>
    </xf>
    <xf numFmtId="3" fontId="3" fillId="20" borderId="293" xfId="0" applyNumberFormat="1" applyFont="1" applyFill="1" applyBorder="1" applyAlignment="1" applyProtection="1">
      <alignment horizontal="right"/>
    </xf>
    <xf numFmtId="3" fontId="3" fillId="20" borderId="306" xfId="0" applyNumberFormat="1" applyFont="1" applyFill="1" applyBorder="1" applyAlignment="1" applyProtection="1">
      <alignment horizontal="right"/>
    </xf>
    <xf numFmtId="3" fontId="116" fillId="20" borderId="293" xfId="0" applyNumberFormat="1" applyFont="1" applyFill="1" applyBorder="1" applyAlignment="1" applyProtection="1">
      <alignment horizontal="left" vertical="top"/>
    </xf>
    <xf numFmtId="0" fontId="117" fillId="20" borderId="305" xfId="0" applyFont="1" applyFill="1" applyBorder="1" applyAlignment="1">
      <alignment horizontal="left" vertical="top"/>
    </xf>
    <xf numFmtId="3" fontId="3" fillId="20" borderId="290" xfId="0" applyNumberFormat="1" applyFont="1" applyFill="1" applyBorder="1" applyAlignment="1" applyProtection="1">
      <alignment wrapText="1"/>
    </xf>
    <xf numFmtId="3" fontId="3" fillId="20" borderId="246" xfId="0" applyNumberFormat="1" applyFont="1" applyFill="1" applyBorder="1" applyAlignment="1" applyProtection="1"/>
    <xf numFmtId="3" fontId="3" fillId="20" borderId="246" xfId="0" applyNumberFormat="1" applyFont="1" applyFill="1" applyBorder="1" applyAlignment="1" applyProtection="1">
      <alignment vertical="center" wrapText="1"/>
    </xf>
    <xf numFmtId="0" fontId="2" fillId="20" borderId="246" xfId="0" applyFont="1" applyFill="1" applyBorder="1" applyAlignment="1" applyProtection="1">
      <alignment wrapText="1"/>
    </xf>
    <xf numFmtId="0" fontId="9" fillId="20" borderId="246" xfId="0" applyFont="1" applyFill="1" applyBorder="1" applyAlignment="1" applyProtection="1">
      <alignment horizontal="left" wrapText="1"/>
    </xf>
    <xf numFmtId="3" fontId="3" fillId="20" borderId="307" xfId="0" applyNumberFormat="1" applyFont="1" applyFill="1" applyBorder="1" applyAlignment="1" applyProtection="1">
      <alignment horizontal="left"/>
    </xf>
    <xf numFmtId="0" fontId="0" fillId="20" borderId="246" xfId="0" applyFill="1" applyBorder="1"/>
    <xf numFmtId="3" fontId="39" fillId="20" borderId="246" xfId="0" applyNumberFormat="1" applyFont="1" applyFill="1" applyBorder="1" applyAlignment="1" applyProtection="1">
      <alignment horizontal="left"/>
    </xf>
    <xf numFmtId="3" fontId="3" fillId="20" borderId="290" xfId="0" applyNumberFormat="1" applyFont="1" applyFill="1" applyBorder="1" applyAlignment="1" applyProtection="1">
      <alignment horizontal="left"/>
    </xf>
    <xf numFmtId="3" fontId="39" fillId="20" borderId="249" xfId="0" applyNumberFormat="1" applyFont="1" applyFill="1" applyBorder="1" applyAlignment="1" applyProtection="1">
      <alignment horizontal="right"/>
    </xf>
    <xf numFmtId="3" fontId="3" fillId="20" borderId="246" xfId="0" applyNumberFormat="1" applyFont="1" applyFill="1" applyBorder="1" applyAlignment="1" applyProtection="1">
      <alignment horizontal="left"/>
    </xf>
    <xf numFmtId="0" fontId="117" fillId="20" borderId="246" xfId="0" applyFont="1" applyFill="1" applyBorder="1" applyAlignment="1">
      <alignment horizontal="left" vertical="top"/>
    </xf>
    <xf numFmtId="0" fontId="117" fillId="20" borderId="255" xfId="0" applyFont="1" applyFill="1" applyBorder="1" applyAlignment="1">
      <alignment horizontal="left" vertical="top"/>
    </xf>
    <xf numFmtId="3" fontId="3" fillId="20" borderId="253" xfId="0" applyNumberFormat="1" applyFont="1" applyFill="1" applyBorder="1" applyAlignment="1" applyProtection="1">
      <alignment horizontal="left"/>
    </xf>
    <xf numFmtId="3" fontId="39" fillId="20" borderId="308" xfId="0" applyNumberFormat="1" applyFont="1" applyFill="1" applyBorder="1" applyAlignment="1" applyProtection="1">
      <alignment horizontal="right"/>
    </xf>
    <xf numFmtId="3" fontId="39" fillId="20" borderId="309" xfId="0" applyNumberFormat="1" applyFont="1" applyFill="1" applyBorder="1" applyAlignment="1" applyProtection="1">
      <alignment horizontal="left"/>
    </xf>
    <xf numFmtId="0" fontId="75" fillId="20" borderId="112" xfId="0" applyFont="1" applyFill="1" applyBorder="1" applyAlignment="1">
      <alignment wrapText="1"/>
    </xf>
    <xf numFmtId="0" fontId="75" fillId="20" borderId="67" xfId="0" applyFont="1" applyFill="1" applyBorder="1" applyAlignment="1">
      <alignment wrapText="1"/>
    </xf>
    <xf numFmtId="0" fontId="5" fillId="20" borderId="36" xfId="0" applyFont="1" applyFill="1" applyBorder="1" applyAlignment="1" applyProtection="1">
      <alignment horizontal="center" vertical="center"/>
    </xf>
    <xf numFmtId="0" fontId="0" fillId="20" borderId="121" xfId="0" applyFill="1" applyBorder="1" applyProtection="1"/>
    <xf numFmtId="0" fontId="3" fillId="20" borderId="125" xfId="0" applyFont="1" applyFill="1" applyBorder="1" applyAlignment="1" applyProtection="1">
      <alignment wrapText="1"/>
    </xf>
    <xf numFmtId="0" fontId="0" fillId="20" borderId="79" xfId="0" applyFill="1" applyBorder="1" applyAlignment="1">
      <alignment wrapText="1"/>
    </xf>
    <xf numFmtId="0" fontId="3" fillId="20" borderId="50" xfId="0" applyFont="1" applyFill="1" applyBorder="1" applyAlignment="1" applyProtection="1">
      <alignment wrapText="1"/>
    </xf>
    <xf numFmtId="0" fontId="22" fillId="20" borderId="52" xfId="0" applyFont="1" applyFill="1" applyBorder="1" applyAlignment="1">
      <alignment wrapText="1"/>
    </xf>
    <xf numFmtId="0" fontId="1" fillId="20" borderId="121" xfId="0" applyFont="1" applyFill="1" applyBorder="1" applyAlignment="1" applyProtection="1"/>
    <xf numFmtId="3" fontId="43" fillId="21" borderId="127" xfId="0" applyNumberFormat="1" applyFont="1" applyFill="1" applyBorder="1" applyAlignment="1" applyProtection="1"/>
    <xf numFmtId="3" fontId="43" fillId="21" borderId="21" xfId="0" applyNumberFormat="1" applyFont="1" applyFill="1" applyBorder="1" applyAlignment="1" applyProtection="1"/>
    <xf numFmtId="3" fontId="43" fillId="21" borderId="60" xfId="0" applyNumberFormat="1" applyFont="1" applyFill="1" applyBorder="1" applyAlignment="1" applyProtection="1"/>
    <xf numFmtId="3" fontId="43" fillId="21" borderId="18" xfId="0" applyNumberFormat="1" applyFont="1" applyFill="1" applyBorder="1" applyAlignment="1" applyProtection="1"/>
    <xf numFmtId="1" fontId="15" fillId="20" borderId="15" xfId="0" applyNumberFormat="1" applyFont="1" applyFill="1" applyBorder="1" applyAlignment="1" applyProtection="1">
      <alignment horizontal="left" vertical="top" wrapText="1"/>
    </xf>
    <xf numFmtId="0" fontId="49" fillId="20" borderId="42" xfId="0" applyFont="1" applyFill="1" applyBorder="1" applyAlignment="1">
      <alignment horizontal="left" vertical="top" wrapText="1"/>
    </xf>
    <xf numFmtId="0" fontId="5" fillId="20" borderId="121" xfId="0" applyFont="1" applyFill="1" applyBorder="1" applyAlignment="1" applyProtection="1"/>
    <xf numFmtId="3" fontId="5" fillId="20" borderId="36" xfId="0" applyNumberFormat="1" applyFont="1" applyFill="1" applyBorder="1" applyAlignment="1" applyProtection="1">
      <alignment horizontal="center" vertical="center"/>
    </xf>
    <xf numFmtId="0" fontId="7" fillId="20" borderId="121" xfId="0" applyFont="1" applyFill="1" applyBorder="1" applyAlignment="1" applyProtection="1"/>
    <xf numFmtId="0" fontId="3" fillId="20" borderId="183" xfId="0" applyFont="1" applyFill="1" applyBorder="1" applyAlignment="1" applyProtection="1">
      <alignment horizontal="left" wrapText="1"/>
    </xf>
    <xf numFmtId="0" fontId="0" fillId="20" borderId="184" xfId="0" applyFill="1" applyBorder="1" applyAlignment="1" applyProtection="1"/>
    <xf numFmtId="0" fontId="0" fillId="20" borderId="185" xfId="0" applyFill="1" applyBorder="1" applyAlignment="1" applyProtection="1"/>
    <xf numFmtId="1" fontId="5" fillId="0" borderId="0" xfId="0" applyNumberFormat="1" applyFont="1" applyFill="1" applyBorder="1" applyAlignment="1" applyProtection="1">
      <alignment horizontal="left" wrapText="1"/>
    </xf>
    <xf numFmtId="0" fontId="0" fillId="0" borderId="0" xfId="0" applyFill="1" applyBorder="1" applyAlignment="1">
      <alignment horizontal="left" wrapText="1"/>
    </xf>
    <xf numFmtId="1" fontId="3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vertical="top" wrapText="1"/>
    </xf>
    <xf numFmtId="1" fontId="2" fillId="20" borderId="15" xfId="0" applyNumberFormat="1" applyFont="1" applyFill="1" applyBorder="1" applyAlignment="1" applyProtection="1">
      <alignment horizontal="left" wrapText="1"/>
    </xf>
    <xf numFmtId="0" fontId="9" fillId="20" borderId="15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11" fillId="0" borderId="0" xfId="0" applyFont="1" applyFill="1" applyAlignment="1" applyProtection="1">
      <alignment vertical="top" wrapText="1"/>
    </xf>
    <xf numFmtId="0" fontId="111" fillId="0" borderId="0" xfId="0" applyFont="1" applyFill="1" applyBorder="1" applyAlignment="1">
      <alignment wrapText="1"/>
    </xf>
    <xf numFmtId="0" fontId="111" fillId="0" borderId="0" xfId="0" applyFont="1" applyFill="1" applyAlignment="1">
      <alignment vertical="top" wrapText="1"/>
    </xf>
    <xf numFmtId="0" fontId="134" fillId="0" borderId="0" xfId="0" applyFont="1" applyFill="1" applyBorder="1" applyAlignment="1">
      <alignment horizontal="left" wrapText="1"/>
    </xf>
    <xf numFmtId="0" fontId="134" fillId="0" borderId="57" xfId="0" applyFont="1" applyBorder="1" applyAlignment="1">
      <alignment horizontal="left" wrapText="1"/>
    </xf>
    <xf numFmtId="0" fontId="134" fillId="0" borderId="0" xfId="0" applyFont="1" applyAlignment="1">
      <alignment horizontal="left" wrapText="1"/>
    </xf>
    <xf numFmtId="0" fontId="134" fillId="0" borderId="0" xfId="0" applyFont="1" applyBorder="1" applyAlignment="1">
      <alignment horizontal="left" wrapText="1"/>
    </xf>
    <xf numFmtId="0" fontId="3" fillId="20" borderId="118" xfId="0" applyFont="1" applyFill="1" applyBorder="1" applyAlignment="1" applyProtection="1">
      <alignment horizontal="left" vertical="top" wrapText="1"/>
    </xf>
    <xf numFmtId="0" fontId="0" fillId="0" borderId="42" xfId="0" applyBorder="1"/>
    <xf numFmtId="49" fontId="18" fillId="0" borderId="0" xfId="0" applyNumberFormat="1" applyFont="1" applyFill="1" applyBorder="1" applyAlignment="1" applyProtection="1">
      <alignment horizontal="left" wrapText="1"/>
    </xf>
    <xf numFmtId="0" fontId="53" fillId="0" borderId="0" xfId="0" applyFont="1" applyAlignment="1">
      <alignment horizontal="left" wrapText="1"/>
    </xf>
    <xf numFmtId="0" fontId="0" fillId="0" borderId="0" xfId="0" applyAlignment="1"/>
    <xf numFmtId="0" fontId="53" fillId="0" borderId="0" xfId="0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137" fillId="37" borderId="0" xfId="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vertical="center" wrapText="1"/>
    </xf>
    <xf numFmtId="3" fontId="3" fillId="0" borderId="58" xfId="0" applyNumberFormat="1" applyFont="1" applyFill="1" applyBorder="1" applyAlignment="1" applyProtection="1"/>
    <xf numFmtId="0" fontId="7" fillId="0" borderId="57" xfId="0" applyFont="1" applyFill="1" applyBorder="1" applyAlignment="1"/>
    <xf numFmtId="0" fontId="2" fillId="20" borderId="193" xfId="0" applyFont="1" applyFill="1" applyBorder="1" applyAlignment="1" applyProtection="1">
      <alignment horizontal="center" vertical="top"/>
    </xf>
    <xf numFmtId="0" fontId="9" fillId="20" borderId="48" xfId="0" applyFont="1" applyFill="1" applyBorder="1" applyAlignment="1" applyProtection="1">
      <alignment horizontal="center" vertical="top"/>
    </xf>
    <xf numFmtId="0" fontId="9" fillId="20" borderId="41" xfId="0" applyFont="1" applyFill="1" applyBorder="1" applyAlignment="1" applyProtection="1">
      <alignment horizontal="center" vertical="top"/>
    </xf>
    <xf numFmtId="0" fontId="5" fillId="20" borderId="200" xfId="0" applyFont="1" applyFill="1" applyBorder="1" applyAlignment="1" applyProtection="1">
      <alignment horizontal="center" vertical="center" wrapText="1"/>
    </xf>
    <xf numFmtId="0" fontId="5" fillId="20" borderId="165" xfId="0" applyFont="1" applyFill="1" applyBorder="1" applyAlignment="1" applyProtection="1">
      <alignment horizontal="center" vertical="center" wrapText="1"/>
    </xf>
    <xf numFmtId="0" fontId="5" fillId="20" borderId="223" xfId="0" applyFont="1" applyFill="1" applyBorder="1" applyAlignment="1" applyProtection="1">
      <alignment horizontal="center" vertical="center" wrapText="1"/>
    </xf>
    <xf numFmtId="3" fontId="3" fillId="20" borderId="75" xfId="0" applyNumberFormat="1" applyFont="1" applyFill="1" applyBorder="1" applyAlignment="1" applyProtection="1">
      <alignment horizontal="left" wrapText="1"/>
    </xf>
    <xf numFmtId="0" fontId="22" fillId="20" borderId="76" xfId="0" applyFont="1" applyFill="1" applyBorder="1" applyAlignment="1" applyProtection="1">
      <alignment horizontal="left" wrapText="1"/>
    </xf>
    <xf numFmtId="0" fontId="22" fillId="20" borderId="92" xfId="0" applyFont="1" applyFill="1" applyBorder="1" applyAlignment="1" applyProtection="1">
      <alignment horizontal="left" wrapText="1"/>
    </xf>
    <xf numFmtId="3" fontId="3" fillId="20" borderId="75" xfId="0" applyNumberFormat="1" applyFont="1" applyFill="1" applyBorder="1" applyAlignment="1" applyProtection="1">
      <alignment horizontal="left" vertical="top" wrapText="1"/>
    </xf>
    <xf numFmtId="0" fontId="22" fillId="20" borderId="76" xfId="0" applyFont="1" applyFill="1" applyBorder="1" applyAlignment="1" applyProtection="1">
      <alignment horizontal="left" vertical="top" wrapText="1"/>
    </xf>
    <xf numFmtId="0" fontId="22" fillId="20" borderId="92" xfId="0" applyFont="1" applyFill="1" applyBorder="1" applyAlignment="1" applyProtection="1">
      <alignment horizontal="left" vertical="top" wrapText="1"/>
    </xf>
    <xf numFmtId="3" fontId="3" fillId="20" borderId="75" xfId="0" applyNumberFormat="1" applyFont="1" applyFill="1" applyBorder="1" applyAlignment="1" applyProtection="1">
      <alignment vertical="center" wrapText="1"/>
    </xf>
    <xf numFmtId="0" fontId="0" fillId="20" borderId="76" xfId="0" applyFill="1" applyBorder="1" applyAlignment="1" applyProtection="1">
      <alignment vertical="center"/>
    </xf>
    <xf numFmtId="0" fontId="0" fillId="20" borderId="92" xfId="0" applyFill="1" applyBorder="1" applyAlignment="1" applyProtection="1">
      <alignment vertical="center"/>
    </xf>
    <xf numFmtId="3" fontId="3" fillId="20" borderId="158" xfId="0" applyNumberFormat="1" applyFont="1" applyFill="1" applyBorder="1" applyAlignment="1" applyProtection="1">
      <alignment horizontal="left" vertical="top" wrapText="1"/>
    </xf>
    <xf numFmtId="0" fontId="0" fillId="0" borderId="158" xfId="0" applyBorder="1" applyAlignment="1">
      <alignment horizontal="left" wrapText="1"/>
    </xf>
    <xf numFmtId="3" fontId="10" fillId="0" borderId="201" xfId="0" applyNumberFormat="1" applyFont="1" applyFill="1" applyBorder="1" applyAlignment="1" applyProtection="1">
      <alignment horizontal="left" vertical="top" wrapText="1"/>
      <protection locked="0"/>
    </xf>
    <xf numFmtId="0" fontId="2" fillId="0" borderId="224" xfId="0" applyFont="1" applyFill="1" applyBorder="1" applyAlignment="1" applyProtection="1">
      <alignment horizontal="left" vertical="top" wrapText="1"/>
      <protection locked="0"/>
    </xf>
    <xf numFmtId="0" fontId="2" fillId="0" borderId="245" xfId="0" applyFont="1" applyFill="1" applyBorder="1" applyAlignment="1" applyProtection="1">
      <alignment horizontal="left" vertical="top" wrapText="1"/>
      <protection locked="0"/>
    </xf>
    <xf numFmtId="0" fontId="2" fillId="0" borderId="201" xfId="0" applyFont="1" applyFill="1" applyBorder="1" applyAlignment="1" applyProtection="1">
      <alignment horizontal="left" vertical="top" wrapText="1"/>
      <protection locked="0"/>
    </xf>
    <xf numFmtId="3" fontId="3" fillId="20" borderId="205" xfId="0" applyNumberFormat="1" applyFont="1" applyFill="1" applyBorder="1" applyAlignment="1" applyProtection="1">
      <alignment vertical="center" wrapText="1"/>
    </xf>
    <xf numFmtId="3" fontId="3" fillId="20" borderId="195" xfId="0" applyNumberFormat="1" applyFont="1" applyFill="1" applyBorder="1" applyAlignment="1" applyProtection="1">
      <alignment vertical="center" wrapText="1"/>
    </xf>
    <xf numFmtId="0" fontId="3" fillId="20" borderId="12" xfId="0" applyFont="1" applyFill="1" applyBorder="1" applyAlignment="1" applyProtection="1">
      <alignment horizontal="left" vertical="top" wrapText="1"/>
    </xf>
    <xf numFmtId="0" fontId="0" fillId="0" borderId="92" xfId="0" applyBorder="1" applyAlignment="1"/>
    <xf numFmtId="3" fontId="3" fillId="20" borderId="75" xfId="0" applyNumberFormat="1" applyFont="1" applyFill="1" applyBorder="1" applyAlignment="1" applyProtection="1">
      <alignment wrapText="1"/>
    </xf>
    <xf numFmtId="0" fontId="0" fillId="20" borderId="76" xfId="0" applyFill="1" applyBorder="1" applyAlignment="1">
      <alignment wrapText="1"/>
    </xf>
    <xf numFmtId="0" fontId="0" fillId="20" borderId="92" xfId="0" applyFill="1" applyBorder="1" applyAlignment="1">
      <alignment wrapText="1"/>
    </xf>
    <xf numFmtId="3" fontId="3" fillId="20" borderId="160" xfId="6" applyNumberFormat="1" applyFont="1" applyFill="1" applyBorder="1" applyAlignment="1" applyProtection="1">
      <alignment horizontal="left" vertical="top" wrapText="1"/>
    </xf>
    <xf numFmtId="0" fontId="22" fillId="20" borderId="160" xfId="6" applyFill="1" applyBorder="1" applyAlignment="1">
      <alignment horizontal="left" wrapText="1"/>
    </xf>
    <xf numFmtId="3" fontId="3" fillId="20" borderId="228" xfId="0" applyNumberFormat="1" applyFont="1" applyFill="1" applyBorder="1" applyAlignment="1" applyProtection="1">
      <alignment horizontal="left" vertical="top" wrapText="1"/>
    </xf>
    <xf numFmtId="0" fontId="0" fillId="0" borderId="44" xfId="0" applyBorder="1" applyAlignment="1">
      <alignment horizontal="left" wrapText="1"/>
    </xf>
    <xf numFmtId="3" fontId="3" fillId="20" borderId="258" xfId="0" applyNumberFormat="1" applyFont="1" applyFill="1" applyBorder="1" applyAlignment="1" applyProtection="1">
      <alignment horizontal="left" vertical="top" wrapText="1"/>
    </xf>
    <xf numFmtId="0" fontId="0" fillId="0" borderId="259" xfId="0" applyBorder="1" applyAlignment="1">
      <alignment horizontal="left" wrapText="1"/>
    </xf>
    <xf numFmtId="0" fontId="2" fillId="20" borderId="49" xfId="0" applyFont="1" applyFill="1" applyBorder="1" applyAlignment="1" applyProtection="1">
      <alignment horizontal="center" vertical="top"/>
    </xf>
    <xf numFmtId="0" fontId="2" fillId="20" borderId="166" xfId="0" applyFont="1" applyFill="1" applyBorder="1" applyAlignment="1" applyProtection="1">
      <alignment horizontal="center" vertical="top"/>
    </xf>
    <xf numFmtId="3" fontId="2" fillId="20" borderId="49" xfId="0" applyNumberFormat="1" applyFont="1" applyFill="1" applyBorder="1" applyAlignment="1" applyProtection="1">
      <alignment horizontal="center" vertical="top"/>
    </xf>
    <xf numFmtId="3" fontId="2" fillId="20" borderId="48" xfId="0" applyNumberFormat="1" applyFont="1" applyFill="1" applyBorder="1" applyAlignment="1" applyProtection="1">
      <alignment horizontal="center" vertical="top"/>
    </xf>
    <xf numFmtId="3" fontId="2" fillId="20" borderId="166" xfId="0" applyNumberFormat="1" applyFont="1" applyFill="1" applyBorder="1" applyAlignment="1" applyProtection="1">
      <alignment horizontal="center" vertical="top"/>
    </xf>
    <xf numFmtId="0" fontId="2" fillId="20" borderId="48" xfId="0" applyFont="1" applyFill="1" applyBorder="1" applyAlignment="1" applyProtection="1">
      <alignment horizontal="center" vertical="top"/>
    </xf>
    <xf numFmtId="3" fontId="2" fillId="20" borderId="49" xfId="0" applyNumberFormat="1" applyFont="1" applyFill="1" applyBorder="1" applyAlignment="1" applyProtection="1">
      <alignment horizontal="left" vertical="top" wrapText="1"/>
    </xf>
    <xf numFmtId="0" fontId="9" fillId="20" borderId="41" xfId="0" applyFont="1" applyFill="1" applyBorder="1" applyAlignment="1" applyProtection="1">
      <alignment vertical="top" wrapText="1"/>
    </xf>
    <xf numFmtId="0" fontId="3" fillId="2" borderId="200" xfId="0" applyFont="1" applyFill="1" applyBorder="1" applyAlignment="1" applyProtection="1">
      <alignment horizontal="right"/>
    </xf>
    <xf numFmtId="0" fontId="0" fillId="0" borderId="165" xfId="0" applyBorder="1" applyAlignment="1">
      <alignment horizontal="right"/>
    </xf>
    <xf numFmtId="0" fontId="0" fillId="0" borderId="102" xfId="0" applyBorder="1" applyAlignment="1">
      <alignment horizontal="right"/>
    </xf>
    <xf numFmtId="0" fontId="127" fillId="20" borderId="27" xfId="0" applyFont="1" applyFill="1" applyBorder="1" applyAlignment="1" applyProtection="1">
      <alignment wrapText="1"/>
    </xf>
    <xf numFmtId="0" fontId="0" fillId="20" borderId="27" xfId="0" applyFill="1" applyBorder="1" applyAlignment="1">
      <alignment wrapText="1"/>
    </xf>
    <xf numFmtId="0" fontId="3" fillId="20" borderId="0" xfId="0" applyFont="1" applyFill="1" applyBorder="1" applyAlignment="1" applyProtection="1">
      <alignment wrapText="1"/>
    </xf>
    <xf numFmtId="0" fontId="22" fillId="20" borderId="0" xfId="0" applyFont="1" applyFill="1" applyAlignment="1">
      <alignment wrapText="1"/>
    </xf>
    <xf numFmtId="0" fontId="3" fillId="20" borderId="27" xfId="0" applyFont="1" applyFill="1" applyBorder="1" applyAlignment="1" applyProtection="1">
      <alignment wrapText="1"/>
    </xf>
    <xf numFmtId="0" fontId="3" fillId="20" borderId="27" xfId="0" applyFont="1" applyFill="1" applyBorder="1" applyAlignment="1" applyProtection="1">
      <alignment horizontal="left" vertical="top" wrapText="1"/>
    </xf>
    <xf numFmtId="0" fontId="0" fillId="20" borderId="27" xfId="0" applyFill="1" applyBorder="1" applyAlignment="1">
      <alignment horizontal="left" vertical="top" wrapText="1"/>
    </xf>
    <xf numFmtId="0" fontId="0" fillId="20" borderId="0" xfId="0" applyFill="1" applyAlignment="1">
      <alignment wrapText="1"/>
    </xf>
    <xf numFmtId="0" fontId="127" fillId="20" borderId="0" xfId="0" applyFont="1" applyFill="1" applyBorder="1" applyAlignment="1" applyProtection="1">
      <alignment wrapText="1"/>
    </xf>
    <xf numFmtId="0" fontId="0" fillId="20" borderId="39" xfId="0" applyFill="1" applyBorder="1" applyAlignment="1">
      <alignment wrapText="1"/>
    </xf>
    <xf numFmtId="0" fontId="54" fillId="0" borderId="0" xfId="0" applyFont="1" applyFill="1" applyBorder="1" applyAlignment="1" applyProtection="1">
      <alignment horizontal="left" wrapText="1"/>
    </xf>
    <xf numFmtId="0" fontId="5" fillId="20" borderId="279" xfId="0" applyFont="1" applyFill="1" applyBorder="1" applyAlignment="1" applyProtection="1">
      <alignment vertical="top" wrapText="1"/>
    </xf>
    <xf numFmtId="0" fontId="49" fillId="20" borderId="280" xfId="0" applyFont="1" applyFill="1" applyBorder="1" applyAlignment="1" applyProtection="1">
      <alignment vertical="top" wrapText="1"/>
    </xf>
    <xf numFmtId="0" fontId="5" fillId="20" borderId="268" xfId="0" applyFont="1" applyFill="1" applyBorder="1" applyAlignment="1" applyProtection="1">
      <alignment vertical="top" wrapText="1"/>
    </xf>
    <xf numFmtId="0" fontId="5" fillId="20" borderId="269" xfId="0" applyFont="1" applyFill="1" applyBorder="1" applyAlignment="1" applyProtection="1">
      <alignment vertical="top" wrapText="1"/>
    </xf>
    <xf numFmtId="0" fontId="5" fillId="20" borderId="270" xfId="0" applyFont="1" applyFill="1" applyBorder="1" applyAlignment="1" applyProtection="1">
      <alignment vertical="top" wrapText="1"/>
    </xf>
    <xf numFmtId="0" fontId="3" fillId="20" borderId="15" xfId="0" applyFont="1" applyFill="1" applyBorder="1" applyAlignment="1" applyProtection="1">
      <alignment vertical="top" wrapText="1"/>
    </xf>
    <xf numFmtId="0" fontId="0" fillId="20" borderId="15" xfId="0" applyFill="1" applyBorder="1" applyAlignment="1" applyProtection="1">
      <alignment vertical="top" wrapText="1"/>
    </xf>
    <xf numFmtId="0" fontId="0" fillId="20" borderId="42" xfId="0" applyFill="1" applyBorder="1" applyAlignment="1" applyProtection="1">
      <alignment vertical="top" wrapText="1"/>
    </xf>
    <xf numFmtId="0" fontId="3" fillId="20" borderId="60" xfId="0" applyFont="1" applyFill="1" applyBorder="1" applyAlignment="1" applyProtection="1">
      <alignment vertical="top" wrapText="1"/>
    </xf>
    <xf numFmtId="0" fontId="0" fillId="20" borderId="60" xfId="0" applyFill="1" applyBorder="1" applyAlignment="1" applyProtection="1">
      <alignment vertical="top" wrapText="1"/>
    </xf>
    <xf numFmtId="0" fontId="0" fillId="20" borderId="90" xfId="0" applyFill="1" applyBorder="1" applyAlignment="1" applyProtection="1">
      <alignment vertical="top" wrapText="1"/>
    </xf>
    <xf numFmtId="0" fontId="5" fillId="20" borderId="191" xfId="0" applyFont="1" applyFill="1" applyBorder="1" applyAlignment="1" applyProtection="1">
      <alignment horizontal="left" vertical="top" wrapText="1"/>
    </xf>
    <xf numFmtId="0" fontId="0" fillId="20" borderId="124" xfId="0" applyFill="1" applyBorder="1" applyAlignment="1">
      <alignment vertical="top"/>
    </xf>
    <xf numFmtId="0" fontId="0" fillId="20" borderId="111" xfId="0" applyFill="1" applyBorder="1" applyAlignment="1">
      <alignment vertical="top"/>
    </xf>
    <xf numFmtId="0" fontId="0" fillId="20" borderId="1" xfId="0" applyFill="1" applyBorder="1" applyAlignment="1">
      <alignment vertical="top"/>
    </xf>
    <xf numFmtId="0" fontId="3" fillId="20" borderId="243" xfId="6" applyFont="1" applyFill="1" applyBorder="1" applyAlignment="1" applyProtection="1">
      <alignment wrapText="1"/>
    </xf>
    <xf numFmtId="0" fontId="0" fillId="0" borderId="244" xfId="0" applyBorder="1" applyAlignment="1">
      <alignment wrapText="1"/>
    </xf>
    <xf numFmtId="3" fontId="3" fillId="20" borderId="286" xfId="6" applyNumberFormat="1" applyFont="1" applyFill="1" applyBorder="1" applyAlignment="1" applyProtection="1">
      <alignment vertical="top" wrapText="1"/>
    </xf>
    <xf numFmtId="0" fontId="22" fillId="20" borderId="246" xfId="6" applyFill="1" applyBorder="1" applyAlignment="1" applyProtection="1"/>
    <xf numFmtId="0" fontId="22" fillId="20" borderId="286" xfId="6" applyFill="1" applyBorder="1" applyAlignment="1" applyProtection="1"/>
    <xf numFmtId="0" fontId="130" fillId="20" borderId="246" xfId="0" applyFont="1" applyFill="1" applyBorder="1" applyAlignment="1">
      <alignment vertical="top" wrapText="1"/>
    </xf>
    <xf numFmtId="0" fontId="0" fillId="20" borderId="246" xfId="0" applyFill="1" applyBorder="1" applyAlignment="1">
      <alignment vertical="top" wrapText="1"/>
    </xf>
    <xf numFmtId="0" fontId="132" fillId="20" borderId="246" xfId="0" applyFont="1" applyFill="1" applyBorder="1" applyAlignment="1">
      <alignment wrapText="1"/>
    </xf>
    <xf numFmtId="0" fontId="133" fillId="0" borderId="246" xfId="0" applyFont="1" applyBorder="1" applyAlignment="1">
      <alignment wrapText="1"/>
    </xf>
    <xf numFmtId="0" fontId="131" fillId="20" borderId="254" xfId="0" applyFont="1" applyFill="1" applyBorder="1" applyAlignment="1">
      <alignment horizontal="left" vertical="top" wrapText="1"/>
    </xf>
    <xf numFmtId="0" fontId="0" fillId="20" borderId="246" xfId="0" applyFill="1" applyBorder="1" applyAlignment="1">
      <alignment horizontal="left" vertical="top" wrapText="1"/>
    </xf>
    <xf numFmtId="0" fontId="0" fillId="20" borderId="255" xfId="0" applyFill="1" applyBorder="1" applyAlignment="1">
      <alignment horizontal="left" vertical="top" wrapText="1"/>
    </xf>
    <xf numFmtId="0" fontId="49" fillId="20" borderId="36" xfId="6" applyFont="1" applyFill="1" applyBorder="1" applyAlignment="1" applyProtection="1">
      <alignment vertical="center" wrapText="1"/>
    </xf>
    <xf numFmtId="0" fontId="0" fillId="0" borderId="96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44" xfId="0" applyBorder="1" applyAlignment="1">
      <alignment wrapText="1"/>
    </xf>
    <xf numFmtId="0" fontId="3" fillId="20" borderId="118" xfId="6" applyFont="1" applyFill="1" applyBorder="1" applyAlignment="1" applyProtection="1">
      <alignment vertical="top" wrapText="1"/>
    </xf>
    <xf numFmtId="0" fontId="0" fillId="0" borderId="2" xfId="0" applyBorder="1" applyAlignment="1">
      <alignment vertical="top" wrapText="1"/>
    </xf>
    <xf numFmtId="3" fontId="3" fillId="20" borderId="16" xfId="6" applyNumberFormat="1" applyFont="1" applyFill="1" applyBorder="1" applyAlignment="1" applyProtection="1">
      <alignment vertical="top" wrapText="1"/>
    </xf>
    <xf numFmtId="0" fontId="0" fillId="20" borderId="16" xfId="0" applyFill="1" applyBorder="1" applyAlignment="1">
      <alignment wrapText="1"/>
    </xf>
    <xf numFmtId="3" fontId="3" fillId="20" borderId="15" xfId="6" applyNumberFormat="1" applyFont="1" applyFill="1" applyBorder="1" applyAlignment="1" applyProtection="1">
      <alignment vertical="top" wrapText="1"/>
    </xf>
    <xf numFmtId="0" fontId="0" fillId="20" borderId="15" xfId="0" applyFill="1" applyBorder="1" applyAlignment="1">
      <alignment vertical="top" wrapText="1"/>
    </xf>
    <xf numFmtId="0" fontId="0" fillId="20" borderId="15" xfId="0" applyFill="1" applyBorder="1" applyAlignment="1">
      <alignment wrapText="1"/>
    </xf>
    <xf numFmtId="0" fontId="3" fillId="20" borderId="15" xfId="6" applyFont="1" applyFill="1" applyBorder="1" applyAlignment="1" applyProtection="1">
      <alignment vertical="top" wrapText="1"/>
    </xf>
    <xf numFmtId="0" fontId="0" fillId="20" borderId="42" xfId="0" applyFill="1" applyBorder="1" applyAlignment="1">
      <alignment vertical="top" wrapText="1"/>
    </xf>
    <xf numFmtId="3" fontId="3" fillId="20" borderId="159" xfId="6" applyNumberFormat="1" applyFont="1" applyFill="1" applyBorder="1" applyAlignment="1" applyProtection="1">
      <alignment vertical="center" wrapText="1"/>
    </xf>
    <xf numFmtId="0" fontId="0" fillId="20" borderId="159" xfId="0" applyFill="1" applyBorder="1" applyAlignment="1">
      <alignment vertical="center" wrapText="1"/>
    </xf>
    <xf numFmtId="3" fontId="3" fillId="20" borderId="169" xfId="6" applyNumberFormat="1" applyFont="1" applyFill="1" applyBorder="1" applyAlignment="1" applyProtection="1">
      <alignment wrapText="1"/>
    </xf>
    <xf numFmtId="0" fontId="0" fillId="20" borderId="3" xfId="0" applyFill="1" applyBorder="1" applyAlignment="1">
      <alignment wrapText="1"/>
    </xf>
    <xf numFmtId="0" fontId="0" fillId="20" borderId="159" xfId="0" applyFill="1" applyBorder="1" applyAlignment="1">
      <alignment vertical="center"/>
    </xf>
    <xf numFmtId="3" fontId="3" fillId="20" borderId="159" xfId="6" applyNumberFormat="1" applyFont="1" applyFill="1" applyBorder="1" applyAlignment="1" applyProtection="1">
      <alignment vertical="top" wrapText="1"/>
    </xf>
    <xf numFmtId="0" fontId="22" fillId="20" borderId="159" xfId="0" applyFont="1" applyFill="1" applyBorder="1" applyAlignment="1">
      <alignment vertical="top" wrapText="1"/>
    </xf>
    <xf numFmtId="3" fontId="3" fillId="20" borderId="159" xfId="0" applyNumberFormat="1" applyFont="1" applyFill="1" applyBorder="1" applyAlignment="1" applyProtection="1">
      <alignment vertical="top" wrapText="1"/>
    </xf>
    <xf numFmtId="0" fontId="22" fillId="20" borderId="177" xfId="0" applyFont="1" applyFill="1" applyBorder="1" applyAlignment="1">
      <alignment vertical="top" wrapText="1"/>
    </xf>
    <xf numFmtId="3" fontId="3" fillId="20" borderId="159" xfId="0" applyNumberFormat="1" applyFont="1" applyFill="1" applyBorder="1" applyAlignment="1" applyProtection="1">
      <alignment wrapText="1"/>
    </xf>
    <xf numFmtId="0" fontId="0" fillId="20" borderId="159" xfId="0" applyFill="1" applyBorder="1" applyAlignment="1">
      <alignment wrapText="1"/>
    </xf>
    <xf numFmtId="0" fontId="3" fillId="20" borderId="159" xfId="0" applyFont="1" applyFill="1" applyBorder="1" applyAlignment="1" applyProtection="1">
      <alignment vertical="top" wrapText="1"/>
    </xf>
    <xf numFmtId="0" fontId="0" fillId="0" borderId="159" xfId="0" applyBorder="1" applyAlignment="1">
      <alignment vertical="top" wrapText="1"/>
    </xf>
    <xf numFmtId="3" fontId="3" fillId="20" borderId="108" xfId="0" applyNumberFormat="1" applyFont="1" applyFill="1" applyBorder="1" applyAlignment="1" applyProtection="1">
      <alignment vertical="top" wrapText="1"/>
    </xf>
    <xf numFmtId="0" fontId="3" fillId="20" borderId="243" xfId="0" applyFont="1" applyFill="1" applyBorder="1" applyAlignment="1" applyProtection="1">
      <alignment vertical="top" wrapText="1"/>
    </xf>
    <xf numFmtId="0" fontId="0" fillId="0" borderId="244" xfId="0" applyBorder="1" applyAlignment="1">
      <alignment vertical="top" wrapText="1"/>
    </xf>
  </cellXfs>
  <cellStyles count="17">
    <cellStyle name="Anteckning 2" xfId="1"/>
    <cellStyle name="Anteckning 2 2" xfId="2"/>
    <cellStyle name="Dålig 2" xfId="3"/>
    <cellStyle name="Följde hyperlänken" xfId="4"/>
    <cellStyle name="Hyperlänk" xfId="5" builtinId="8"/>
    <cellStyle name="Normal" xfId="0" builtinId="0"/>
    <cellStyle name="Normal 2" xfId="6"/>
    <cellStyle name="Normal 3" xfId="7"/>
    <cellStyle name="Normal 4" xfId="8"/>
    <cellStyle name="Normal 4 2" xfId="9"/>
    <cellStyle name="Normal_Kontrollblad" xfId="10"/>
    <cellStyle name="Normal_skolkostn" xfId="11"/>
    <cellStyle name="Normal_skolkostn 2" xfId="12"/>
    <cellStyle name="Procent" xfId="13" builtinId="5"/>
    <cellStyle name="Procent 2" xfId="14"/>
    <cellStyle name="Tusental (0)_Kommunägda företag" xfId="15"/>
    <cellStyle name="Valuta (0)_Kommunägda företag" xfId="16"/>
  </cellStyles>
  <dxfs count="162"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color rgb="FFFF0000"/>
      </font>
    </dxf>
    <dxf>
      <font>
        <b val="0"/>
        <i val="0"/>
        <condense val="0"/>
        <extend val="0"/>
        <color auto="1"/>
      </font>
      <fill>
        <patternFill>
          <bgColor indexed="10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10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auto="1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 val="0"/>
        <i val="0"/>
        <color auto="1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/>
        <i val="0"/>
        <color rgb="FFFF0000"/>
      </font>
    </dxf>
    <dxf>
      <font>
        <b val="0"/>
        <i val="0"/>
        <color auto="1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color auto="1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color auto="1"/>
        <name val="Cambria"/>
        <scheme val="none"/>
      </font>
      <fill>
        <patternFill patternType="solid">
          <bgColor theme="9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83820</xdr:colOff>
      <xdr:row>28</xdr:row>
      <xdr:rowOff>11430</xdr:rowOff>
    </xdr:from>
    <xdr:ext cx="184731" cy="262400"/>
    <xdr:sp macro="" textlink="">
      <xdr:nvSpPr>
        <xdr:cNvPr id="2" name="textruta 1"/>
        <xdr:cNvSpPr txBox="1"/>
      </xdr:nvSpPr>
      <xdr:spPr>
        <a:xfrm>
          <a:off x="5617845" y="5097780"/>
          <a:ext cx="184731" cy="26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v-SE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76200</xdr:rowOff>
    </xdr:from>
    <xdr:to>
      <xdr:col>6</xdr:col>
      <xdr:colOff>28575</xdr:colOff>
      <xdr:row>12</xdr:row>
      <xdr:rowOff>76200</xdr:rowOff>
    </xdr:to>
    <xdr:cxnSp macro="">
      <xdr:nvCxnSpPr>
        <xdr:cNvPr id="186129" name="AutoShape 242"/>
        <xdr:cNvCxnSpPr>
          <a:cxnSpLocks noChangeShapeType="1"/>
        </xdr:cNvCxnSpPr>
      </xdr:nvCxnSpPr>
      <xdr:spPr bwMode="auto">
        <a:xfrm>
          <a:off x="4086225" y="2428875"/>
          <a:ext cx="194310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14</xdr:row>
      <xdr:rowOff>95250</xdr:rowOff>
    </xdr:from>
    <xdr:to>
      <xdr:col>6</xdr:col>
      <xdr:colOff>0</xdr:colOff>
      <xdr:row>14</xdr:row>
      <xdr:rowOff>95250</xdr:rowOff>
    </xdr:to>
    <xdr:cxnSp macro="">
      <xdr:nvCxnSpPr>
        <xdr:cNvPr id="186130" name="AutoShape 243"/>
        <xdr:cNvCxnSpPr>
          <a:cxnSpLocks noChangeShapeType="1"/>
        </xdr:cNvCxnSpPr>
      </xdr:nvCxnSpPr>
      <xdr:spPr bwMode="auto">
        <a:xfrm>
          <a:off x="4095750" y="2809875"/>
          <a:ext cx="190500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21</xdr:row>
      <xdr:rowOff>123825</xdr:rowOff>
    </xdr:from>
    <xdr:to>
      <xdr:col>6</xdr:col>
      <xdr:colOff>9525</xdr:colOff>
      <xdr:row>21</xdr:row>
      <xdr:rowOff>123825</xdr:rowOff>
    </xdr:to>
    <xdr:cxnSp macro="">
      <xdr:nvCxnSpPr>
        <xdr:cNvPr id="186131" name="AutoShape 244"/>
        <xdr:cNvCxnSpPr>
          <a:cxnSpLocks noChangeShapeType="1"/>
        </xdr:cNvCxnSpPr>
      </xdr:nvCxnSpPr>
      <xdr:spPr bwMode="auto">
        <a:xfrm flipV="1">
          <a:off x="4095750" y="4105275"/>
          <a:ext cx="1914525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717550</xdr:colOff>
      <xdr:row>47</xdr:row>
      <xdr:rowOff>28576</xdr:rowOff>
    </xdr:from>
    <xdr:to>
      <xdr:col>8</xdr:col>
      <xdr:colOff>69850</xdr:colOff>
      <xdr:row>47</xdr:row>
      <xdr:rowOff>31750</xdr:rowOff>
    </xdr:to>
    <xdr:cxnSp macro="">
      <xdr:nvCxnSpPr>
        <xdr:cNvPr id="186132" name="AutoShape 245"/>
        <xdr:cNvCxnSpPr>
          <a:cxnSpLocks noChangeShapeType="1"/>
        </xdr:cNvCxnSpPr>
      </xdr:nvCxnSpPr>
      <xdr:spPr bwMode="auto">
        <a:xfrm>
          <a:off x="4203700" y="8899526"/>
          <a:ext cx="3117850" cy="3174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57</xdr:row>
      <xdr:rowOff>104775</xdr:rowOff>
    </xdr:from>
    <xdr:to>
      <xdr:col>6</xdr:col>
      <xdr:colOff>0</xdr:colOff>
      <xdr:row>57</xdr:row>
      <xdr:rowOff>114300</xdr:rowOff>
    </xdr:to>
    <xdr:cxnSp macro="">
      <xdr:nvCxnSpPr>
        <xdr:cNvPr id="186133" name="AutoShape 246"/>
        <xdr:cNvCxnSpPr>
          <a:cxnSpLocks noChangeShapeType="1"/>
        </xdr:cNvCxnSpPr>
      </xdr:nvCxnSpPr>
      <xdr:spPr bwMode="auto">
        <a:xfrm>
          <a:off x="4095750" y="10420350"/>
          <a:ext cx="1905000" cy="9525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53</xdr:row>
      <xdr:rowOff>114300</xdr:rowOff>
    </xdr:from>
    <xdr:to>
      <xdr:col>5</xdr:col>
      <xdr:colOff>1568450</xdr:colOff>
      <xdr:row>54</xdr:row>
      <xdr:rowOff>85725</xdr:rowOff>
    </xdr:to>
    <xdr:cxnSp macro="">
      <xdr:nvCxnSpPr>
        <xdr:cNvPr id="186135" name="AutoShape 250"/>
        <xdr:cNvCxnSpPr>
          <a:cxnSpLocks noChangeShapeType="1"/>
        </xdr:cNvCxnSpPr>
      </xdr:nvCxnSpPr>
      <xdr:spPr bwMode="auto">
        <a:xfrm flipV="1">
          <a:off x="4902200" y="10090150"/>
          <a:ext cx="1568450" cy="155575"/>
        </a:xfrm>
        <a:prstGeom prst="bentConnector3">
          <a:avLst>
            <a:gd name="adj1" fmla="val 54048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62</xdr:row>
      <xdr:rowOff>47625</xdr:rowOff>
    </xdr:from>
    <xdr:to>
      <xdr:col>5</xdr:col>
      <xdr:colOff>971550</xdr:colOff>
      <xdr:row>62</xdr:row>
      <xdr:rowOff>57150</xdr:rowOff>
    </xdr:to>
    <xdr:cxnSp macro="">
      <xdr:nvCxnSpPr>
        <xdr:cNvPr id="186136" name="AutoShape 245"/>
        <xdr:cNvCxnSpPr>
          <a:cxnSpLocks noChangeShapeType="1"/>
        </xdr:cNvCxnSpPr>
      </xdr:nvCxnSpPr>
      <xdr:spPr bwMode="auto">
        <a:xfrm>
          <a:off x="4210050" y="11782425"/>
          <a:ext cx="1663700" cy="9525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352425</xdr:colOff>
      <xdr:row>19</xdr:row>
      <xdr:rowOff>57150</xdr:rowOff>
    </xdr:from>
    <xdr:to>
      <xdr:col>3</xdr:col>
      <xdr:colOff>352425</xdr:colOff>
      <xdr:row>20</xdr:row>
      <xdr:rowOff>9525</xdr:rowOff>
    </xdr:to>
    <xdr:cxnSp macro="">
      <xdr:nvCxnSpPr>
        <xdr:cNvPr id="186137" name="AutoShape 245"/>
        <xdr:cNvCxnSpPr>
          <a:cxnSpLocks noChangeShapeType="1"/>
        </xdr:cNvCxnSpPr>
      </xdr:nvCxnSpPr>
      <xdr:spPr bwMode="auto">
        <a:xfrm flipH="1" flipV="1">
          <a:off x="3733800" y="3676650"/>
          <a:ext cx="0" cy="13335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352425</xdr:colOff>
      <xdr:row>19</xdr:row>
      <xdr:rowOff>66675</xdr:rowOff>
    </xdr:from>
    <xdr:to>
      <xdr:col>6</xdr:col>
      <xdr:colOff>0</xdr:colOff>
      <xdr:row>19</xdr:row>
      <xdr:rowOff>66675</xdr:rowOff>
    </xdr:to>
    <xdr:cxnSp macro="">
      <xdr:nvCxnSpPr>
        <xdr:cNvPr id="186138" name="AutoShape 244"/>
        <xdr:cNvCxnSpPr>
          <a:cxnSpLocks noChangeShapeType="1"/>
        </xdr:cNvCxnSpPr>
      </xdr:nvCxnSpPr>
      <xdr:spPr bwMode="auto">
        <a:xfrm flipV="1">
          <a:off x="3733800" y="3686175"/>
          <a:ext cx="226695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885825</xdr:colOff>
      <xdr:row>55</xdr:row>
      <xdr:rowOff>76200</xdr:rowOff>
    </xdr:from>
    <xdr:to>
      <xdr:col>6</xdr:col>
      <xdr:colOff>9525</xdr:colOff>
      <xdr:row>56</xdr:row>
      <xdr:rowOff>104775</xdr:rowOff>
    </xdr:to>
    <xdr:cxnSp macro="">
      <xdr:nvCxnSpPr>
        <xdr:cNvPr id="186140" name="AutoShape 250"/>
        <xdr:cNvCxnSpPr>
          <a:cxnSpLocks noChangeShapeType="1"/>
        </xdr:cNvCxnSpPr>
      </xdr:nvCxnSpPr>
      <xdr:spPr bwMode="auto">
        <a:xfrm flipV="1">
          <a:off x="5648325" y="10029825"/>
          <a:ext cx="361950" cy="209550"/>
        </a:xfrm>
        <a:prstGeom prst="bentConnector3">
          <a:avLst>
            <a:gd name="adj1" fmla="val -5179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</xdr:colOff>
      <xdr:row>56</xdr:row>
      <xdr:rowOff>104776</xdr:rowOff>
    </xdr:from>
    <xdr:to>
      <xdr:col>5</xdr:col>
      <xdr:colOff>1568450</xdr:colOff>
      <xdr:row>56</xdr:row>
      <xdr:rowOff>120650</xdr:rowOff>
    </xdr:to>
    <xdr:cxnSp macro="">
      <xdr:nvCxnSpPr>
        <xdr:cNvPr id="186141" name="AutoShape 248"/>
        <xdr:cNvCxnSpPr>
          <a:cxnSpLocks noChangeShapeType="1"/>
        </xdr:cNvCxnSpPr>
      </xdr:nvCxnSpPr>
      <xdr:spPr bwMode="auto">
        <a:xfrm>
          <a:off x="4911725" y="10690226"/>
          <a:ext cx="1558925" cy="15874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698500</xdr:colOff>
      <xdr:row>22</xdr:row>
      <xdr:rowOff>103188</xdr:rowOff>
    </xdr:from>
    <xdr:to>
      <xdr:col>6</xdr:col>
      <xdr:colOff>25400</xdr:colOff>
      <xdr:row>23</xdr:row>
      <xdr:rowOff>112712</xdr:rowOff>
    </xdr:to>
    <xdr:cxnSp macro="">
      <xdr:nvCxnSpPr>
        <xdr:cNvPr id="186142" name="AutoShape 249"/>
        <xdr:cNvCxnSpPr>
          <a:cxnSpLocks noChangeShapeType="1"/>
        </xdr:cNvCxnSpPr>
      </xdr:nvCxnSpPr>
      <xdr:spPr bwMode="auto">
        <a:xfrm>
          <a:off x="4079875" y="4278313"/>
          <a:ext cx="2239963" cy="192087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657225</xdr:colOff>
      <xdr:row>66</xdr:row>
      <xdr:rowOff>41275</xdr:rowOff>
    </xdr:from>
    <xdr:to>
      <xdr:col>6</xdr:col>
      <xdr:colOff>19050</xdr:colOff>
      <xdr:row>66</xdr:row>
      <xdr:rowOff>41275</xdr:rowOff>
    </xdr:to>
    <xdr:cxnSp macro="">
      <xdr:nvCxnSpPr>
        <xdr:cNvPr id="186143" name="AutoShape 248"/>
        <xdr:cNvCxnSpPr>
          <a:cxnSpLocks noChangeShapeType="1"/>
        </xdr:cNvCxnSpPr>
      </xdr:nvCxnSpPr>
      <xdr:spPr bwMode="auto">
        <a:xfrm>
          <a:off x="4867275" y="12512675"/>
          <a:ext cx="1628775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800100</xdr:colOff>
      <xdr:row>57</xdr:row>
      <xdr:rowOff>114300</xdr:rowOff>
    </xdr:from>
    <xdr:to>
      <xdr:col>6</xdr:col>
      <xdr:colOff>0</xdr:colOff>
      <xdr:row>58</xdr:row>
      <xdr:rowOff>104775</xdr:rowOff>
    </xdr:to>
    <xdr:cxnSp macro="">
      <xdr:nvCxnSpPr>
        <xdr:cNvPr id="186144" name="AutoShape 249"/>
        <xdr:cNvCxnSpPr>
          <a:cxnSpLocks noChangeShapeType="1"/>
        </xdr:cNvCxnSpPr>
      </xdr:nvCxnSpPr>
      <xdr:spPr bwMode="auto">
        <a:xfrm>
          <a:off x="5562600" y="10429875"/>
          <a:ext cx="438150" cy="219075"/>
        </a:xfrm>
        <a:prstGeom prst="bentConnector3">
          <a:avLst>
            <a:gd name="adj1" fmla="val 15704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58</xdr:row>
      <xdr:rowOff>104775</xdr:rowOff>
    </xdr:from>
    <xdr:to>
      <xdr:col>6</xdr:col>
      <xdr:colOff>0</xdr:colOff>
      <xdr:row>60</xdr:row>
      <xdr:rowOff>95250</xdr:rowOff>
    </xdr:to>
    <xdr:cxnSp macro="">
      <xdr:nvCxnSpPr>
        <xdr:cNvPr id="186145" name="AutoShape 249"/>
        <xdr:cNvCxnSpPr>
          <a:cxnSpLocks noChangeShapeType="1"/>
        </xdr:cNvCxnSpPr>
      </xdr:nvCxnSpPr>
      <xdr:spPr bwMode="auto">
        <a:xfrm>
          <a:off x="4210050" y="11102975"/>
          <a:ext cx="2266950" cy="358775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12700</xdr:colOff>
      <xdr:row>75</xdr:row>
      <xdr:rowOff>76200</xdr:rowOff>
    </xdr:from>
    <xdr:to>
      <xdr:col>6</xdr:col>
      <xdr:colOff>31750</xdr:colOff>
      <xdr:row>80</xdr:row>
      <xdr:rowOff>95250</xdr:rowOff>
    </xdr:to>
    <xdr:cxnSp macro="">
      <xdr:nvCxnSpPr>
        <xdr:cNvPr id="186146" name="AutoShape 249"/>
        <xdr:cNvCxnSpPr>
          <a:cxnSpLocks noChangeShapeType="1"/>
        </xdr:cNvCxnSpPr>
      </xdr:nvCxnSpPr>
      <xdr:spPr bwMode="auto">
        <a:xfrm>
          <a:off x="4914900" y="14249400"/>
          <a:ext cx="1593850" cy="1143000"/>
        </a:xfrm>
        <a:prstGeom prst="bentConnector3">
          <a:avLst>
            <a:gd name="adj1" fmla="val 67611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647700</xdr:colOff>
      <xdr:row>77</xdr:row>
      <xdr:rowOff>85725</xdr:rowOff>
    </xdr:from>
    <xdr:to>
      <xdr:col>4</xdr:col>
      <xdr:colOff>647700</xdr:colOff>
      <xdr:row>77</xdr:row>
      <xdr:rowOff>85725</xdr:rowOff>
    </xdr:to>
    <xdr:cxnSp macro="">
      <xdr:nvCxnSpPr>
        <xdr:cNvPr id="186147" name="AutoShape 249"/>
        <xdr:cNvCxnSpPr>
          <a:cxnSpLocks noChangeShapeType="1"/>
        </xdr:cNvCxnSpPr>
      </xdr:nvCxnSpPr>
      <xdr:spPr bwMode="auto">
        <a:xfrm flipV="1">
          <a:off x="4733925" y="14173200"/>
          <a:ext cx="0" cy="0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657225</xdr:colOff>
      <xdr:row>76</xdr:row>
      <xdr:rowOff>66675</xdr:rowOff>
    </xdr:from>
    <xdr:to>
      <xdr:col>5</xdr:col>
      <xdr:colOff>1076325</xdr:colOff>
      <xdr:row>76</xdr:row>
      <xdr:rowOff>66676</xdr:rowOff>
    </xdr:to>
    <xdr:cxnSp macro="">
      <xdr:nvCxnSpPr>
        <xdr:cNvPr id="186148" name="AutoShape 249"/>
        <xdr:cNvCxnSpPr>
          <a:cxnSpLocks noChangeShapeType="1"/>
        </xdr:cNvCxnSpPr>
      </xdr:nvCxnSpPr>
      <xdr:spPr bwMode="auto">
        <a:xfrm flipV="1">
          <a:off x="4867275" y="14455775"/>
          <a:ext cx="1111250" cy="1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77</xdr:row>
      <xdr:rowOff>95250</xdr:rowOff>
    </xdr:from>
    <xdr:to>
      <xdr:col>5</xdr:col>
      <xdr:colOff>1095375</xdr:colOff>
      <xdr:row>77</xdr:row>
      <xdr:rowOff>95251</xdr:rowOff>
    </xdr:to>
    <xdr:cxnSp macro="">
      <xdr:nvCxnSpPr>
        <xdr:cNvPr id="33" name="AutoShape 249"/>
        <xdr:cNvCxnSpPr>
          <a:cxnSpLocks noChangeShapeType="1"/>
        </xdr:cNvCxnSpPr>
      </xdr:nvCxnSpPr>
      <xdr:spPr bwMode="auto">
        <a:xfrm flipV="1">
          <a:off x="4762500" y="14182725"/>
          <a:ext cx="1095375" cy="1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</xdr:colOff>
      <xdr:row>78</xdr:row>
      <xdr:rowOff>114300</xdr:rowOff>
    </xdr:from>
    <xdr:to>
      <xdr:col>5</xdr:col>
      <xdr:colOff>1047750</xdr:colOff>
      <xdr:row>78</xdr:row>
      <xdr:rowOff>114303</xdr:rowOff>
    </xdr:to>
    <xdr:cxnSp macro="">
      <xdr:nvCxnSpPr>
        <xdr:cNvPr id="34" name="AutoShape 249"/>
        <xdr:cNvCxnSpPr>
          <a:cxnSpLocks noChangeShapeType="1"/>
        </xdr:cNvCxnSpPr>
      </xdr:nvCxnSpPr>
      <xdr:spPr bwMode="auto">
        <a:xfrm flipV="1">
          <a:off x="4772025" y="14439900"/>
          <a:ext cx="1038225" cy="3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476250</xdr:colOff>
      <xdr:row>23</xdr:row>
      <xdr:rowOff>111125</xdr:rowOff>
    </xdr:from>
    <xdr:to>
      <xdr:col>6</xdr:col>
      <xdr:colOff>25400</xdr:colOff>
      <xdr:row>24</xdr:row>
      <xdr:rowOff>112712</xdr:rowOff>
    </xdr:to>
    <xdr:cxnSp macro="">
      <xdr:nvCxnSpPr>
        <xdr:cNvPr id="24" name="AutoShape 249"/>
        <xdr:cNvCxnSpPr>
          <a:cxnSpLocks noChangeShapeType="1"/>
        </xdr:cNvCxnSpPr>
      </xdr:nvCxnSpPr>
      <xdr:spPr bwMode="auto">
        <a:xfrm>
          <a:off x="5238750" y="4468813"/>
          <a:ext cx="1081088" cy="184149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939800</xdr:colOff>
      <xdr:row>62</xdr:row>
      <xdr:rowOff>63500</xdr:rowOff>
    </xdr:from>
    <xdr:to>
      <xdr:col>6</xdr:col>
      <xdr:colOff>6350</xdr:colOff>
      <xdr:row>63</xdr:row>
      <xdr:rowOff>101600</xdr:rowOff>
    </xdr:to>
    <xdr:cxnSp macro="">
      <xdr:nvCxnSpPr>
        <xdr:cNvPr id="25" name="AutoShape 249"/>
        <xdr:cNvCxnSpPr>
          <a:cxnSpLocks noChangeShapeType="1"/>
        </xdr:cNvCxnSpPr>
      </xdr:nvCxnSpPr>
      <xdr:spPr bwMode="auto">
        <a:xfrm>
          <a:off x="5842000" y="11798300"/>
          <a:ext cx="641350" cy="222250"/>
        </a:xfrm>
        <a:prstGeom prst="bentConnector3">
          <a:avLst>
            <a:gd name="adj1" fmla="val 58284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914400</xdr:colOff>
      <xdr:row>58</xdr:row>
      <xdr:rowOff>114300</xdr:rowOff>
    </xdr:from>
    <xdr:to>
      <xdr:col>5</xdr:col>
      <xdr:colOff>1568450</xdr:colOff>
      <xdr:row>59</xdr:row>
      <xdr:rowOff>114300</xdr:rowOff>
    </xdr:to>
    <xdr:cxnSp macro="">
      <xdr:nvCxnSpPr>
        <xdr:cNvPr id="26" name="AutoShape 249"/>
        <xdr:cNvCxnSpPr>
          <a:cxnSpLocks noChangeShapeType="1"/>
        </xdr:cNvCxnSpPr>
      </xdr:nvCxnSpPr>
      <xdr:spPr bwMode="auto">
        <a:xfrm>
          <a:off x="5816600" y="11112500"/>
          <a:ext cx="654050" cy="184150"/>
        </a:xfrm>
        <a:prstGeom prst="bentConnector3">
          <a:avLst>
            <a:gd name="adj1" fmla="val 1456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41</xdr:row>
      <xdr:rowOff>0</xdr:rowOff>
    </xdr:from>
    <xdr:to>
      <xdr:col>5</xdr:col>
      <xdr:colOff>9525</xdr:colOff>
      <xdr:row>41</xdr:row>
      <xdr:rowOff>123825</xdr:rowOff>
    </xdr:to>
    <xdr:cxnSp macro="">
      <xdr:nvCxnSpPr>
        <xdr:cNvPr id="2" name="AutoShape 187"/>
        <xdr:cNvCxnSpPr>
          <a:cxnSpLocks noChangeShapeType="1"/>
        </xdr:cNvCxnSpPr>
      </xdr:nvCxnSpPr>
      <xdr:spPr bwMode="auto">
        <a:xfrm flipV="1">
          <a:off x="4200525" y="8086725"/>
          <a:ext cx="1495425" cy="123825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27</xdr:row>
      <xdr:rowOff>70139</xdr:rowOff>
    </xdr:from>
    <xdr:to>
      <xdr:col>5</xdr:col>
      <xdr:colOff>9525</xdr:colOff>
      <xdr:row>27</xdr:row>
      <xdr:rowOff>70139</xdr:rowOff>
    </xdr:to>
    <xdr:cxnSp macro="">
      <xdr:nvCxnSpPr>
        <xdr:cNvPr id="3" name="AutoShape 197"/>
        <xdr:cNvCxnSpPr>
          <a:cxnSpLocks noChangeShapeType="1"/>
        </xdr:cNvCxnSpPr>
      </xdr:nvCxnSpPr>
      <xdr:spPr bwMode="auto">
        <a:xfrm>
          <a:off x="4210050" y="4975514"/>
          <a:ext cx="148590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762000</xdr:colOff>
      <xdr:row>25</xdr:row>
      <xdr:rowOff>112568</xdr:rowOff>
    </xdr:from>
    <xdr:to>
      <xdr:col>5</xdr:col>
      <xdr:colOff>0</xdr:colOff>
      <xdr:row>25</xdr:row>
      <xdr:rowOff>112568</xdr:rowOff>
    </xdr:to>
    <xdr:cxnSp macro="">
      <xdr:nvCxnSpPr>
        <xdr:cNvPr id="4" name="AutoShape 197"/>
        <xdr:cNvCxnSpPr>
          <a:cxnSpLocks noChangeShapeType="1"/>
        </xdr:cNvCxnSpPr>
      </xdr:nvCxnSpPr>
      <xdr:spPr bwMode="auto">
        <a:xfrm>
          <a:off x="4199659" y="4658591"/>
          <a:ext cx="1515341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44</xdr:row>
      <xdr:rowOff>159327</xdr:rowOff>
    </xdr:from>
    <xdr:to>
      <xdr:col>5</xdr:col>
      <xdr:colOff>19050</xdr:colOff>
      <xdr:row>44</xdr:row>
      <xdr:rowOff>159327</xdr:rowOff>
    </xdr:to>
    <xdr:cxnSp macro="">
      <xdr:nvCxnSpPr>
        <xdr:cNvPr id="5" name="AutoShape 191"/>
        <xdr:cNvCxnSpPr>
          <a:cxnSpLocks noChangeShapeType="1"/>
        </xdr:cNvCxnSpPr>
      </xdr:nvCxnSpPr>
      <xdr:spPr bwMode="auto">
        <a:xfrm>
          <a:off x="4219575" y="8903277"/>
          <a:ext cx="148590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53</xdr:row>
      <xdr:rowOff>95250</xdr:rowOff>
    </xdr:from>
    <xdr:to>
      <xdr:col>5</xdr:col>
      <xdr:colOff>9525</xdr:colOff>
      <xdr:row>53</xdr:row>
      <xdr:rowOff>95250</xdr:rowOff>
    </xdr:to>
    <xdr:cxnSp macro="">
      <xdr:nvCxnSpPr>
        <xdr:cNvPr id="6" name="AutoShape 191"/>
        <xdr:cNvCxnSpPr>
          <a:cxnSpLocks noChangeShapeType="1"/>
        </xdr:cNvCxnSpPr>
      </xdr:nvCxnSpPr>
      <xdr:spPr bwMode="auto">
        <a:xfrm>
          <a:off x="4210050" y="10544175"/>
          <a:ext cx="148590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56</xdr:row>
      <xdr:rowOff>76200</xdr:rowOff>
    </xdr:from>
    <xdr:to>
      <xdr:col>5</xdr:col>
      <xdr:colOff>9525</xdr:colOff>
      <xdr:row>57</xdr:row>
      <xdr:rowOff>0</xdr:rowOff>
    </xdr:to>
    <xdr:cxnSp macro="">
      <xdr:nvCxnSpPr>
        <xdr:cNvPr id="7" name="AutoShape 250"/>
        <xdr:cNvCxnSpPr>
          <a:cxnSpLocks noChangeShapeType="1"/>
        </xdr:cNvCxnSpPr>
      </xdr:nvCxnSpPr>
      <xdr:spPr bwMode="auto">
        <a:xfrm>
          <a:off x="4210050" y="11010900"/>
          <a:ext cx="1485900" cy="85725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42</xdr:row>
      <xdr:rowOff>66675</xdr:rowOff>
    </xdr:from>
    <xdr:to>
      <xdr:col>5</xdr:col>
      <xdr:colOff>9525</xdr:colOff>
      <xdr:row>43</xdr:row>
      <xdr:rowOff>9525</xdr:rowOff>
    </xdr:to>
    <xdr:cxnSp macro="">
      <xdr:nvCxnSpPr>
        <xdr:cNvPr id="8" name="AutoShape 250"/>
        <xdr:cNvCxnSpPr>
          <a:cxnSpLocks noChangeShapeType="1"/>
        </xdr:cNvCxnSpPr>
      </xdr:nvCxnSpPr>
      <xdr:spPr bwMode="auto">
        <a:xfrm>
          <a:off x="4219575" y="8382000"/>
          <a:ext cx="1476375" cy="200025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755072</xdr:colOff>
      <xdr:row>48</xdr:row>
      <xdr:rowOff>17319</xdr:rowOff>
    </xdr:from>
    <xdr:to>
      <xdr:col>5</xdr:col>
      <xdr:colOff>25977</xdr:colOff>
      <xdr:row>48</xdr:row>
      <xdr:rowOff>103044</xdr:rowOff>
    </xdr:to>
    <xdr:cxnSp macro="">
      <xdr:nvCxnSpPr>
        <xdr:cNvPr id="9" name="AutoShape 250"/>
        <xdr:cNvCxnSpPr>
          <a:cxnSpLocks noChangeShapeType="1"/>
        </xdr:cNvCxnSpPr>
      </xdr:nvCxnSpPr>
      <xdr:spPr bwMode="auto">
        <a:xfrm flipV="1">
          <a:off x="4192731" y="9862705"/>
          <a:ext cx="1522269" cy="85725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762000</xdr:colOff>
      <xdr:row>67</xdr:row>
      <xdr:rowOff>9525</xdr:rowOff>
    </xdr:from>
    <xdr:to>
      <xdr:col>5</xdr:col>
      <xdr:colOff>9525</xdr:colOff>
      <xdr:row>68</xdr:row>
      <xdr:rowOff>114300</xdr:rowOff>
    </xdr:to>
    <xdr:cxnSp macro="">
      <xdr:nvCxnSpPr>
        <xdr:cNvPr id="10" name="AutoShape 250"/>
        <xdr:cNvCxnSpPr>
          <a:cxnSpLocks noChangeShapeType="1"/>
        </xdr:cNvCxnSpPr>
      </xdr:nvCxnSpPr>
      <xdr:spPr bwMode="auto">
        <a:xfrm flipV="1">
          <a:off x="4200525" y="12792075"/>
          <a:ext cx="1495425" cy="342900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26</xdr:row>
      <xdr:rowOff>69273</xdr:rowOff>
    </xdr:from>
    <xdr:to>
      <xdr:col>5</xdr:col>
      <xdr:colOff>8659</xdr:colOff>
      <xdr:row>26</xdr:row>
      <xdr:rowOff>69273</xdr:rowOff>
    </xdr:to>
    <xdr:cxnSp macro="">
      <xdr:nvCxnSpPr>
        <xdr:cNvPr id="11" name="AutoShape 197"/>
        <xdr:cNvCxnSpPr>
          <a:cxnSpLocks noChangeShapeType="1"/>
        </xdr:cNvCxnSpPr>
      </xdr:nvCxnSpPr>
      <xdr:spPr bwMode="auto">
        <a:xfrm>
          <a:off x="4210050" y="4812723"/>
          <a:ext cx="1485034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39</xdr:row>
      <xdr:rowOff>112569</xdr:rowOff>
    </xdr:from>
    <xdr:to>
      <xdr:col>5</xdr:col>
      <xdr:colOff>9525</xdr:colOff>
      <xdr:row>39</xdr:row>
      <xdr:rowOff>112569</xdr:rowOff>
    </xdr:to>
    <xdr:cxnSp macro="">
      <xdr:nvCxnSpPr>
        <xdr:cNvPr id="12" name="AutoShape 197"/>
        <xdr:cNvCxnSpPr>
          <a:cxnSpLocks noChangeShapeType="1"/>
        </xdr:cNvCxnSpPr>
      </xdr:nvCxnSpPr>
      <xdr:spPr bwMode="auto">
        <a:xfrm>
          <a:off x="4210050" y="7808769"/>
          <a:ext cx="148590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18</xdr:row>
      <xdr:rowOff>103909</xdr:rowOff>
    </xdr:from>
    <xdr:to>
      <xdr:col>5</xdr:col>
      <xdr:colOff>8659</xdr:colOff>
      <xdr:row>18</xdr:row>
      <xdr:rowOff>103909</xdr:rowOff>
    </xdr:to>
    <xdr:cxnSp macro="">
      <xdr:nvCxnSpPr>
        <xdr:cNvPr id="15" name="AutoShape 197"/>
        <xdr:cNvCxnSpPr>
          <a:cxnSpLocks noChangeShapeType="1"/>
        </xdr:cNvCxnSpPr>
      </xdr:nvCxnSpPr>
      <xdr:spPr bwMode="auto">
        <a:xfrm>
          <a:off x="4208318" y="3437659"/>
          <a:ext cx="1489364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762000</xdr:colOff>
      <xdr:row>23</xdr:row>
      <xdr:rowOff>138545</xdr:rowOff>
    </xdr:from>
    <xdr:to>
      <xdr:col>5</xdr:col>
      <xdr:colOff>0</xdr:colOff>
      <xdr:row>23</xdr:row>
      <xdr:rowOff>138545</xdr:rowOff>
    </xdr:to>
    <xdr:cxnSp macro="">
      <xdr:nvCxnSpPr>
        <xdr:cNvPr id="16" name="AutoShape 197"/>
        <xdr:cNvCxnSpPr>
          <a:cxnSpLocks noChangeShapeType="1"/>
        </xdr:cNvCxnSpPr>
      </xdr:nvCxnSpPr>
      <xdr:spPr bwMode="auto">
        <a:xfrm>
          <a:off x="4199659" y="4320886"/>
          <a:ext cx="2034886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26</xdr:row>
      <xdr:rowOff>70139</xdr:rowOff>
    </xdr:from>
    <xdr:to>
      <xdr:col>5</xdr:col>
      <xdr:colOff>9525</xdr:colOff>
      <xdr:row>26</xdr:row>
      <xdr:rowOff>70139</xdr:rowOff>
    </xdr:to>
    <xdr:cxnSp macro="">
      <xdr:nvCxnSpPr>
        <xdr:cNvPr id="17" name="AutoShape 197"/>
        <xdr:cNvCxnSpPr>
          <a:cxnSpLocks noChangeShapeType="1"/>
        </xdr:cNvCxnSpPr>
      </xdr:nvCxnSpPr>
      <xdr:spPr bwMode="auto">
        <a:xfrm>
          <a:off x="4208318" y="4979844"/>
          <a:ext cx="149023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45</xdr:row>
      <xdr:rowOff>129886</xdr:rowOff>
    </xdr:from>
    <xdr:to>
      <xdr:col>5</xdr:col>
      <xdr:colOff>9525</xdr:colOff>
      <xdr:row>45</xdr:row>
      <xdr:rowOff>129886</xdr:rowOff>
    </xdr:to>
    <xdr:cxnSp macro="">
      <xdr:nvCxnSpPr>
        <xdr:cNvPr id="27" name="AutoShape 191"/>
        <xdr:cNvCxnSpPr>
          <a:cxnSpLocks noChangeShapeType="1"/>
        </xdr:cNvCxnSpPr>
      </xdr:nvCxnSpPr>
      <xdr:spPr bwMode="auto">
        <a:xfrm>
          <a:off x="4208318" y="9247909"/>
          <a:ext cx="1490230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28</xdr:row>
      <xdr:rowOff>69273</xdr:rowOff>
    </xdr:from>
    <xdr:to>
      <xdr:col>5</xdr:col>
      <xdr:colOff>8659</xdr:colOff>
      <xdr:row>28</xdr:row>
      <xdr:rowOff>69273</xdr:rowOff>
    </xdr:to>
    <xdr:cxnSp macro="">
      <xdr:nvCxnSpPr>
        <xdr:cNvPr id="18" name="AutoShape 197"/>
        <xdr:cNvCxnSpPr>
          <a:cxnSpLocks noChangeShapeType="1"/>
        </xdr:cNvCxnSpPr>
      </xdr:nvCxnSpPr>
      <xdr:spPr bwMode="auto">
        <a:xfrm>
          <a:off x="4329545" y="4786746"/>
          <a:ext cx="1553441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28</xdr:row>
      <xdr:rowOff>70139</xdr:rowOff>
    </xdr:from>
    <xdr:to>
      <xdr:col>5</xdr:col>
      <xdr:colOff>9525</xdr:colOff>
      <xdr:row>28</xdr:row>
      <xdr:rowOff>70139</xdr:rowOff>
    </xdr:to>
    <xdr:cxnSp macro="">
      <xdr:nvCxnSpPr>
        <xdr:cNvPr id="19" name="AutoShape 197"/>
        <xdr:cNvCxnSpPr>
          <a:cxnSpLocks noChangeShapeType="1"/>
        </xdr:cNvCxnSpPr>
      </xdr:nvCxnSpPr>
      <xdr:spPr bwMode="auto">
        <a:xfrm>
          <a:off x="4329545" y="4787612"/>
          <a:ext cx="1554307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782783</xdr:colOff>
      <xdr:row>30</xdr:row>
      <xdr:rowOff>6929</xdr:rowOff>
    </xdr:from>
    <xdr:to>
      <xdr:col>5</xdr:col>
      <xdr:colOff>1733</xdr:colOff>
      <xdr:row>30</xdr:row>
      <xdr:rowOff>6929</xdr:rowOff>
    </xdr:to>
    <xdr:cxnSp macro="">
      <xdr:nvCxnSpPr>
        <xdr:cNvPr id="20" name="AutoShape 197"/>
        <xdr:cNvCxnSpPr>
          <a:cxnSpLocks noChangeShapeType="1"/>
        </xdr:cNvCxnSpPr>
      </xdr:nvCxnSpPr>
      <xdr:spPr bwMode="auto">
        <a:xfrm>
          <a:off x="4322619" y="5437911"/>
          <a:ext cx="1553441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6</xdr:row>
      <xdr:rowOff>38100</xdr:rowOff>
    </xdr:from>
    <xdr:to>
      <xdr:col>13</xdr:col>
      <xdr:colOff>9525</xdr:colOff>
      <xdr:row>7</xdr:row>
      <xdr:rowOff>57150</xdr:rowOff>
    </xdr:to>
    <xdr:cxnSp macro="">
      <xdr:nvCxnSpPr>
        <xdr:cNvPr id="4" name="AutoShape 250"/>
        <xdr:cNvCxnSpPr>
          <a:cxnSpLocks noChangeShapeType="1"/>
        </xdr:cNvCxnSpPr>
      </xdr:nvCxnSpPr>
      <xdr:spPr bwMode="auto">
        <a:xfrm>
          <a:off x="10591800" y="1133475"/>
          <a:ext cx="1943100" cy="209550"/>
        </a:xfrm>
        <a:prstGeom prst="bentConnector3">
          <a:avLst>
            <a:gd name="adj1" fmla="val 80139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400050</xdr:colOff>
      <xdr:row>6</xdr:row>
      <xdr:rowOff>38100</xdr:rowOff>
    </xdr:from>
    <xdr:to>
      <xdr:col>10</xdr:col>
      <xdr:colOff>400050</xdr:colOff>
      <xdr:row>6</xdr:row>
      <xdr:rowOff>180975</xdr:rowOff>
    </xdr:to>
    <xdr:cxnSp macro="">
      <xdr:nvCxnSpPr>
        <xdr:cNvPr id="5" name="AutoShape 191"/>
        <xdr:cNvCxnSpPr>
          <a:cxnSpLocks noChangeShapeType="1"/>
        </xdr:cNvCxnSpPr>
      </xdr:nvCxnSpPr>
      <xdr:spPr bwMode="auto">
        <a:xfrm flipV="1">
          <a:off x="10601325" y="1133475"/>
          <a:ext cx="0" cy="142875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28575</xdr:colOff>
      <xdr:row>14</xdr:row>
      <xdr:rowOff>76200</xdr:rowOff>
    </xdr:from>
    <xdr:to>
      <xdr:col>13</xdr:col>
      <xdr:colOff>9525</xdr:colOff>
      <xdr:row>15</xdr:row>
      <xdr:rowOff>85725</xdr:rowOff>
    </xdr:to>
    <xdr:cxnSp macro="">
      <xdr:nvCxnSpPr>
        <xdr:cNvPr id="14" name="AutoShape 250"/>
        <xdr:cNvCxnSpPr>
          <a:cxnSpLocks noChangeShapeType="1"/>
        </xdr:cNvCxnSpPr>
      </xdr:nvCxnSpPr>
      <xdr:spPr bwMode="auto">
        <a:xfrm>
          <a:off x="10944225" y="2619375"/>
          <a:ext cx="1590675" cy="180975"/>
        </a:xfrm>
        <a:prstGeom prst="bentConnector3">
          <a:avLst>
            <a:gd name="adj1" fmla="val 50000"/>
          </a:avLst>
        </a:prstGeom>
        <a:noFill/>
        <a:ln w="19050">
          <a:solidFill>
            <a:srgbClr val="0070C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14</xdr:row>
      <xdr:rowOff>66675</xdr:rowOff>
    </xdr:from>
    <xdr:to>
      <xdr:col>13</xdr:col>
      <xdr:colOff>9525</xdr:colOff>
      <xdr:row>14</xdr:row>
      <xdr:rowOff>66675</xdr:rowOff>
    </xdr:to>
    <xdr:cxnSp macro="">
      <xdr:nvCxnSpPr>
        <xdr:cNvPr id="16" name="AutoShape 191"/>
        <xdr:cNvCxnSpPr>
          <a:cxnSpLocks noChangeShapeType="1"/>
        </xdr:cNvCxnSpPr>
      </xdr:nvCxnSpPr>
      <xdr:spPr bwMode="auto">
        <a:xfrm>
          <a:off x="11630025" y="2609850"/>
          <a:ext cx="904875" cy="0"/>
        </a:xfrm>
        <a:prstGeom prst="straightConnector1">
          <a:avLst/>
        </a:prstGeom>
        <a:noFill/>
        <a:ln w="19050">
          <a:solidFill>
            <a:srgbClr val="0070C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8</xdr:row>
      <xdr:rowOff>47625</xdr:rowOff>
    </xdr:from>
    <xdr:to>
      <xdr:col>0</xdr:col>
      <xdr:colOff>19050</xdr:colOff>
      <xdr:row>8</xdr:row>
      <xdr:rowOff>161925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9050" y="153352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  <xdr:twoCellAnchor editAs="oneCell">
    <xdr:from>
      <xdr:col>0</xdr:col>
      <xdr:colOff>19050</xdr:colOff>
      <xdr:row>18</xdr:row>
      <xdr:rowOff>47625</xdr:rowOff>
    </xdr:from>
    <xdr:to>
      <xdr:col>0</xdr:col>
      <xdr:colOff>19050</xdr:colOff>
      <xdr:row>18</xdr:row>
      <xdr:rowOff>161925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19050" y="32480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47625</xdr:rowOff>
    </xdr:from>
    <xdr:to>
      <xdr:col>1</xdr:col>
      <xdr:colOff>0</xdr:colOff>
      <xdr:row>3</xdr:row>
      <xdr:rowOff>28575</xdr:rowOff>
    </xdr:to>
    <xdr:sp macro="" textlink="">
      <xdr:nvSpPr>
        <xdr:cNvPr id="2" name="txtGoTo"/>
        <xdr:cNvSpPr txBox="1">
          <a:spLocks noChangeArrowheads="1"/>
        </xdr:cNvSpPr>
      </xdr:nvSpPr>
      <xdr:spPr bwMode="auto">
        <a:xfrm>
          <a:off x="342900" y="6000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strike="noStrike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  <xdr:twoCellAnchor editAs="oneCell">
    <xdr:from>
      <xdr:col>0</xdr:col>
      <xdr:colOff>38100</xdr:colOff>
      <xdr:row>2</xdr:row>
      <xdr:rowOff>47625</xdr:rowOff>
    </xdr:from>
    <xdr:to>
      <xdr:col>0</xdr:col>
      <xdr:colOff>38100</xdr:colOff>
      <xdr:row>3</xdr:row>
      <xdr:rowOff>28575</xdr:rowOff>
    </xdr:to>
    <xdr:sp macro="" textlink="">
      <xdr:nvSpPr>
        <xdr:cNvPr id="3" name="txtGoTo"/>
        <xdr:cNvSpPr txBox="1">
          <a:spLocks noChangeArrowheads="1"/>
        </xdr:cNvSpPr>
      </xdr:nvSpPr>
      <xdr:spPr bwMode="auto">
        <a:xfrm>
          <a:off x="38100" y="6000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strike="noStrike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47625</xdr:rowOff>
    </xdr:from>
    <xdr:to>
      <xdr:col>0</xdr:col>
      <xdr:colOff>38100</xdr:colOff>
      <xdr:row>3</xdr:row>
      <xdr:rowOff>28575</xdr:rowOff>
    </xdr:to>
    <xdr:sp macro="" textlink="">
      <xdr:nvSpPr>
        <xdr:cNvPr id="2" name="txtGoTo"/>
        <xdr:cNvSpPr txBox="1">
          <a:spLocks noChangeArrowheads="1"/>
        </xdr:cNvSpPr>
      </xdr:nvSpPr>
      <xdr:spPr bwMode="auto">
        <a:xfrm>
          <a:off x="38100" y="2762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strike="noStrike">
              <a:solidFill>
                <a:srgbClr val="000000"/>
              </a:solidFill>
              <a:latin typeface="Arial"/>
              <a:cs typeface="Arial"/>
            </a:rPr>
            <a:t>Gå till avd:</a:t>
          </a:r>
        </a:p>
      </xdr:txBody>
    </xdr:sp>
    <xdr:clientData fPrintsWithSheet="0"/>
  </xdr:twoCellAnchor>
  <xdr:twoCellAnchor>
    <xdr:from>
      <xdr:col>19</xdr:col>
      <xdr:colOff>0</xdr:colOff>
      <xdr:row>65535</xdr:row>
      <xdr:rowOff>0</xdr:rowOff>
    </xdr:from>
    <xdr:to>
      <xdr:col>19</xdr:col>
      <xdr:colOff>0</xdr:colOff>
      <xdr:row>65535</xdr:row>
      <xdr:rowOff>0</xdr:rowOff>
    </xdr:to>
    <xdr:sp macro="" textlink="">
      <xdr:nvSpPr>
        <xdr:cNvPr id="172907" name="Entreprenad"/>
        <xdr:cNvSpPr txBox="1">
          <a:spLocks noChangeArrowheads="1"/>
        </xdr:cNvSpPr>
      </xdr:nvSpPr>
      <xdr:spPr bwMode="auto">
        <a:xfrm>
          <a:off x="14478000" y="7000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65535</xdr:row>
      <xdr:rowOff>0</xdr:rowOff>
    </xdr:from>
    <xdr:to>
      <xdr:col>19</xdr:col>
      <xdr:colOff>0</xdr:colOff>
      <xdr:row>65535</xdr:row>
      <xdr:rowOff>0</xdr:rowOff>
    </xdr:to>
    <xdr:sp macro="" textlink="">
      <xdr:nvSpPr>
        <xdr:cNvPr id="172908" name="Entreprenad"/>
        <xdr:cNvSpPr txBox="1">
          <a:spLocks noChangeArrowheads="1"/>
        </xdr:cNvSpPr>
      </xdr:nvSpPr>
      <xdr:spPr bwMode="auto">
        <a:xfrm>
          <a:off x="14478000" y="7000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a:spPr>
      <a:bodyPr/>
      <a:lstStyle>
        <a:defPPr>
          <a:defRPr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scb.se/rskommune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rgb="FFFFFF00"/>
    <pageSetUpPr fitToPage="1"/>
  </sheetPr>
  <dimension ref="A1:E50"/>
  <sheetViews>
    <sheetView tabSelected="1" zoomScaleNormal="100" workbookViewId="0">
      <selection sqref="A1:D1"/>
    </sheetView>
  </sheetViews>
  <sheetFormatPr defaultColWidth="0" defaultRowHeight="12.75" zeroHeight="1"/>
  <cols>
    <col min="1" max="1" width="22.85546875" style="421" customWidth="1"/>
    <col min="2" max="2" width="26.7109375" style="421" customWidth="1"/>
    <col min="3" max="3" width="20.5703125" style="421" customWidth="1"/>
    <col min="4" max="4" width="26.7109375" style="421" customWidth="1"/>
    <col min="5" max="5" width="12.42578125" style="420" customWidth="1"/>
  </cols>
  <sheetData>
    <row r="1" spans="1:5" s="422" customFormat="1">
      <c r="A1" s="2463"/>
      <c r="B1" s="2464"/>
      <c r="C1" s="2464"/>
      <c r="D1" s="2464"/>
      <c r="E1" s="2199"/>
    </row>
    <row r="2" spans="1:5" s="421" customFormat="1" ht="15.75">
      <c r="A2" s="2200" t="s">
        <v>1217</v>
      </c>
      <c r="B2" s="2201"/>
      <c r="C2" s="2202"/>
      <c r="D2" s="2202"/>
      <c r="E2" s="2203"/>
    </row>
    <row r="3" spans="1:5" s="421" customFormat="1" ht="15.75">
      <c r="A3" s="2204"/>
      <c r="B3" s="2205"/>
      <c r="C3" s="2202"/>
      <c r="D3" s="2202"/>
      <c r="E3" s="2203"/>
    </row>
    <row r="4" spans="1:5" s="421" customFormat="1" ht="15.75">
      <c r="A4" s="1971" t="str">
        <f>"Invånare 31 dec. "&amp;År&amp;""</f>
        <v>Invånare 31 dec. 2020</v>
      </c>
      <c r="B4" s="2206">
        <v>10379.295</v>
      </c>
      <c r="C4" s="2207">
        <v>10379295</v>
      </c>
      <c r="D4" s="2202"/>
      <c r="E4" s="2203"/>
    </row>
    <row r="5" spans="1:5" s="421" customFormat="1" ht="19.5" customHeight="1">
      <c r="A5" s="1971" t="str">
        <f>"Inv. 7-15 år 31 dec. "&amp;År&amp;""</f>
        <v>Inv. 7-15 år 31 dec. 2020</v>
      </c>
      <c r="B5" s="2206">
        <v>1112.73</v>
      </c>
      <c r="C5" s="2207">
        <v>1112730</v>
      </c>
      <c r="D5" s="2202"/>
      <c r="E5" s="2203"/>
    </row>
    <row r="6" spans="1:5" s="421" customFormat="1">
      <c r="A6" s="2208"/>
      <c r="B6" s="2208"/>
      <c r="C6" s="2208"/>
      <c r="D6" s="2208"/>
      <c r="E6" s="2208"/>
    </row>
    <row r="7" spans="1:5" s="421" customFormat="1">
      <c r="A7" s="2208"/>
      <c r="B7" s="2208"/>
      <c r="C7" s="2208"/>
      <c r="D7" s="2208"/>
      <c r="E7" s="2208"/>
    </row>
    <row r="8" spans="1:5" s="421" customFormat="1" ht="22.5" customHeight="1">
      <c r="A8" s="2208"/>
      <c r="B8" s="2208"/>
      <c r="C8" s="2208"/>
      <c r="D8" s="2208"/>
      <c r="E8" s="2208"/>
    </row>
    <row r="9" spans="1:5" s="421" customFormat="1" ht="12.75" customHeight="1">
      <c r="A9" s="2208"/>
      <c r="B9" s="2208"/>
      <c r="C9" s="2208"/>
      <c r="D9" s="2208"/>
      <c r="E9" s="2208"/>
    </row>
    <row r="10" spans="1:5" s="421" customFormat="1">
      <c r="A10" s="2208"/>
      <c r="B10" s="2208"/>
      <c r="C10" s="2208"/>
      <c r="D10" s="2208"/>
      <c r="E10" s="2208"/>
    </row>
    <row r="11" spans="1:5" s="421" customFormat="1">
      <c r="A11" s="2208"/>
      <c r="B11" s="2208"/>
      <c r="C11" s="2208"/>
      <c r="D11" s="2208"/>
      <c r="E11" s="2208"/>
    </row>
    <row r="12" spans="1:5" s="421" customFormat="1" ht="33">
      <c r="A12" s="2209" t="s">
        <v>1218</v>
      </c>
      <c r="B12" s="2208"/>
      <c r="C12" s="2208"/>
      <c r="D12" s="2208"/>
      <c r="E12" s="2208"/>
    </row>
    <row r="13" spans="1:5" s="421" customFormat="1">
      <c r="A13" s="2208"/>
      <c r="B13" s="2208"/>
      <c r="C13" s="2208"/>
      <c r="D13" s="2208"/>
      <c r="E13" s="2208"/>
    </row>
    <row r="14" spans="1:5" s="421" customFormat="1" ht="33">
      <c r="A14" s="2209" t="s">
        <v>1219</v>
      </c>
      <c r="B14" s="2208"/>
      <c r="C14" s="2208"/>
      <c r="D14" s="2208"/>
      <c r="E14" s="2208"/>
    </row>
    <row r="15" spans="1:5" s="421" customFormat="1">
      <c r="A15" s="2208"/>
      <c r="B15" s="2208"/>
      <c r="C15" s="2208"/>
      <c r="D15" s="2208"/>
      <c r="E15" s="2208"/>
    </row>
    <row r="16" spans="1:5" s="421" customFormat="1">
      <c r="A16" s="2208"/>
      <c r="B16" s="2208"/>
      <c r="C16" s="2208"/>
      <c r="D16" s="2208"/>
      <c r="E16" s="2208"/>
    </row>
    <row r="17" spans="1:5" s="421" customFormat="1">
      <c r="A17" s="2208"/>
      <c r="B17" s="2208"/>
      <c r="C17" s="2208"/>
      <c r="D17" s="2208"/>
      <c r="E17" s="2208"/>
    </row>
    <row r="18" spans="1:5" s="421" customFormat="1">
      <c r="A18" s="2208"/>
      <c r="B18" s="2208"/>
      <c r="C18" s="2208"/>
      <c r="D18" s="2208"/>
      <c r="E18" s="2208"/>
    </row>
    <row r="19" spans="1:5" s="421" customFormat="1">
      <c r="A19" s="2208"/>
      <c r="B19" s="2208"/>
      <c r="C19" s="2208"/>
      <c r="D19" s="2208"/>
      <c r="E19" s="2208"/>
    </row>
    <row r="20" spans="1:5" s="421" customFormat="1">
      <c r="A20" s="2208"/>
      <c r="B20" s="2208"/>
      <c r="C20" s="2208"/>
      <c r="D20" s="2208"/>
      <c r="E20" s="2208"/>
    </row>
    <row r="21" spans="1:5" s="421" customFormat="1">
      <c r="A21" s="2208"/>
      <c r="B21" s="2208"/>
      <c r="C21" s="2208"/>
      <c r="D21" s="2208"/>
      <c r="E21" s="2208"/>
    </row>
    <row r="22" spans="1:5" s="421" customFormat="1">
      <c r="A22" s="2208"/>
      <c r="B22" s="2208"/>
      <c r="C22" s="2208"/>
      <c r="D22" s="2208"/>
      <c r="E22" s="2208"/>
    </row>
    <row r="23" spans="1:5" s="421" customFormat="1">
      <c r="A23" s="2208"/>
      <c r="B23" s="2208"/>
      <c r="C23" s="2208"/>
      <c r="D23" s="2208"/>
      <c r="E23" s="2208"/>
    </row>
    <row r="24" spans="1:5" s="421" customFormat="1">
      <c r="A24" s="2208"/>
      <c r="B24" s="2208"/>
      <c r="C24" s="2208"/>
      <c r="D24" s="2208"/>
      <c r="E24" s="2208"/>
    </row>
    <row r="25" spans="1:5" s="421" customFormat="1">
      <c r="A25" s="2208"/>
      <c r="B25" s="2208"/>
      <c r="C25" s="2208"/>
      <c r="D25" s="2208"/>
      <c r="E25" s="2208"/>
    </row>
    <row r="26" spans="1:5" s="421" customFormat="1">
      <c r="A26" s="2208"/>
      <c r="B26" s="2208"/>
      <c r="C26" s="2208"/>
      <c r="D26" s="2208"/>
      <c r="E26" s="2208"/>
    </row>
    <row r="27" spans="1:5" s="421" customFormat="1">
      <c r="A27" s="2208"/>
      <c r="B27" s="2208"/>
      <c r="C27" s="2208"/>
      <c r="D27" s="2208"/>
      <c r="E27" s="2208"/>
    </row>
    <row r="28" spans="1:5" s="421" customFormat="1">
      <c r="A28" s="2208"/>
      <c r="B28" s="2208"/>
      <c r="C28" s="2208"/>
      <c r="D28" s="2208"/>
      <c r="E28" s="2208"/>
    </row>
    <row r="29" spans="1:5" s="421" customFormat="1">
      <c r="A29" s="2208"/>
      <c r="B29" s="2208"/>
      <c r="C29" s="2208"/>
      <c r="D29" s="2208"/>
      <c r="E29" s="2208"/>
    </row>
    <row r="30" spans="1:5" s="421" customFormat="1">
      <c r="A30" s="2208"/>
      <c r="B30" s="2208"/>
      <c r="C30" s="2208"/>
      <c r="D30" s="2208"/>
      <c r="E30" s="2208"/>
    </row>
    <row r="31" spans="1:5" s="421" customFormat="1">
      <c r="A31" s="2208"/>
      <c r="B31" s="2208"/>
      <c r="C31" s="2208"/>
      <c r="D31" s="2208"/>
      <c r="E31" s="2208"/>
    </row>
    <row r="32" spans="1:5" s="421" customFormat="1">
      <c r="A32" s="2208"/>
      <c r="B32" s="2208"/>
      <c r="C32" s="2208"/>
      <c r="D32" s="2208"/>
      <c r="E32" s="2208"/>
    </row>
    <row r="33" spans="1:5" s="421" customFormat="1">
      <c r="A33" s="2208"/>
      <c r="B33" s="2208"/>
      <c r="C33" s="2208"/>
      <c r="D33" s="2208"/>
      <c r="E33" s="2208"/>
    </row>
    <row r="34" spans="1:5" s="421" customFormat="1">
      <c r="A34" s="2208"/>
      <c r="B34" s="2208"/>
      <c r="C34" s="2208"/>
      <c r="D34" s="2208"/>
      <c r="E34" s="2208"/>
    </row>
    <row r="35" spans="1:5" s="421" customFormat="1">
      <c r="A35" s="2208"/>
      <c r="B35" s="2208"/>
      <c r="C35" s="2208"/>
      <c r="D35" s="2208"/>
      <c r="E35" s="2208"/>
    </row>
    <row r="36" spans="1:5" s="421" customFormat="1">
      <c r="A36" s="2208"/>
      <c r="B36" s="2208"/>
      <c r="C36" s="2208"/>
      <c r="D36" s="2208"/>
      <c r="E36" s="2208"/>
    </row>
    <row r="37" spans="1:5" s="421" customFormat="1">
      <c r="A37" s="2208"/>
      <c r="B37" s="2208"/>
      <c r="C37" s="2208"/>
      <c r="D37" s="2208"/>
      <c r="E37" s="2208"/>
    </row>
    <row r="38" spans="1:5" s="421" customFormat="1">
      <c r="A38" s="2208"/>
      <c r="B38" s="2208"/>
      <c r="C38" s="2208"/>
      <c r="D38" s="2208"/>
      <c r="E38" s="2208"/>
    </row>
    <row r="39" spans="1:5" s="421" customFormat="1">
      <c r="A39" s="2208"/>
      <c r="B39" s="2208"/>
      <c r="C39" s="2208"/>
      <c r="D39" s="2208"/>
      <c r="E39" s="2208"/>
    </row>
    <row r="40" spans="1:5" s="421" customFormat="1">
      <c r="A40" s="2208"/>
      <c r="B40" s="2208"/>
      <c r="C40" s="2208"/>
      <c r="D40" s="2208"/>
      <c r="E40" s="2208"/>
    </row>
    <row r="41" spans="1:5" s="421" customFormat="1">
      <c r="A41" s="2208"/>
      <c r="B41" s="2208"/>
      <c r="C41" s="2208"/>
      <c r="D41" s="2208"/>
      <c r="E41" s="2208"/>
    </row>
    <row r="42" spans="1:5" s="421" customFormat="1">
      <c r="A42" s="2208"/>
      <c r="B42" s="2208"/>
      <c r="C42" s="2208"/>
      <c r="D42" s="2208"/>
      <c r="E42" s="2208"/>
    </row>
    <row r="43" spans="1:5" s="421" customFormat="1">
      <c r="A43" s="2208"/>
      <c r="B43" s="2208"/>
      <c r="C43" s="2208"/>
      <c r="D43" s="2208"/>
      <c r="E43" s="2208"/>
    </row>
    <row r="44" spans="1:5" s="421" customFormat="1">
      <c r="A44" s="2208"/>
      <c r="B44" s="2208"/>
      <c r="C44" s="2208"/>
      <c r="D44" s="2208"/>
      <c r="E44" s="2208"/>
    </row>
    <row r="45" spans="1:5" s="421" customFormat="1">
      <c r="A45" s="2208"/>
      <c r="B45" s="2208"/>
      <c r="C45" s="2208"/>
      <c r="D45" s="2208"/>
      <c r="E45" s="2208"/>
    </row>
    <row r="46" spans="1:5" s="421" customFormat="1">
      <c r="A46" s="2208"/>
      <c r="B46" s="2208"/>
      <c r="C46" s="2208"/>
      <c r="D46" s="2208"/>
      <c r="E46" s="2208"/>
    </row>
    <row r="47" spans="1:5" s="421" customFormat="1">
      <c r="A47" s="2208"/>
      <c r="B47" s="2208"/>
      <c r="C47" s="2208"/>
      <c r="D47" s="2208"/>
      <c r="E47" s="2208"/>
    </row>
    <row r="48" spans="1:5" s="421" customFormat="1">
      <c r="A48" s="2208"/>
      <c r="B48" s="2208"/>
      <c r="C48" s="2208"/>
      <c r="D48" s="2208"/>
      <c r="E48" s="2208"/>
    </row>
    <row r="49" spans="1:5" s="421" customFormat="1">
      <c r="A49" s="2210" t="s">
        <v>526</v>
      </c>
      <c r="B49" s="2203"/>
      <c r="C49" s="2203"/>
      <c r="D49" s="2203"/>
      <c r="E49" s="2203"/>
    </row>
    <row r="50" spans="1:5" s="307" customFormat="1" ht="54.75" customHeight="1">
      <c r="A50" s="2211" t="s">
        <v>1222</v>
      </c>
      <c r="B50" s="2212"/>
      <c r="C50" s="2212"/>
      <c r="D50" s="2212"/>
      <c r="E50" s="2212"/>
    </row>
  </sheetData>
  <customSheetViews>
    <customSheetView guid="{97D6DB71-3F4C-4C5F-8C5B-51E3EBF78932}" showPageBreaks="1" fitToPage="1" hiddenRows="1" hiddenColumns="1">
      <selection activeCell="B4" sqref="B4"/>
      <pageMargins left="0.70866141732283472" right="0.70866141732283472" top="0.74803149606299213" bottom="0.74803149606299213" header="0.31496062992125984" footer="0.31496062992125984"/>
      <pageSetup paperSize="9" scale="71" orientation="portrait" r:id="rId1"/>
    </customSheetView>
    <customSheetView guid="{99FBDEB7-DD08-4F57-81F4-3C180403E153}" fitToPage="1" hiddenRows="1" hiddenColumns="1">
      <selection activeCell="B4" sqref="B4"/>
      <pageMargins left="0.70866141732283472" right="0.70866141732283472" top="0.74803149606299213" bottom="0.74803149606299213" header="0.31496062992125984" footer="0.31496062992125984"/>
      <pageSetup paperSize="9" scale="65" orientation="portrait" r:id="rId2"/>
    </customSheetView>
    <customSheetView guid="{27C9E95B-0E2B-454F-B637-1CECC9579A10}" fitToPage="1" hiddenRows="1" hiddenColumns="1" showRuler="0">
      <selection activeCell="D3" sqref="D3"/>
      <pageMargins left="0.70866141732283472" right="0.70866141732283472" top="0.74803149606299213" bottom="0.74803149606299213" header="0.31496062992125984" footer="0.31496062992125984"/>
      <pageSetup paperSize="9" scale="65" orientation="portrait" r:id="rId3"/>
      <headerFooter alignWithMargins="0"/>
    </customSheetView>
  </customSheetViews>
  <mergeCells count="1">
    <mergeCell ref="A1:D1"/>
  </mergeCells>
  <phoneticPr fontId="87" type="noConversion"/>
  <hyperlinks>
    <hyperlink ref="A49" r:id="rId4"/>
  </hyperlinks>
  <pageMargins left="0.70866141732283472" right="0.48" top="0.74803149606299213" bottom="0.74803149606299213" header="0.31496062992125984" footer="0.31496062992125984"/>
  <pageSetup paperSize="9" scale="8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rgb="FFFFFF00"/>
  </sheetPr>
  <dimension ref="A1:L74"/>
  <sheetViews>
    <sheetView showGridLines="0" zoomScaleNormal="100" workbookViewId="0">
      <pane ySplit="1" topLeftCell="A2" activePane="bottomLeft" state="frozen"/>
      <selection activeCell="F36" sqref="F36"/>
      <selection pane="bottomLeft" activeCell="G27" sqref="G27"/>
    </sheetView>
  </sheetViews>
  <sheetFormatPr defaultColWidth="0" defaultRowHeight="12.75" customHeight="1" zeroHeight="1"/>
  <cols>
    <col min="1" max="1" width="4" style="170" customWidth="1"/>
    <col min="2" max="2" width="42.28515625" style="170" customWidth="1"/>
    <col min="3" max="3" width="11.5703125" style="170" customWidth="1"/>
    <col min="4" max="4" width="11.7109375" style="170" customWidth="1"/>
    <col min="5" max="5" width="12.140625" style="170" customWidth="1"/>
    <col min="6" max="6" width="5.7109375" style="170" customWidth="1"/>
    <col min="7" max="7" width="24" style="170" customWidth="1"/>
    <col min="8" max="8" width="15" style="170" customWidth="1"/>
    <col min="9" max="9" width="8.7109375" style="170" customWidth="1"/>
    <col min="10" max="10" width="9.140625" style="170" customWidth="1"/>
    <col min="11" max="11" width="10.140625" style="170" customWidth="1"/>
    <col min="12" max="12" width="0" style="170" hidden="1" customWidth="1"/>
    <col min="13" max="16384" width="9.140625" style="170" hidden="1"/>
  </cols>
  <sheetData>
    <row r="1" spans="1:11" ht="21.75">
      <c r="A1" s="77" t="str">
        <f>"Resultaträkning "&amp;År&amp;", miljoner kr"</f>
        <v>Resultaträkning 2020, miljoner kr</v>
      </c>
      <c r="B1" s="78"/>
      <c r="C1" s="78"/>
      <c r="D1" s="78"/>
      <c r="E1" s="78"/>
      <c r="F1" s="512" t="s">
        <v>459</v>
      </c>
      <c r="G1" s="513" t="str">
        <f>'Kn Information'!A2</f>
        <v>RIKSTOTAL</v>
      </c>
      <c r="H1" s="169"/>
      <c r="I1" s="169"/>
      <c r="J1" s="169"/>
      <c r="K1" s="169"/>
    </row>
    <row r="2" spans="1:11" ht="12.75" customHeight="1">
      <c r="A2" s="2213"/>
      <c r="B2" s="2213"/>
      <c r="C2" s="2213"/>
      <c r="D2" s="2213"/>
      <c r="E2" s="2213"/>
      <c r="F2" s="2213"/>
      <c r="G2" s="2213"/>
      <c r="H2" s="2213"/>
      <c r="I2" s="2213"/>
      <c r="J2" s="2213"/>
      <c r="K2" s="2213"/>
    </row>
    <row r="3" spans="1:11" ht="12.75" customHeight="1" thickBot="1">
      <c r="A3" s="2213"/>
      <c r="B3" s="2213"/>
      <c r="C3" s="2213"/>
      <c r="D3" s="2213"/>
      <c r="E3" s="2213"/>
      <c r="F3" s="2213"/>
      <c r="G3" s="2213"/>
      <c r="H3" s="2213"/>
      <c r="I3" s="2213"/>
      <c r="J3" s="2213"/>
      <c r="K3" s="2213"/>
    </row>
    <row r="4" spans="1:11" ht="12.75" customHeight="1">
      <c r="A4" s="603" t="s">
        <v>626</v>
      </c>
      <c r="B4" s="604"/>
      <c r="C4" s="614" t="s">
        <v>628</v>
      </c>
      <c r="D4" s="615" t="s">
        <v>743</v>
      </c>
      <c r="G4" s="4"/>
      <c r="H4" s="4"/>
      <c r="I4" s="2465" t="s">
        <v>463</v>
      </c>
      <c r="J4" s="2471"/>
      <c r="K4" s="171"/>
    </row>
    <row r="5" spans="1:11" ht="12.75" customHeight="1">
      <c r="A5" s="605" t="s">
        <v>629</v>
      </c>
      <c r="B5" s="606"/>
      <c r="C5" s="616"/>
      <c r="D5" s="617"/>
      <c r="E5" s="2"/>
      <c r="F5" s="4"/>
      <c r="G5" s="4"/>
      <c r="H5" s="4"/>
      <c r="I5" s="620" t="s">
        <v>628</v>
      </c>
      <c r="J5" s="621" t="s">
        <v>743</v>
      </c>
      <c r="K5" s="171"/>
    </row>
    <row r="6" spans="1:11" ht="12.75" customHeight="1">
      <c r="A6" s="605"/>
      <c r="B6" s="607"/>
      <c r="C6" s="606"/>
      <c r="D6" s="618"/>
      <c r="E6" s="2"/>
      <c r="F6" s="4"/>
      <c r="G6" s="4"/>
      <c r="H6" s="4"/>
      <c r="I6" s="622"/>
      <c r="J6" s="623"/>
      <c r="K6" s="171"/>
    </row>
    <row r="7" spans="1:11">
      <c r="A7" s="588" t="s">
        <v>281</v>
      </c>
      <c r="B7" s="608" t="s">
        <v>756</v>
      </c>
      <c r="C7" s="175">
        <v>166167.29300000001</v>
      </c>
      <c r="D7" s="176">
        <v>317571.929</v>
      </c>
      <c r="E7" s="179"/>
      <c r="F7" s="67"/>
      <c r="G7" s="67"/>
      <c r="H7" s="4"/>
      <c r="I7" s="624">
        <f>C7*1000/invanare</f>
        <v>16009.497080485717</v>
      </c>
      <c r="J7" s="625">
        <f t="shared" ref="I7:J12" si="0">D7*1000/invanare</f>
        <v>30596.676267511426</v>
      </c>
      <c r="K7" s="171"/>
    </row>
    <row r="8" spans="1:11">
      <c r="A8" s="586" t="s">
        <v>282</v>
      </c>
      <c r="B8" s="608" t="s">
        <v>757</v>
      </c>
      <c r="C8" s="175">
        <v>722781.45</v>
      </c>
      <c r="D8" s="176">
        <v>817494.44299999997</v>
      </c>
      <c r="E8" s="179"/>
      <c r="F8" s="67"/>
      <c r="G8" s="67"/>
      <c r="H8" s="4"/>
      <c r="I8" s="626">
        <f>C8*1000/invanare*-1</f>
        <v>-69636.853948172778</v>
      </c>
      <c r="J8" s="625">
        <f>D8*1000/invanare*-1</f>
        <v>-78762.039521952116</v>
      </c>
      <c r="K8" s="171"/>
    </row>
    <row r="9" spans="1:11">
      <c r="A9" s="586" t="s">
        <v>283</v>
      </c>
      <c r="B9" s="608" t="s">
        <v>990</v>
      </c>
      <c r="C9" s="66">
        <v>28810.364000000001</v>
      </c>
      <c r="D9" s="177">
        <v>63406.758000000002</v>
      </c>
      <c r="E9" s="179"/>
      <c r="F9" s="67"/>
      <c r="G9" s="67"/>
      <c r="H9" s="4"/>
      <c r="I9" s="624">
        <f>C9*1000/invanare*-1</f>
        <v>-2775.7534591703966</v>
      </c>
      <c r="J9" s="625">
        <f>D9*1000/invanare*-1</f>
        <v>-6108.9657823580501</v>
      </c>
      <c r="K9" s="171"/>
    </row>
    <row r="10" spans="1:11" ht="13.5" thickBot="1">
      <c r="A10" s="579" t="s">
        <v>284</v>
      </c>
      <c r="B10" s="609" t="s">
        <v>630</v>
      </c>
      <c r="C10" s="340">
        <f>C7-SUM(C8:C9)</f>
        <v>-585424.52099999995</v>
      </c>
      <c r="D10" s="341">
        <f>D7-SUM(D8:D9)</f>
        <v>-563329.272</v>
      </c>
      <c r="E10" s="180"/>
      <c r="F10" s="67"/>
      <c r="G10" s="67"/>
      <c r="H10" s="4"/>
      <c r="I10" s="627">
        <f t="shared" si="0"/>
        <v>-56403.110326857459</v>
      </c>
      <c r="J10" s="625">
        <f t="shared" si="0"/>
        <v>-54274.329036798743</v>
      </c>
      <c r="K10" s="171"/>
    </row>
    <row r="11" spans="1:11">
      <c r="A11" s="610" t="s">
        <v>285</v>
      </c>
      <c r="B11" s="611" t="s">
        <v>631</v>
      </c>
      <c r="C11" s="97">
        <f>'Skatter, bidrag o fin poster'!D14</f>
        <v>487482.64</v>
      </c>
      <c r="D11" s="1228">
        <f>C11</f>
        <v>487482.64</v>
      </c>
      <c r="E11" s="180"/>
      <c r="F11" s="67"/>
      <c r="G11" s="67"/>
      <c r="H11" s="4"/>
      <c r="I11" s="628">
        <f t="shared" si="0"/>
        <v>46966.835416085582</v>
      </c>
      <c r="J11" s="629">
        <f t="shared" si="0"/>
        <v>46966.835416085582</v>
      </c>
      <c r="K11" s="171"/>
    </row>
    <row r="12" spans="1:11">
      <c r="A12" s="586" t="s">
        <v>286</v>
      </c>
      <c r="B12" s="2029" t="s">
        <v>1103</v>
      </c>
      <c r="C12" s="98">
        <f>'Skatter, bidrag o fin poster'!D28-'Skatter, bidrag o fin poster'!D39+'Skatter, bidrag o fin poster'!D41</f>
        <v>127895.876</v>
      </c>
      <c r="D12" s="1229">
        <f>C12</f>
        <v>127895.876</v>
      </c>
      <c r="E12" s="180"/>
      <c r="F12" s="67"/>
      <c r="G12" s="67"/>
      <c r="H12" s="4"/>
      <c r="I12" s="624">
        <f t="shared" si="0"/>
        <v>12322.212250446682</v>
      </c>
      <c r="J12" s="630">
        <f t="shared" si="0"/>
        <v>12322.212250446682</v>
      </c>
      <c r="K12" s="171"/>
    </row>
    <row r="13" spans="1:11" ht="13.5" thickBot="1">
      <c r="A13" s="590" t="s">
        <v>299</v>
      </c>
      <c r="B13" s="2030" t="s">
        <v>1169</v>
      </c>
      <c r="C13" s="340">
        <f>SUM(C10:C12)</f>
        <v>29953.995000000068</v>
      </c>
      <c r="D13" s="341">
        <f>SUM(D10:D12)</f>
        <v>52049.244000000021</v>
      </c>
      <c r="E13" s="180"/>
      <c r="F13" s="67"/>
      <c r="G13" s="67"/>
      <c r="H13" s="4"/>
      <c r="I13" s="627">
        <f t="shared" ref="I13" si="1">C13*1000/invanare</f>
        <v>2885.937339674811</v>
      </c>
      <c r="J13" s="634">
        <f t="shared" ref="J13" si="2">D13*1000/invanare</f>
        <v>5014.7186297335247</v>
      </c>
      <c r="K13" s="171"/>
    </row>
    <row r="14" spans="1:11">
      <c r="A14" s="586" t="s">
        <v>287</v>
      </c>
      <c r="B14" s="608" t="s">
        <v>632</v>
      </c>
      <c r="C14" s="175">
        <v>12474.058000000001</v>
      </c>
      <c r="D14" s="1858">
        <v>7603.0150000000003</v>
      </c>
      <c r="E14" s="179"/>
      <c r="F14" s="75"/>
      <c r="G14" s="67"/>
      <c r="H14" s="4"/>
      <c r="I14" s="2472">
        <f>(C14-C15)*1000/invanare</f>
        <v>505.40147476297773</v>
      </c>
      <c r="J14" s="2474">
        <f>(D14-D15)*1000/invanare</f>
        <v>-310.45249219720603</v>
      </c>
      <c r="K14" s="171"/>
    </row>
    <row r="15" spans="1:11">
      <c r="A15" s="588" t="s">
        <v>288</v>
      </c>
      <c r="B15" s="612" t="s">
        <v>633</v>
      </c>
      <c r="C15" s="175">
        <v>7228.3469999999998</v>
      </c>
      <c r="D15" s="1858">
        <v>10825.293</v>
      </c>
      <c r="E15" s="179"/>
      <c r="F15" s="75"/>
      <c r="G15" s="67"/>
      <c r="H15" s="4"/>
      <c r="I15" s="2473"/>
      <c r="J15" s="2475"/>
      <c r="K15" s="171"/>
    </row>
    <row r="16" spans="1:11" ht="13.5" thickBot="1">
      <c r="A16" s="539" t="s">
        <v>289</v>
      </c>
      <c r="B16" s="613" t="s">
        <v>1104</v>
      </c>
      <c r="C16" s="340">
        <f>SUM(C13:C14)-C15</f>
        <v>35199.706000000071</v>
      </c>
      <c r="D16" s="352">
        <f>SUM(D13:D14)-D15</f>
        <v>48826.966000000022</v>
      </c>
      <c r="E16" s="180"/>
      <c r="G16" s="2213"/>
      <c r="H16" s="4"/>
      <c r="I16" s="627">
        <f>C16*1000/invanare</f>
        <v>3391.3388144377891</v>
      </c>
      <c r="J16" s="634">
        <f>D16*1000/invanare</f>
        <v>4704.2661375363186</v>
      </c>
      <c r="K16" s="171"/>
    </row>
    <row r="17" spans="1:11">
      <c r="A17" s="610" t="s">
        <v>325</v>
      </c>
      <c r="B17" s="611" t="s">
        <v>1105</v>
      </c>
      <c r="C17" s="175">
        <v>77.616</v>
      </c>
      <c r="D17" s="1858">
        <v>-477.91199999999998</v>
      </c>
      <c r="E17" s="2213"/>
      <c r="F17" s="171"/>
      <c r="G17" s="2213"/>
      <c r="H17" s="4"/>
      <c r="I17" s="2146">
        <f>(C17)*1000/invanare</f>
        <v>7.4779645438346245</v>
      </c>
      <c r="J17" s="2147">
        <f>(D17)*1000/invanare</f>
        <v>-46.044745813660754</v>
      </c>
      <c r="K17" s="171"/>
    </row>
    <row r="18" spans="1:11" ht="13.5" thickBot="1">
      <c r="A18" s="2166" t="s">
        <v>214</v>
      </c>
      <c r="B18" s="1272" t="s">
        <v>634</v>
      </c>
      <c r="C18" s="340">
        <f>SUM(C16:C17)</f>
        <v>35277.322000000073</v>
      </c>
      <c r="D18" s="352">
        <f>SUM(D16:D17)</f>
        <v>48349.054000000026</v>
      </c>
      <c r="E18" s="2213"/>
      <c r="F18" s="171"/>
      <c r="G18" s="2213"/>
      <c r="H18" s="172"/>
      <c r="I18" s="632"/>
      <c r="J18" s="633"/>
      <c r="K18" s="171"/>
    </row>
    <row r="19" spans="1:11" ht="13.5" thickBot="1">
      <c r="A19" s="2164"/>
      <c r="B19" s="2165"/>
      <c r="E19" s="2213"/>
      <c r="F19" s="171"/>
      <c r="G19" s="2213"/>
      <c r="H19" s="4"/>
      <c r="I19" s="627">
        <f>C18*1000/invanare</f>
        <v>3398.8167789816239</v>
      </c>
      <c r="J19" s="634">
        <f>D18*1000/invanare</f>
        <v>4658.2213917226572</v>
      </c>
      <c r="K19" s="171"/>
    </row>
    <row r="20" spans="1:11" ht="15.75" customHeight="1">
      <c r="A20" s="16"/>
      <c r="B20" s="3"/>
      <c r="C20" s="3"/>
      <c r="D20" s="3"/>
      <c r="E20" s="2213"/>
      <c r="F20" s="173"/>
      <c r="G20" s="2213"/>
      <c r="H20" s="4"/>
      <c r="I20" s="4"/>
      <c r="J20" s="4"/>
      <c r="K20" s="171"/>
    </row>
    <row r="21" spans="1:11" ht="15.75" customHeight="1" thickBot="1">
      <c r="A21" s="74" t="s">
        <v>1085</v>
      </c>
      <c r="B21" s="3"/>
      <c r="C21" s="3"/>
      <c r="D21" s="3"/>
      <c r="E21" s="2213"/>
      <c r="F21" s="173"/>
      <c r="G21" s="2213"/>
      <c r="H21" s="4"/>
      <c r="I21" s="4"/>
      <c r="J21" s="4"/>
      <c r="K21" s="171"/>
    </row>
    <row r="22" spans="1:11" ht="15.75" customHeight="1">
      <c r="A22" s="610"/>
      <c r="B22" s="1963"/>
      <c r="C22" s="1965"/>
      <c r="D22" s="3"/>
      <c r="E22" s="2213"/>
      <c r="F22" s="173"/>
      <c r="G22" s="2213"/>
      <c r="H22" s="4"/>
      <c r="I22" s="4"/>
      <c r="J22" s="4"/>
      <c r="K22" s="171"/>
    </row>
    <row r="23" spans="1:11" ht="15.75" customHeight="1">
      <c r="A23" s="588" t="s">
        <v>344</v>
      </c>
      <c r="B23" s="1964" t="s">
        <v>1096</v>
      </c>
      <c r="C23" s="1969">
        <v>9447.5859999999993</v>
      </c>
      <c r="D23" s="3"/>
      <c r="E23" s="2213"/>
      <c r="F23" s="173"/>
      <c r="G23" s="2213"/>
      <c r="H23" s="4"/>
      <c r="I23" s="4"/>
      <c r="J23" s="4"/>
      <c r="K23" s="171"/>
    </row>
    <row r="24" spans="1:11" ht="15.75" customHeight="1">
      <c r="A24" s="588" t="s">
        <v>651</v>
      </c>
      <c r="B24" s="1964" t="s">
        <v>1097</v>
      </c>
      <c r="C24" s="1969">
        <v>4511.8739999999998</v>
      </c>
      <c r="D24" s="3"/>
      <c r="E24" s="2213"/>
      <c r="F24" s="173"/>
      <c r="G24" s="2213"/>
      <c r="H24" s="4"/>
      <c r="I24" s="4"/>
      <c r="J24" s="4"/>
      <c r="K24" s="171"/>
    </row>
    <row r="25" spans="1:11" ht="15.75" customHeight="1">
      <c r="A25" s="588" t="s">
        <v>1086</v>
      </c>
      <c r="B25" s="1964" t="s">
        <v>1098</v>
      </c>
      <c r="C25" s="1969">
        <v>663.01800000000003</v>
      </c>
      <c r="D25" s="3"/>
      <c r="E25" s="2213"/>
      <c r="F25" s="173"/>
      <c r="G25" s="2213"/>
      <c r="H25" s="4"/>
      <c r="I25" s="4"/>
      <c r="J25" s="4"/>
      <c r="K25" s="171"/>
    </row>
    <row r="26" spans="1:11" ht="15.75" customHeight="1">
      <c r="A26" s="588" t="s">
        <v>1087</v>
      </c>
      <c r="B26" s="1964" t="s">
        <v>1099</v>
      </c>
      <c r="C26" s="1969">
        <v>1923.24</v>
      </c>
      <c r="D26" s="3"/>
      <c r="E26" s="2213"/>
      <c r="F26" s="173"/>
      <c r="G26" s="2213"/>
      <c r="H26" s="4"/>
      <c r="I26" s="4"/>
      <c r="J26" s="4"/>
      <c r="K26" s="171"/>
    </row>
    <row r="27" spans="1:11" ht="15.75" customHeight="1" thickBot="1">
      <c r="A27" s="590" t="s">
        <v>1088</v>
      </c>
      <c r="B27" s="1966" t="s">
        <v>1100</v>
      </c>
      <c r="C27" s="1970">
        <v>644.41499999999996</v>
      </c>
      <c r="D27" s="3"/>
      <c r="E27" s="2213"/>
      <c r="F27" s="173"/>
      <c r="G27" s="2213"/>
      <c r="H27" s="4"/>
      <c r="I27" s="4"/>
      <c r="J27" s="4"/>
      <c r="K27" s="171"/>
    </row>
    <row r="28" spans="1:11" ht="15.75" customHeight="1" thickBot="1">
      <c r="A28" s="16"/>
      <c r="B28" s="3"/>
      <c r="C28" s="3"/>
      <c r="D28" s="3"/>
      <c r="E28" s="2"/>
      <c r="F28" s="173"/>
      <c r="G28" s="2213"/>
      <c r="H28" s="4"/>
      <c r="I28" s="4"/>
      <c r="J28" s="4"/>
      <c r="K28" s="171"/>
    </row>
    <row r="29" spans="1:11" ht="18" customHeight="1" thickBot="1">
      <c r="A29" s="74" t="s">
        <v>148</v>
      </c>
      <c r="B29" s="4"/>
      <c r="C29" s="4"/>
      <c r="D29" s="4"/>
      <c r="E29" s="4"/>
      <c r="F29" s="4"/>
      <c r="G29" s="2213"/>
      <c r="H29" s="4"/>
      <c r="I29" s="635" t="s">
        <v>463</v>
      </c>
      <c r="J29" s="174"/>
      <c r="K29" s="171"/>
    </row>
    <row r="30" spans="1:11">
      <c r="A30" s="123">
        <v>130</v>
      </c>
      <c r="B30" s="1472" t="s">
        <v>149</v>
      </c>
      <c r="C30" s="342">
        <f>C18</f>
        <v>35277.322000000073</v>
      </c>
      <c r="D30" s="4"/>
      <c r="E30" s="4"/>
      <c r="F30" s="4"/>
      <c r="G30" s="2213"/>
      <c r="H30" s="4"/>
      <c r="I30" s="636">
        <f>C30*1000/invanare</f>
        <v>3398.8167789816239</v>
      </c>
      <c r="J30" s="172"/>
      <c r="K30" s="171"/>
    </row>
    <row r="31" spans="1:11">
      <c r="A31" s="124">
        <v>131</v>
      </c>
      <c r="B31" s="619" t="str">
        <f>"- reducering av samtliga realisationsvinster"</f>
        <v>- reducering av samtliga realisationsvinster</v>
      </c>
      <c r="C31" s="99">
        <v>3053.393</v>
      </c>
      <c r="D31" s="179"/>
      <c r="E31" s="4"/>
      <c r="F31" s="4"/>
      <c r="G31" s="2213"/>
      <c r="H31" s="4"/>
      <c r="I31" s="637"/>
      <c r="J31" s="172"/>
      <c r="K31" s="171"/>
    </row>
    <row r="32" spans="1:11">
      <c r="A32" s="124">
        <v>132</v>
      </c>
      <c r="B32" s="619" t="str">
        <f>"+ justering för realisationsvinster enl. undantagsmöjlighet"</f>
        <v>+ justering för realisationsvinster enl. undantagsmöjlighet</v>
      </c>
      <c r="C32" s="99">
        <v>76.174000000000007</v>
      </c>
      <c r="D32" s="179"/>
      <c r="E32" s="4"/>
      <c r="G32" s="2213"/>
      <c r="H32" s="4"/>
      <c r="I32" s="639"/>
      <c r="J32" s="172"/>
      <c r="K32" s="171"/>
    </row>
    <row r="33" spans="1:11">
      <c r="A33" s="124">
        <v>135</v>
      </c>
      <c r="B33" s="619" t="str">
        <f>"+ justering av realisationsförluster enl. undantagsmöjlighet"</f>
        <v>+ justering av realisationsförluster enl. undantagsmöjlighet</v>
      </c>
      <c r="C33" s="178">
        <v>309.577</v>
      </c>
      <c r="D33" s="179"/>
      <c r="E33" s="4"/>
      <c r="F33" s="4"/>
      <c r="G33" s="2213"/>
      <c r="H33" s="4"/>
      <c r="I33" s="1279"/>
      <c r="J33" s="172"/>
      <c r="K33" s="171"/>
    </row>
    <row r="34" spans="1:11" ht="13.5" customHeight="1">
      <c r="A34" s="2154">
        <v>136</v>
      </c>
      <c r="B34" s="619" t="str">
        <f>"+/- orealiserade vinster och förluster i värdepapper"</f>
        <v>+/- orealiserade vinster och förluster i värdepapper</v>
      </c>
      <c r="C34" s="178">
        <v>-843.24699999999996</v>
      </c>
      <c r="D34" s="179"/>
      <c r="E34" s="4"/>
      <c r="F34" s="4"/>
      <c r="G34" s="2213"/>
      <c r="H34" s="4"/>
      <c r="I34" s="639"/>
      <c r="J34" s="172"/>
      <c r="K34" s="171"/>
    </row>
    <row r="35" spans="1:11" ht="12.75" customHeight="1">
      <c r="A35" s="563">
        <v>140</v>
      </c>
      <c r="B35" s="612" t="str">
        <f>"-/+ återföring av orealiserade vinster och förluster i värdepapper"</f>
        <v>-/+ återföring av orealiserade vinster och förluster i värdepapper</v>
      </c>
      <c r="C35" s="178">
        <v>613.53300000000002</v>
      </c>
      <c r="D35" s="179"/>
      <c r="E35" s="4"/>
      <c r="F35" s="4"/>
      <c r="H35" s="4"/>
      <c r="I35" s="639"/>
      <c r="J35" s="4"/>
      <c r="K35" s="171"/>
    </row>
    <row r="36" spans="1:11" ht="12.75" customHeight="1">
      <c r="A36" s="1413">
        <v>141</v>
      </c>
      <c r="B36" s="1272" t="str">
        <f xml:space="preserve"> " = Årets resultat efter balanskravsjusteringar"</f>
        <v xml:space="preserve"> = Årets resultat efter balanskravsjusteringar</v>
      </c>
      <c r="C36" s="343">
        <f>C30-C31+C32+C33+C34+C35</f>
        <v>32379.966000000073</v>
      </c>
      <c r="D36" s="179"/>
      <c r="E36" s="4"/>
      <c r="F36" s="4"/>
      <c r="G36" s="1244"/>
      <c r="H36" s="4"/>
      <c r="I36" s="639"/>
      <c r="J36" s="4"/>
      <c r="K36" s="171"/>
    </row>
    <row r="37" spans="1:11" ht="13.5" customHeight="1">
      <c r="A37" s="575">
        <v>142</v>
      </c>
      <c r="B37" s="608" t="str">
        <f>"- reservering av medel till resultatutjämningsreserv"</f>
        <v>- reservering av medel till resultatutjämningsreserv</v>
      </c>
      <c r="C37" s="178">
        <v>6188.0640000000003</v>
      </c>
      <c r="D37" s="179"/>
      <c r="E37" s="4"/>
      <c r="F37" s="4"/>
      <c r="G37" s="1244"/>
      <c r="H37" s="4"/>
      <c r="I37" s="639"/>
      <c r="J37" s="4"/>
      <c r="K37" s="171"/>
    </row>
    <row r="38" spans="1:11" ht="12.75" customHeight="1">
      <c r="A38" s="563">
        <v>143</v>
      </c>
      <c r="B38" s="612" t="str">
        <f>"+ användning av medel från resultatutjämninsreserv"</f>
        <v>+ användning av medel från resultatutjämninsreserv</v>
      </c>
      <c r="C38" s="178">
        <v>72.14</v>
      </c>
      <c r="D38" s="179"/>
      <c r="E38" s="4"/>
      <c r="F38" s="4"/>
      <c r="G38" s="1244"/>
      <c r="H38" s="4"/>
      <c r="I38" s="639"/>
      <c r="J38" s="4"/>
      <c r="K38" s="171"/>
    </row>
    <row r="39" spans="1:11" ht="12.75" customHeight="1">
      <c r="A39" s="125">
        <v>133</v>
      </c>
      <c r="B39" s="1272" t="str">
        <f>"= Balanskravsresultat"</f>
        <v>= Balanskravsresultat</v>
      </c>
      <c r="C39" s="343">
        <f>C36-C37+C38</f>
        <v>26264.042000000074</v>
      </c>
      <c r="D39" s="179"/>
      <c r="E39" s="4"/>
      <c r="F39" s="4"/>
      <c r="G39" s="1245"/>
      <c r="H39" s="4"/>
      <c r="I39" s="1695">
        <f>C39*1000/invanare</f>
        <v>2530.4263921586266</v>
      </c>
      <c r="J39" s="4"/>
      <c r="K39" s="171"/>
    </row>
    <row r="40" spans="1:11" ht="33" customHeight="1">
      <c r="A40" s="1630"/>
      <c r="B40" s="1631" t="s">
        <v>976</v>
      </c>
      <c r="C40" s="732"/>
      <c r="D40" s="4"/>
      <c r="E40" s="4"/>
      <c r="F40" s="4"/>
      <c r="G40" s="1245"/>
      <c r="H40" s="4"/>
      <c r="I40" s="639"/>
      <c r="J40" s="4"/>
      <c r="K40" s="171"/>
    </row>
    <row r="41" spans="1:11" ht="12.75" customHeight="1">
      <c r="A41" s="1499">
        <v>144</v>
      </c>
      <c r="B41" s="1473" t="s">
        <v>977</v>
      </c>
      <c r="C41" s="1474">
        <v>689.476</v>
      </c>
      <c r="D41" s="4"/>
      <c r="E41" s="4"/>
      <c r="F41" s="4"/>
      <c r="G41" s="1245"/>
      <c r="H41" s="4"/>
      <c r="I41" s="639"/>
      <c r="J41" s="4"/>
      <c r="K41" s="171"/>
    </row>
    <row r="42" spans="1:11" ht="12.75" customHeight="1">
      <c r="A42" s="563">
        <v>145</v>
      </c>
      <c r="B42" s="1475" t="s">
        <v>978</v>
      </c>
      <c r="C42" s="178">
        <v>471.96699999999998</v>
      </c>
      <c r="D42" s="179"/>
      <c r="E42" s="4"/>
      <c r="F42" s="4"/>
      <c r="G42" s="1245"/>
      <c r="H42" s="4"/>
      <c r="I42" s="638"/>
      <c r="J42" s="4"/>
      <c r="K42" s="171"/>
    </row>
    <row r="43" spans="1:11" ht="13.5" customHeight="1" thickBot="1">
      <c r="A43" s="572">
        <v>146</v>
      </c>
      <c r="B43" s="1476" t="str">
        <f>"= Resultat efter synnerliga skäl m.m."</f>
        <v>= Resultat efter synnerliga skäl m.m.</v>
      </c>
      <c r="C43" s="341">
        <f>C39-C41+C42</f>
        <v>26046.533000000076</v>
      </c>
      <c r="D43" s="1253"/>
      <c r="E43" s="4"/>
      <c r="F43" s="4"/>
      <c r="G43" s="1245"/>
      <c r="H43" s="4"/>
      <c r="I43" s="640">
        <f>C43*1000/invanare</f>
        <v>2509.4703445657988</v>
      </c>
      <c r="J43" s="4"/>
      <c r="K43" s="171"/>
    </row>
    <row r="44" spans="1:11" ht="21.75" customHeight="1" thickBot="1">
      <c r="A44" s="1519">
        <v>137</v>
      </c>
      <c r="B44" s="1478" t="s">
        <v>979</v>
      </c>
      <c r="C44" s="1477">
        <v>174.84100000000001</v>
      </c>
      <c r="D44" s="1384"/>
      <c r="E44" s="4"/>
      <c r="F44" s="4"/>
      <c r="G44" s="4"/>
      <c r="H44" s="4"/>
      <c r="I44" s="4"/>
      <c r="J44" s="4"/>
      <c r="K44" s="171"/>
    </row>
    <row r="45" spans="1:11" ht="12.75" customHeight="1">
      <c r="A45" s="171"/>
      <c r="B45" s="171"/>
      <c r="C45" s="171"/>
      <c r="D45" s="4"/>
      <c r="E45" s="4"/>
      <c r="F45" s="4"/>
      <c r="G45" s="641" t="s">
        <v>522</v>
      </c>
      <c r="H45" s="642"/>
      <c r="I45" s="2465" t="s">
        <v>144</v>
      </c>
      <c r="J45" s="2466"/>
      <c r="K45" s="171"/>
    </row>
    <row r="46" spans="1:11" ht="21.75" customHeight="1">
      <c r="A46" s="171"/>
      <c r="B46" s="171"/>
      <c r="C46" s="171"/>
      <c r="D46" s="4"/>
      <c r="E46" s="4"/>
      <c r="F46" s="171"/>
      <c r="G46" s="643"/>
      <c r="H46" s="644"/>
      <c r="I46" s="645" t="s">
        <v>628</v>
      </c>
      <c r="J46" s="646" t="s">
        <v>743</v>
      </c>
      <c r="K46" s="171"/>
    </row>
    <row r="47" spans="1:11" ht="19.5" customHeight="1">
      <c r="A47" s="171"/>
      <c r="B47" s="171"/>
      <c r="C47" s="171"/>
      <c r="D47" s="171"/>
      <c r="E47" s="171"/>
      <c r="F47" s="171"/>
      <c r="G47" s="2467" t="s">
        <v>532</v>
      </c>
      <c r="H47" s="2468"/>
      <c r="I47" s="624">
        <f>IF(ISERROR(C10*100/SUM(C11:C12)*-1),0,C10*100/SUM(C11:C12)*-1)</f>
        <v>95.132427567555823</v>
      </c>
      <c r="J47" s="647">
        <f>IF(ISERROR(D10*100/SUM(D11:D12)*-1),0,D10*100/SUM(D11:D12)*-1)</f>
        <v>91.541914017680782</v>
      </c>
      <c r="K47" s="171"/>
    </row>
    <row r="48" spans="1:11" ht="15" customHeight="1">
      <c r="A48" s="4"/>
      <c r="B48" s="4"/>
      <c r="C48" s="4"/>
      <c r="D48" s="171"/>
      <c r="E48" s="171"/>
      <c r="F48" s="171"/>
      <c r="G48" s="648" t="s">
        <v>533</v>
      </c>
      <c r="H48" s="649"/>
      <c r="I48" s="626">
        <f>IF(ISERROR((C14-C15)*100/SUM(C11:C12)),0,(C14-C15)*100/SUM(C11:C12))</f>
        <v>0.85243648642423531</v>
      </c>
      <c r="J48" s="647">
        <f>IF(ISERROR((D14-D15)*100/SUM(D11:D12)),0,(D14-D15)*100/SUM(D11:D12))</f>
        <v>-0.5236253649128042</v>
      </c>
      <c r="K48" s="171"/>
    </row>
    <row r="49" spans="1:11" ht="19.5" customHeight="1">
      <c r="A49" s="4"/>
      <c r="B49" s="4"/>
      <c r="C49" s="4"/>
      <c r="D49" s="171"/>
      <c r="E49" s="171"/>
      <c r="F49" s="171"/>
      <c r="G49" s="2469" t="s">
        <v>1158</v>
      </c>
      <c r="H49" s="2470"/>
      <c r="I49" s="626">
        <f>IF(ISERROR(C16*100/SUM(C11:C12)),0,C16*100/SUM(C11:C12))</f>
        <v>5.7200089188684107</v>
      </c>
      <c r="J49" s="647">
        <f>IF(ISERROR(D16*100/SUM(D11:D12)),0,D16*100/SUM(D11:D12))</f>
        <v>7.9344606174064127</v>
      </c>
      <c r="K49" s="171"/>
    </row>
    <row r="50" spans="1:11" ht="19.5" customHeight="1">
      <c r="A50" s="171"/>
      <c r="B50" s="171"/>
      <c r="C50" s="171"/>
      <c r="D50" s="171"/>
      <c r="E50" s="171"/>
      <c r="F50" s="171"/>
      <c r="G50" s="648" t="s">
        <v>749</v>
      </c>
      <c r="H50" s="649"/>
      <c r="I50" s="626">
        <f>IF(ISERROR(C18*100/SUM(C11:C12)),0,C18*100/SUM(C11:C12))</f>
        <v>5.7326216438794342</v>
      </c>
      <c r="J50" s="647">
        <f>IF(ISERROR(D18*100/SUM(D11:D12)),0,D18*100/SUM(D11:D12))</f>
        <v>7.8567991476647547</v>
      </c>
      <c r="K50" s="171"/>
    </row>
    <row r="51" spans="1:11" ht="13.5" customHeight="1">
      <c r="A51" s="171"/>
      <c r="B51" s="171"/>
      <c r="C51" s="171"/>
      <c r="D51" s="171"/>
      <c r="E51" s="171"/>
      <c r="F51" s="171"/>
      <c r="G51" s="650" t="s">
        <v>535</v>
      </c>
      <c r="H51" s="2130"/>
      <c r="I51" s="626">
        <f>IF(C8&gt;0,C7*100/(C8+C9),0)</f>
        <v>22.108715117006316</v>
      </c>
      <c r="J51" s="647">
        <f>IF(D8&gt;0,D7*100/(D8+D9),0)</f>
        <v>36.050799867169211</v>
      </c>
      <c r="K51" s="171"/>
    </row>
    <row r="52" spans="1:11" ht="14.25" customHeight="1">
      <c r="A52" s="171"/>
      <c r="B52" s="171"/>
      <c r="C52" s="171"/>
      <c r="D52" s="171"/>
      <c r="E52" s="171"/>
      <c r="F52" s="171"/>
      <c r="G52" s="650" t="s">
        <v>750</v>
      </c>
      <c r="H52" s="651"/>
      <c r="I52" s="626">
        <f>IF(ISERROR((Investeringar!C7+Investeringar!D7+Investeringar!E7-Investeringar!C78)*100/SUM(C11:C12)),0,(Investeringar!C7+Investeringar!D7+Investeringar!E7-Investeringar!C78)*100/SUM(C11:C12))</f>
        <v>13.358095361262174</v>
      </c>
      <c r="J52" s="652"/>
      <c r="K52" s="171"/>
    </row>
    <row r="53" spans="1:11" ht="12.75" customHeight="1">
      <c r="A53" s="171"/>
      <c r="B53" s="171"/>
      <c r="C53" s="171"/>
      <c r="D53" s="171"/>
      <c r="E53" s="171"/>
      <c r="F53" s="171"/>
      <c r="G53" s="650" t="s">
        <v>523</v>
      </c>
      <c r="H53" s="651"/>
      <c r="I53" s="626">
        <f>IF(ISERROR((Investeringar!C8+Investeringar!D8+Investeringar!E8)*100/SUM(C11:C12)*-1),0,(Investeringar!C8+Investeringar!D8+Investeringar!E8)*100/SUM(C11:C12)*-1)</f>
        <v>1.3284139415747818</v>
      </c>
      <c r="J53" s="653"/>
      <c r="K53" s="171"/>
    </row>
    <row r="54" spans="1:11" ht="12.75" customHeight="1">
      <c r="A54" s="171"/>
      <c r="B54" s="171"/>
      <c r="C54" s="171"/>
      <c r="D54" s="171"/>
      <c r="E54" s="171"/>
      <c r="F54" s="171"/>
      <c r="G54" s="650" t="s">
        <v>524</v>
      </c>
      <c r="H54" s="651"/>
      <c r="I54" s="626">
        <f>IF(ISERROR(SUM(Investeringar!C8:E8)/(Investeringar!C66)*-1),0,(SUM(Investeringar!C8:E8)/(Investeringar!C66)*-1)*100)</f>
        <v>10.621049485623621</v>
      </c>
      <c r="J54" s="653"/>
      <c r="K54" s="171"/>
    </row>
    <row r="55" spans="1:11" ht="12.75" customHeight="1" thickBot="1">
      <c r="A55" s="171"/>
      <c r="B55" s="171"/>
      <c r="C55" s="171"/>
      <c r="D55" s="171"/>
      <c r="E55" s="171"/>
      <c r="F55" s="171"/>
      <c r="G55" s="654" t="s">
        <v>1159</v>
      </c>
      <c r="H55" s="2131"/>
      <c r="I55" s="655">
        <f>IF(ISERROR(BR!D31*100/RR!C8),0,BR!D31*100/RR!C8)</f>
        <v>7.1477539994973585</v>
      </c>
      <c r="J55" s="656"/>
      <c r="K55" s="171"/>
    </row>
    <row r="56" spans="1:11" ht="12.75" customHeight="1">
      <c r="A56" s="171"/>
      <c r="B56" s="171"/>
      <c r="C56" s="171"/>
      <c r="D56" s="171"/>
      <c r="E56" s="171"/>
      <c r="F56" s="171"/>
      <c r="G56" s="147"/>
      <c r="H56" s="1276"/>
      <c r="I56" s="1277"/>
      <c r="J56" s="1278"/>
      <c r="K56" s="201"/>
    </row>
    <row r="57" spans="1:11" ht="12.75" customHeight="1">
      <c r="A57" s="171"/>
      <c r="B57" s="171"/>
      <c r="C57" s="171"/>
      <c r="D57" s="171"/>
      <c r="E57" s="171"/>
      <c r="F57" s="171"/>
      <c r="G57" s="147"/>
      <c r="H57" s="1276"/>
      <c r="I57" s="1277"/>
      <c r="J57" s="1278"/>
      <c r="K57" s="201"/>
    </row>
    <row r="58" spans="1:11" ht="19.5" customHeight="1">
      <c r="A58" s="171"/>
      <c r="B58" s="171"/>
      <c r="C58" s="171"/>
      <c r="D58" s="171"/>
      <c r="E58" s="171"/>
      <c r="F58" s="171"/>
      <c r="G58" s="147"/>
      <c r="H58" s="1276"/>
      <c r="I58" s="1277"/>
      <c r="J58" s="1278"/>
      <c r="K58" s="201"/>
    </row>
    <row r="59" spans="1:11">
      <c r="A59" s="171"/>
      <c r="B59" s="171"/>
      <c r="C59" s="171"/>
      <c r="D59" s="171"/>
      <c r="E59" s="171"/>
      <c r="F59" s="171"/>
      <c r="G59" s="147"/>
      <c r="H59" s="1276"/>
      <c r="I59" s="1277"/>
      <c r="J59" s="1278"/>
      <c r="K59" s="171"/>
    </row>
    <row r="60" spans="1:11" hidden="1">
      <c r="A60" s="171"/>
      <c r="B60" s="171"/>
      <c r="C60" s="171"/>
      <c r="G60" s="841"/>
      <c r="H60" s="1273"/>
      <c r="I60" s="1274"/>
      <c r="J60" s="1275"/>
      <c r="K60" s="171"/>
    </row>
    <row r="61" spans="1:11" hidden="1">
      <c r="A61" s="171"/>
      <c r="B61" s="171"/>
      <c r="C61" s="171"/>
      <c r="G61" s="171"/>
      <c r="H61" s="171"/>
      <c r="I61" s="171"/>
      <c r="J61" s="171"/>
      <c r="K61" s="171"/>
    </row>
    <row r="62" spans="1:11" hidden="1">
      <c r="A62" s="171"/>
      <c r="B62" s="171"/>
      <c r="C62" s="171"/>
    </row>
    <row r="63" spans="1:11" hidden="1"/>
    <row r="64" spans="1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t="12.75" customHeight="1"/>
  </sheetData>
  <sheetProtection password="CBFD" sheet="1" objects="1" scenarios="1"/>
  <mergeCells count="6">
    <mergeCell ref="I45:J45"/>
    <mergeCell ref="G47:H47"/>
    <mergeCell ref="G49:H49"/>
    <mergeCell ref="I4:J4"/>
    <mergeCell ref="I14:I15"/>
    <mergeCell ref="J14:J15"/>
  </mergeCells>
  <conditionalFormatting sqref="C38">
    <cfRule type="cellIs" dxfId="161" priority="2" stopIfTrue="1" operator="lessThan">
      <formula>-5</formula>
    </cfRule>
  </conditionalFormatting>
  <dataValidations count="10">
    <dataValidation type="decimal" operator="greaterThanOrEqual" allowBlank="1" showInputMessage="1" showErrorMessage="1" error="Belopp anges utan minustecken" sqref="C23:C27">
      <formula1>0</formula1>
    </dataValidation>
    <dataValidation type="decimal" operator="lessThan" allowBlank="1" showInputMessage="1" showErrorMessage="1" error="Beloppet ska vara i tusental kronor" sqref="C14:D15">
      <formula1>99999999</formula1>
    </dataValidation>
    <dataValidation type="decimal" operator="lessThan" allowBlank="1" showInputMessage="1" showErrorMessage="1" error="Beloppet ska vara i 1000 tal kronoer" sqref="C7:D9">
      <formula1>99999999</formula1>
    </dataValidation>
    <dataValidation type="decimal" operator="lessThan" allowBlank="1" showInputMessage="1" showErrorMessage="1" error="Beloppet ska vara i 1000 tal kronor" sqref="C34 C17:D17 C43:C44">
      <formula1>99999999</formula1>
    </dataValidation>
    <dataValidation type="decimal" allowBlank="1" showInputMessage="1" showErrorMessage="1" error="Beloppet ska vara i 1000 tal kronor. Inget minusbelopp anges." sqref="C31">
      <formula1>0</formula1>
      <formula2>99999999</formula2>
    </dataValidation>
    <dataValidation type="decimal" allowBlank="1" showInputMessage="1" showErrorMessage="1" error="Beloppet ska vara i 1000 tal kronor_x000a_Inget minusbelopp anges." sqref="C32">
      <formula1>0</formula1>
      <formula2>99999999</formula2>
    </dataValidation>
    <dataValidation type="decimal" operator="lessThan" allowBlank="1" showInputMessage="1" showErrorMessage="1" error="Beloppet ska vara i 1000 tal kronor._x000a_Inget minustecken anges." sqref="C33">
      <formula1>99999999</formula1>
    </dataValidation>
    <dataValidation type="decimal" allowBlank="1" showInputMessage="1" showErrorMessage="1" error="Beloppet ska vara i 1000 tal kronor_x000a_Inget minustecken ska anges_x000a_" sqref="C37">
      <formula1>0</formula1>
      <formula2>99999999</formula2>
    </dataValidation>
    <dataValidation type="decimal" allowBlank="1" showInputMessage="1" showErrorMessage="1" error="Beloppet ska vara i 1000 tal kronor_x000a_Inget minustecken ska anges." sqref="C38">
      <formula1>0</formula1>
      <formula2>99999999</formula2>
    </dataValidation>
    <dataValidation type="decimal" allowBlank="1" showInputMessage="1" showErrorMessage="1" error="Beloppet ska vara i 1000 tal kronor_x000a_Inget minustecken anges." sqref="C41:C42">
      <formula1>0</formula1>
      <formula2>99999999</formula2>
    </dataValidation>
  </dataValidations>
  <pageMargins left="0.70866141732283472" right="0.70866141732283472" top="0.74803149606299213" bottom="0.52" header="0.31496062992125984" footer="0.31496062992125984"/>
  <pageSetup paperSize="9" scale="85" orientation="landscape" r:id="rId1"/>
  <headerFooter>
    <oddHeader>&amp;L&amp;8Statistiska Centralbyrån
Offentlig ekonomi&amp;R&amp;P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rgb="FFFFFF00"/>
  </sheetPr>
  <dimension ref="A1:U115"/>
  <sheetViews>
    <sheetView showGridLines="0" zoomScaleNormal="100" workbookViewId="0">
      <pane ySplit="1" topLeftCell="A2" activePane="bottomLeft" state="frozen"/>
      <selection activeCell="F36" sqref="F36"/>
      <selection pane="bottomLeft" activeCell="A2" sqref="A2"/>
    </sheetView>
  </sheetViews>
  <sheetFormatPr defaultColWidth="0" defaultRowHeight="12.75" zeroHeight="1"/>
  <cols>
    <col min="1" max="1" width="4" style="144" customWidth="1"/>
    <col min="2" max="2" width="10.85546875" style="144" customWidth="1"/>
    <col min="3" max="3" width="35.85546875" style="144" customWidth="1"/>
    <col min="4" max="4" width="10.5703125" style="144" customWidth="1"/>
    <col min="5" max="5" width="10.140625" style="144" customWidth="1"/>
    <col min="6" max="6" width="23" style="170" customWidth="1"/>
    <col min="7" max="7" width="4" style="170" customWidth="1"/>
    <col min="8" max="8" width="7.28515625" style="170" customWidth="1"/>
    <col min="9" max="9" width="30.28515625" style="170" customWidth="1"/>
    <col min="10" max="10" width="11.28515625" style="170" customWidth="1"/>
    <col min="11" max="11" width="12.28515625" style="170" customWidth="1"/>
    <col min="12" max="12" width="32" style="170" customWidth="1"/>
    <col min="13" max="14" width="9.85546875" style="170" customWidth="1"/>
    <col min="15" max="15" width="2.140625" style="170" customWidth="1"/>
    <col min="16" max="16" width="6" style="170" customWidth="1"/>
    <col min="17" max="17" width="10.7109375" style="144" customWidth="1"/>
    <col min="18" max="18" width="3.85546875" style="144" customWidth="1"/>
    <col min="19" max="20" width="6" style="170" customWidth="1"/>
    <col min="21" max="21" width="0" hidden="1" customWidth="1"/>
    <col min="22" max="16384" width="0" style="170" hidden="1"/>
  </cols>
  <sheetData>
    <row r="1" spans="1:20" ht="20.25">
      <c r="A1" s="90" t="str">
        <f>"Balansräkning "&amp;År&amp;", miljoner kr"</f>
        <v>Balansräkning 2020, miljoner kr</v>
      </c>
      <c r="B1" s="91"/>
      <c r="C1" s="91"/>
      <c r="D1" s="92"/>
      <c r="E1" s="514" t="s">
        <v>459</v>
      </c>
      <c r="F1" s="515" t="str">
        <f>'Kn Information'!A2</f>
        <v>RIKSTOTAL</v>
      </c>
      <c r="G1" s="515"/>
      <c r="H1" s="515"/>
      <c r="I1" s="515"/>
      <c r="J1" s="169"/>
      <c r="K1" s="169"/>
      <c r="L1" s="169"/>
      <c r="M1" s="169"/>
      <c r="N1" s="169"/>
      <c r="O1" s="196"/>
      <c r="P1" s="196"/>
      <c r="Q1" s="1527"/>
      <c r="R1" s="1527"/>
      <c r="S1" s="196"/>
      <c r="T1" s="169"/>
    </row>
    <row r="2" spans="1:20" ht="12.75" customHeight="1">
      <c r="A2" s="2213"/>
      <c r="B2" s="2213"/>
      <c r="C2" s="2213"/>
      <c r="D2" s="2213"/>
      <c r="E2" s="2213"/>
      <c r="F2" s="2213"/>
      <c r="G2" s="2213"/>
      <c r="H2" s="2213"/>
      <c r="I2" s="2213"/>
      <c r="J2" s="2213"/>
      <c r="K2" s="2213"/>
      <c r="L2" s="2213"/>
      <c r="M2" s="2213"/>
      <c r="N2" s="2213"/>
      <c r="O2" s="2213"/>
      <c r="P2" s="2213"/>
      <c r="Q2" s="2213"/>
      <c r="R2" s="2213"/>
      <c r="S2" s="2213"/>
      <c r="T2" s="2213"/>
    </row>
    <row r="3" spans="1:20" ht="12.75" customHeight="1" thickBot="1">
      <c r="A3" s="2213"/>
      <c r="B3" s="2213"/>
      <c r="C3" s="2213"/>
      <c r="D3" s="2213"/>
      <c r="E3" s="2213"/>
      <c r="F3" s="2213"/>
      <c r="G3" s="2213"/>
      <c r="H3" s="2213"/>
      <c r="I3" s="2213"/>
      <c r="J3" s="2213"/>
      <c r="K3" s="2213"/>
      <c r="L3" s="2213"/>
      <c r="M3" s="2213"/>
      <c r="N3" s="2213"/>
      <c r="O3" s="2213"/>
      <c r="P3" s="2213"/>
      <c r="Q3" s="2213"/>
      <c r="R3" s="2213"/>
      <c r="S3" s="2213"/>
      <c r="T3" s="2213"/>
    </row>
    <row r="4" spans="1:20" s="182" customFormat="1">
      <c r="A4" s="657" t="s">
        <v>635</v>
      </c>
      <c r="B4" s="2067" t="s">
        <v>1184</v>
      </c>
      <c r="C4" s="658" t="s">
        <v>745</v>
      </c>
      <c r="D4" s="677" t="s">
        <v>628</v>
      </c>
      <c r="E4" s="678" t="s">
        <v>743</v>
      </c>
      <c r="H4" s="181"/>
      <c r="I4" s="181"/>
      <c r="J4" s="181"/>
      <c r="K4" s="181"/>
      <c r="L4" s="181"/>
      <c r="M4" s="2465" t="s">
        <v>463</v>
      </c>
      <c r="N4" s="2478"/>
      <c r="O4" s="1334"/>
      <c r="P4" s="1268"/>
      <c r="Q4" s="1528"/>
      <c r="R4" s="1333"/>
      <c r="S4" s="1269"/>
      <c r="T4" s="1269"/>
    </row>
    <row r="5" spans="1:20" s="182" customFormat="1" ht="32.25" customHeight="1">
      <c r="A5" s="1525" t="s">
        <v>629</v>
      </c>
      <c r="B5" s="2476"/>
      <c r="C5" s="660"/>
      <c r="D5" s="679"/>
      <c r="E5" s="680"/>
      <c r="F5" s="181"/>
      <c r="G5" s="181"/>
      <c r="H5" s="181"/>
      <c r="I5" s="181"/>
      <c r="J5" s="181"/>
      <c r="K5" s="181"/>
      <c r="L5" s="181"/>
      <c r="M5" s="688" t="s">
        <v>628</v>
      </c>
      <c r="N5" s="689" t="s">
        <v>743</v>
      </c>
      <c r="O5" s="1334"/>
      <c r="P5" s="1268"/>
      <c r="Q5" s="1269"/>
      <c r="R5" s="1269"/>
      <c r="S5" s="2486"/>
      <c r="T5" s="2484"/>
    </row>
    <row r="6" spans="1:20" ht="15">
      <c r="A6" s="661"/>
      <c r="B6" s="2477"/>
      <c r="C6" s="662"/>
      <c r="D6" s="681"/>
      <c r="E6" s="682"/>
      <c r="F6" s="4"/>
      <c r="G6" s="4"/>
      <c r="H6" s="4"/>
      <c r="I6" s="4"/>
      <c r="J6" s="4"/>
      <c r="K6" s="4"/>
      <c r="L6" s="4"/>
      <c r="M6" s="690"/>
      <c r="N6" s="691"/>
      <c r="O6" s="1335"/>
      <c r="P6" s="1268"/>
      <c r="Q6" s="1342"/>
      <c r="R6" s="1342"/>
      <c r="S6" s="2486"/>
      <c r="T6" s="2485"/>
    </row>
    <row r="7" spans="1:20" ht="15">
      <c r="A7" s="663"/>
      <c r="B7" s="664"/>
      <c r="C7" s="665" t="s">
        <v>636</v>
      </c>
      <c r="D7" s="683"/>
      <c r="E7" s="684"/>
      <c r="F7" s="69"/>
      <c r="G7" s="4"/>
      <c r="H7" s="4"/>
      <c r="I7" s="4"/>
      <c r="J7" s="4"/>
      <c r="K7" s="4"/>
      <c r="L7" s="4"/>
      <c r="M7" s="692"/>
      <c r="N7" s="693"/>
      <c r="O7" s="72"/>
      <c r="P7" s="241"/>
      <c r="Q7" s="1529"/>
      <c r="R7" s="241"/>
    </row>
    <row r="8" spans="1:20" ht="7.5" customHeight="1">
      <c r="A8" s="663"/>
      <c r="B8" s="664"/>
      <c r="C8" s="666"/>
      <c r="D8" s="685"/>
      <c r="E8" s="686"/>
      <c r="F8" s="69"/>
      <c r="G8" s="4"/>
      <c r="H8" s="4"/>
      <c r="I8" s="4"/>
      <c r="J8" s="4"/>
      <c r="K8" s="4"/>
      <c r="L8" s="4"/>
      <c r="M8" s="692"/>
      <c r="N8" s="693"/>
      <c r="O8" s="72"/>
      <c r="P8" s="241"/>
      <c r="Q8" s="1529"/>
      <c r="R8" s="241"/>
    </row>
    <row r="9" spans="1:20" ht="14.45" customHeight="1">
      <c r="A9" s="2104" t="s">
        <v>290</v>
      </c>
      <c r="B9" s="667">
        <v>10</v>
      </c>
      <c r="C9" s="668" t="s">
        <v>637</v>
      </c>
      <c r="D9" s="186">
        <v>906.28</v>
      </c>
      <c r="E9" s="442">
        <v>2408.0659999999998</v>
      </c>
      <c r="F9" s="179" t="str">
        <f>IF(OR(D9="",E9=""),"Skriv belopp eller 0","")</f>
        <v/>
      </c>
      <c r="G9" s="4"/>
      <c r="H9" s="4"/>
      <c r="I9" s="4"/>
      <c r="J9" s="4"/>
      <c r="K9" s="4"/>
      <c r="L9" s="4"/>
      <c r="M9" s="694"/>
      <c r="N9" s="695"/>
      <c r="O9" s="1314"/>
      <c r="P9" s="1343"/>
      <c r="Q9" s="1530"/>
      <c r="R9" s="1531"/>
    </row>
    <row r="10" spans="1:20" ht="14.45" customHeight="1">
      <c r="A10" s="2104" t="s">
        <v>291</v>
      </c>
      <c r="B10" s="2105">
        <v>11</v>
      </c>
      <c r="C10" s="557" t="s">
        <v>638</v>
      </c>
      <c r="D10" s="186">
        <v>587215.53599999996</v>
      </c>
      <c r="E10" s="687"/>
      <c r="F10" s="69"/>
      <c r="G10" s="4"/>
      <c r="H10" s="4"/>
      <c r="I10" s="4"/>
      <c r="J10" s="4"/>
      <c r="K10" s="4"/>
      <c r="L10" s="4"/>
      <c r="M10" s="696"/>
      <c r="N10" s="697"/>
      <c r="O10" s="1314"/>
      <c r="P10" s="1343"/>
      <c r="Q10" s="1343"/>
      <c r="R10" s="1343"/>
    </row>
    <row r="11" spans="1:20" ht="14.45" customHeight="1">
      <c r="A11" s="2104" t="s">
        <v>292</v>
      </c>
      <c r="B11" s="2105">
        <v>12</v>
      </c>
      <c r="C11" s="557" t="s">
        <v>639</v>
      </c>
      <c r="D11" s="186">
        <v>31517.263999999999</v>
      </c>
      <c r="E11" s="687"/>
      <c r="F11" s="69"/>
      <c r="G11" s="76" t="s">
        <v>464</v>
      </c>
      <c r="H11" s="4"/>
      <c r="I11" s="4"/>
      <c r="J11" s="4"/>
      <c r="K11" s="4"/>
      <c r="L11" s="4"/>
      <c r="M11" s="696"/>
      <c r="N11" s="697"/>
      <c r="O11" s="1314"/>
      <c r="P11" s="1343"/>
      <c r="Q11" s="1343"/>
      <c r="R11" s="1343"/>
    </row>
    <row r="12" spans="1:20" ht="14.45" customHeight="1">
      <c r="A12" s="2104" t="s">
        <v>283</v>
      </c>
      <c r="B12" s="2106">
        <v>11.12</v>
      </c>
      <c r="C12" s="670" t="s">
        <v>640</v>
      </c>
      <c r="D12" s="344">
        <f>SUM(D10:D11)</f>
        <v>618732.79999999993</v>
      </c>
      <c r="E12" s="187">
        <v>1453811.7590000001</v>
      </c>
      <c r="F12" s="179" t="str">
        <f>IF(D12&gt;E12,"konc. &lt; kom.",IF(OR(D12=0,E12=0),"Belopp saknas",""))</f>
        <v/>
      </c>
      <c r="G12" s="1496" t="s">
        <v>555</v>
      </c>
      <c r="H12" s="2080" t="s">
        <v>1184</v>
      </c>
      <c r="I12" s="1494"/>
      <c r="J12" s="1495"/>
      <c r="K12" s="172"/>
      <c r="L12" s="4"/>
      <c r="M12" s="624">
        <f>(D9+D12)*1000/invanare</f>
        <v>59699.534505956326</v>
      </c>
      <c r="N12" s="625">
        <f>(E9+E12)*1000/invanare</f>
        <v>140300.45634120624</v>
      </c>
      <c r="O12" s="1278"/>
      <c r="P12" s="1343"/>
      <c r="Q12" s="1531"/>
      <c r="R12" s="1531"/>
      <c r="S12" s="147"/>
      <c r="T12" s="147"/>
    </row>
    <row r="13" spans="1:20" ht="14.45" customHeight="1">
      <c r="A13" s="2104" t="s">
        <v>293</v>
      </c>
      <c r="B13" s="2107" t="s">
        <v>851</v>
      </c>
      <c r="C13" s="612" t="s">
        <v>641</v>
      </c>
      <c r="D13" s="188">
        <v>77061.02</v>
      </c>
      <c r="E13" s="687"/>
      <c r="F13" s="69"/>
      <c r="G13" s="704" t="s">
        <v>297</v>
      </c>
      <c r="H13" s="705" t="s">
        <v>554</v>
      </c>
      <c r="I13" s="706" t="s">
        <v>0</v>
      </c>
      <c r="J13" s="287">
        <v>63629.305999999997</v>
      </c>
      <c r="K13" s="2129"/>
      <c r="L13" s="4"/>
      <c r="M13" s="698"/>
      <c r="N13" s="699"/>
      <c r="O13" s="1278"/>
      <c r="P13" s="1343"/>
      <c r="Q13" s="1332"/>
      <c r="R13" s="1343"/>
      <c r="S13" s="300"/>
      <c r="T13" s="300"/>
    </row>
    <row r="14" spans="1:20" ht="14.45" customHeight="1">
      <c r="A14" s="2104" t="s">
        <v>294</v>
      </c>
      <c r="B14" s="2107" t="s">
        <v>850</v>
      </c>
      <c r="C14" s="562" t="s">
        <v>11</v>
      </c>
      <c r="D14" s="188">
        <v>6444.16</v>
      </c>
      <c r="E14" s="687"/>
      <c r="F14" s="69"/>
      <c r="G14" s="183"/>
      <c r="H14" s="4"/>
      <c r="I14" s="4"/>
      <c r="J14" s="142"/>
      <c r="K14" s="142"/>
      <c r="L14" s="4"/>
      <c r="M14" s="698"/>
      <c r="N14" s="699"/>
      <c r="O14" s="1278"/>
      <c r="P14" s="1343"/>
      <c r="Q14" s="1332"/>
      <c r="R14" s="1343"/>
    </row>
    <row r="15" spans="1:20" ht="14.45" customHeight="1">
      <c r="A15" s="2104" t="s">
        <v>295</v>
      </c>
      <c r="B15" s="2108" t="s">
        <v>4</v>
      </c>
      <c r="C15" s="569" t="s">
        <v>642</v>
      </c>
      <c r="D15" s="186">
        <v>220631.22500000001</v>
      </c>
      <c r="E15" s="687"/>
      <c r="F15" s="69"/>
      <c r="G15" s="704" t="s">
        <v>298</v>
      </c>
      <c r="H15" s="705" t="s">
        <v>747</v>
      </c>
      <c r="I15" s="1289" t="s">
        <v>1</v>
      </c>
      <c r="J15" s="287">
        <v>212878.106</v>
      </c>
      <c r="K15" s="2129"/>
      <c r="L15" s="4"/>
      <c r="M15" s="700"/>
      <c r="N15" s="701"/>
      <c r="O15" s="2024"/>
      <c r="P15" s="1343"/>
      <c r="Q15" s="1343"/>
      <c r="R15" s="1343"/>
      <c r="S15" s="300"/>
      <c r="T15" s="300"/>
    </row>
    <row r="16" spans="1:20" ht="14.45" customHeight="1">
      <c r="A16" s="2104" t="s">
        <v>296</v>
      </c>
      <c r="B16" s="2105" t="s">
        <v>848</v>
      </c>
      <c r="C16" s="557" t="s">
        <v>849</v>
      </c>
      <c r="D16" s="186">
        <v>197.345</v>
      </c>
      <c r="E16" s="687"/>
      <c r="F16" s="69"/>
      <c r="G16" s="183"/>
      <c r="H16" s="4"/>
      <c r="I16" s="4"/>
      <c r="J16" s="142"/>
      <c r="K16" s="142"/>
      <c r="L16" s="4"/>
      <c r="M16" s="700"/>
      <c r="N16" s="701"/>
      <c r="O16" s="1278"/>
      <c r="P16" s="1343"/>
      <c r="Q16" s="1343"/>
      <c r="R16" s="1532"/>
    </row>
    <row r="17" spans="1:20" ht="14.45" customHeight="1">
      <c r="A17" s="2104" t="s">
        <v>299</v>
      </c>
      <c r="B17" s="2109" t="s">
        <v>7</v>
      </c>
      <c r="C17" s="668" t="s">
        <v>643</v>
      </c>
      <c r="D17" s="344">
        <f>SUM(D13:D16)</f>
        <v>304333.75</v>
      </c>
      <c r="E17" s="189">
        <v>45996.02</v>
      </c>
      <c r="F17" s="179" t="str">
        <f>IF(OR(D17=0,E17=""),"Belopp saknas","")</f>
        <v/>
      </c>
      <c r="G17" s="183"/>
      <c r="H17" s="4"/>
      <c r="I17" s="4"/>
      <c r="J17" s="4"/>
      <c r="K17" s="4"/>
      <c r="L17" s="4"/>
      <c r="M17" s="624">
        <f>D17*1000/invanare</f>
        <v>29321.235209135109</v>
      </c>
      <c r="N17" s="625">
        <f>E17*1000/invanare</f>
        <v>4431.516784136109</v>
      </c>
      <c r="O17" s="1278"/>
      <c r="P17" s="1343"/>
      <c r="Q17" s="1532"/>
      <c r="R17" s="1532"/>
    </row>
    <row r="18" spans="1:20" ht="14.45" customHeight="1" thickBot="1">
      <c r="A18" s="2110" t="s">
        <v>300</v>
      </c>
      <c r="B18" s="2111" t="s">
        <v>8</v>
      </c>
      <c r="C18" s="571" t="s">
        <v>646</v>
      </c>
      <c r="D18" s="345">
        <f>SUM(D9,D12,D17)</f>
        <v>923972.83</v>
      </c>
      <c r="E18" s="346">
        <f>SUM(E9,E12,E17)</f>
        <v>1502215.8450000002</v>
      </c>
      <c r="F18" s="69"/>
      <c r="G18" s="183"/>
      <c r="H18" s="4"/>
      <c r="I18" s="4"/>
      <c r="J18" s="4"/>
      <c r="K18" s="4"/>
      <c r="L18" s="4"/>
      <c r="M18" s="698"/>
      <c r="N18" s="699"/>
      <c r="O18" s="1278"/>
      <c r="P18" s="1343"/>
      <c r="Q18" s="1532"/>
      <c r="R18" s="1532"/>
    </row>
    <row r="19" spans="1:20" ht="14.45" customHeight="1" thickBot="1">
      <c r="A19" s="2112" t="s">
        <v>310</v>
      </c>
      <c r="B19" s="2113" t="s">
        <v>6</v>
      </c>
      <c r="C19" s="540" t="s">
        <v>951</v>
      </c>
      <c r="D19" s="1348">
        <v>4409.4089999999997</v>
      </c>
      <c r="E19" s="292">
        <v>4409.4089999999997</v>
      </c>
      <c r="F19" s="179" t="str">
        <f>IF(D19&lt;0,"inga minusbelopp",IF(D19&lt;&gt;E19,"koncernen och kommunens belopp borde vara lika",""))</f>
        <v/>
      </c>
      <c r="G19" s="4"/>
      <c r="H19" s="4"/>
      <c r="I19" s="4"/>
      <c r="J19" s="4"/>
      <c r="K19" s="4"/>
      <c r="L19" s="4"/>
      <c r="M19" s="624">
        <f>D19*1000/invanare</f>
        <v>424.82740879799638</v>
      </c>
      <c r="N19" s="631">
        <f>E19*1000/invanare</f>
        <v>424.82740879799638</v>
      </c>
      <c r="O19" s="1278"/>
      <c r="P19" s="1343"/>
      <c r="Q19" s="1343"/>
      <c r="R19" s="1343"/>
    </row>
    <row r="20" spans="1:20" ht="14.45" customHeight="1">
      <c r="A20" s="2114"/>
      <c r="B20" s="2115"/>
      <c r="C20" s="673" t="s">
        <v>625</v>
      </c>
      <c r="D20" s="714"/>
      <c r="E20" s="715"/>
      <c r="F20" s="69"/>
      <c r="G20" s="1415" t="s">
        <v>930</v>
      </c>
      <c r="H20" s="1416" t="s">
        <v>920</v>
      </c>
      <c r="I20" s="1289" t="s">
        <v>923</v>
      </c>
      <c r="J20" s="2141">
        <v>11911.63</v>
      </c>
      <c r="K20" s="2139"/>
      <c r="L20" s="4"/>
      <c r="M20" s="702"/>
      <c r="N20" s="703"/>
      <c r="O20" s="1336"/>
      <c r="P20" s="300"/>
      <c r="Q20" s="300"/>
      <c r="R20" s="300"/>
      <c r="S20" s="300"/>
    </row>
    <row r="21" spans="1:20" ht="14.45" customHeight="1">
      <c r="A21" s="2104" t="s">
        <v>285</v>
      </c>
      <c r="B21" s="667">
        <v>14</v>
      </c>
      <c r="C21" s="557" t="s">
        <v>746</v>
      </c>
      <c r="D21" s="66">
        <v>12832.004999999999</v>
      </c>
      <c r="E21" s="190">
        <v>17911.252</v>
      </c>
      <c r="F21" s="231" t="str">
        <f>IF(D21&gt;E21,"konc. &lt; kom.",IF(OR(D21="",E21=""),"Belopp saknas",IF(OR(D21&lt;-100,E21&lt;-100),"Kommentera varför minuspost","")))</f>
        <v/>
      </c>
      <c r="G21" s="1479"/>
      <c r="H21" s="1480"/>
      <c r="I21" s="1481"/>
      <c r="J21" s="142"/>
      <c r="K21" s="142"/>
      <c r="L21" s="185"/>
      <c r="M21" s="702"/>
      <c r="N21" s="703"/>
      <c r="O21" s="1336"/>
      <c r="P21" s="1343"/>
      <c r="Q21" s="1531"/>
      <c r="R21" s="1531"/>
    </row>
    <row r="22" spans="1:20" ht="14.45" customHeight="1">
      <c r="A22" s="2104" t="s">
        <v>301</v>
      </c>
      <c r="B22" s="2105" t="s">
        <v>647</v>
      </c>
      <c r="C22" s="557" t="s">
        <v>648</v>
      </c>
      <c r="D22" s="54">
        <v>9852.9380000000001</v>
      </c>
      <c r="E22" s="687"/>
      <c r="F22" s="1251"/>
      <c r="G22" s="2134" t="s">
        <v>302</v>
      </c>
      <c r="H22" s="2135" t="s">
        <v>767</v>
      </c>
      <c r="I22" s="2136" t="s">
        <v>1</v>
      </c>
      <c r="J22" s="2140">
        <v>1659.0920000000001</v>
      </c>
      <c r="K22" s="142"/>
      <c r="L22" s="4"/>
      <c r="M22" s="702"/>
      <c r="N22" s="703"/>
      <c r="O22" s="1336"/>
      <c r="P22" s="1343"/>
      <c r="Q22" s="1343"/>
      <c r="R22" s="1343"/>
      <c r="S22" s="300"/>
      <c r="T22" s="300"/>
    </row>
    <row r="23" spans="1:20" ht="14.45" customHeight="1">
      <c r="A23" s="2104" t="s">
        <v>286</v>
      </c>
      <c r="B23" s="2105" t="s">
        <v>649</v>
      </c>
      <c r="C23" s="557" t="s">
        <v>650</v>
      </c>
      <c r="D23" s="54">
        <v>129541.053</v>
      </c>
      <c r="E23" s="687"/>
      <c r="F23" s="1252"/>
      <c r="G23" s="1479"/>
      <c r="H23" s="1479"/>
      <c r="I23" s="2138"/>
      <c r="J23" s="142"/>
      <c r="K23" s="142"/>
      <c r="L23" s="4"/>
      <c r="M23" s="702"/>
      <c r="N23" s="703"/>
      <c r="O23" s="1336"/>
      <c r="P23" s="1343"/>
      <c r="Q23" s="1343"/>
      <c r="R23" s="1343"/>
    </row>
    <row r="24" spans="1:20" ht="14.45" customHeight="1">
      <c r="A24" s="2104" t="s">
        <v>304</v>
      </c>
      <c r="B24" s="2105" t="s">
        <v>176</v>
      </c>
      <c r="C24" s="557" t="s">
        <v>534</v>
      </c>
      <c r="D24" s="186">
        <v>21481.403999999999</v>
      </c>
      <c r="E24" s="687"/>
      <c r="F24" s="1252"/>
      <c r="G24" s="2137" t="s">
        <v>303</v>
      </c>
      <c r="H24" s="672" t="s">
        <v>651</v>
      </c>
      <c r="I24" s="2220" t="s">
        <v>1190</v>
      </c>
      <c r="J24" s="1548">
        <v>13299.491</v>
      </c>
      <c r="K24" s="142"/>
      <c r="M24" s="2142"/>
      <c r="N24" s="2143"/>
      <c r="O24" s="4"/>
      <c r="P24" s="1343"/>
      <c r="Q24" s="1343"/>
      <c r="R24" s="1343"/>
      <c r="S24" s="300"/>
      <c r="T24" s="300"/>
    </row>
    <row r="25" spans="1:20" ht="14.45" customHeight="1">
      <c r="A25" s="2104" t="s">
        <v>312</v>
      </c>
      <c r="B25" s="2105" t="s">
        <v>207</v>
      </c>
      <c r="C25" s="557" t="s">
        <v>488</v>
      </c>
      <c r="D25" s="186">
        <v>3756.915</v>
      </c>
      <c r="E25" s="687"/>
      <c r="F25" s="1252"/>
      <c r="G25" s="712" t="s">
        <v>311</v>
      </c>
      <c r="H25" s="2003" t="s">
        <v>1090</v>
      </c>
      <c r="I25" s="713" t="s">
        <v>1</v>
      </c>
      <c r="J25" s="2223">
        <v>102049.174</v>
      </c>
      <c r="L25" s="4"/>
      <c r="M25" s="702"/>
      <c r="N25" s="703"/>
      <c r="O25" s="1336"/>
      <c r="P25" s="1343"/>
      <c r="Q25" s="1343"/>
      <c r="R25" s="1343"/>
      <c r="S25" s="300"/>
      <c r="T25" s="300"/>
    </row>
    <row r="26" spans="1:20" ht="14.45" customHeight="1">
      <c r="A26" s="2116" t="s">
        <v>1000</v>
      </c>
      <c r="B26" s="667" t="s">
        <v>1001</v>
      </c>
      <c r="C26" s="578" t="s">
        <v>1002</v>
      </c>
      <c r="D26" s="344">
        <f>SUM(D22:D25)</f>
        <v>164632.31000000003</v>
      </c>
      <c r="E26" s="1969">
        <v>80643.122000000003</v>
      </c>
      <c r="F26" s="231" t="str">
        <f>IF(OR(D26=0,E26=""),"Belopp saknas","")</f>
        <v/>
      </c>
      <c r="G26" s="1343"/>
      <c r="H26" s="1343"/>
      <c r="I26" s="1268"/>
      <c r="J26" s="1880"/>
      <c r="K26" s="142"/>
      <c r="L26" s="4"/>
      <c r="M26" s="702"/>
      <c r="N26" s="703"/>
      <c r="O26" s="1336"/>
      <c r="P26" s="1343"/>
      <c r="Q26" s="1343"/>
      <c r="R26" s="1343"/>
      <c r="S26" s="300"/>
      <c r="T26" s="300"/>
    </row>
    <row r="27" spans="1:20" ht="14.45" customHeight="1">
      <c r="A27" s="2104" t="s">
        <v>305</v>
      </c>
      <c r="B27" s="2107" t="s">
        <v>652</v>
      </c>
      <c r="C27" s="562" t="s">
        <v>653</v>
      </c>
      <c r="D27" s="186">
        <v>32399.670999999998</v>
      </c>
      <c r="E27" s="687"/>
      <c r="F27" s="1252"/>
      <c r="G27" s="2054"/>
      <c r="H27" s="1546"/>
      <c r="I27" s="147"/>
      <c r="J27" s="142"/>
      <c r="K27" s="1471"/>
      <c r="L27" s="4"/>
      <c r="M27" s="702"/>
      <c r="N27" s="703"/>
      <c r="O27" s="1336"/>
      <c r="P27" s="1343"/>
      <c r="Q27" s="1332"/>
      <c r="R27" s="1343"/>
      <c r="S27" s="300"/>
      <c r="T27" s="300"/>
    </row>
    <row r="28" spans="1:20" ht="14.45" customHeight="1">
      <c r="A28" s="2104" t="s">
        <v>306</v>
      </c>
      <c r="B28" s="2107" t="s">
        <v>654</v>
      </c>
      <c r="C28" s="562" t="s">
        <v>655</v>
      </c>
      <c r="D28" s="186">
        <v>16321.725</v>
      </c>
      <c r="E28" s="687"/>
      <c r="F28" s="1252"/>
      <c r="G28" s="1546"/>
      <c r="H28" s="1546"/>
      <c r="I28" s="147"/>
      <c r="K28" s="142"/>
      <c r="L28" s="4"/>
      <c r="M28" s="702"/>
      <c r="N28" s="703"/>
      <c r="O28" s="1336"/>
      <c r="P28" s="1343"/>
      <c r="Q28" s="1332"/>
      <c r="R28" s="1343"/>
    </row>
    <row r="29" spans="1:20" ht="14.45" customHeight="1">
      <c r="A29" s="2104" t="s">
        <v>307</v>
      </c>
      <c r="B29" s="2107" t="s">
        <v>656</v>
      </c>
      <c r="C29" s="562" t="s">
        <v>657</v>
      </c>
      <c r="D29" s="186">
        <v>403.28699999999998</v>
      </c>
      <c r="E29" s="687"/>
      <c r="F29" s="1252"/>
      <c r="G29" s="2054"/>
      <c r="H29" s="1546"/>
      <c r="I29" s="147"/>
      <c r="J29" s="142"/>
      <c r="K29" s="4"/>
      <c r="L29" s="4"/>
      <c r="M29" s="702"/>
      <c r="N29" s="703"/>
      <c r="O29" s="1336"/>
      <c r="P29" s="1343"/>
      <c r="Q29" s="1332"/>
      <c r="R29" s="1343"/>
    </row>
    <row r="30" spans="1:20" ht="14.45" customHeight="1">
      <c r="A30" s="2116" t="s">
        <v>287</v>
      </c>
      <c r="B30" s="667" t="s">
        <v>1003</v>
      </c>
      <c r="C30" s="578" t="s">
        <v>1119</v>
      </c>
      <c r="D30" s="344">
        <f>SUM(D27:D29)</f>
        <v>49124.682999999997</v>
      </c>
      <c r="E30" s="190">
        <v>50086.292000000001</v>
      </c>
      <c r="F30" s="231" t="str">
        <f>IF(OR(D27="",D28="",D29=""),"Skriv belopp eller 0 på raderna 053-056 för kommunen",IF(E30="","Skriv belopp eller 0 för koncernen",""))</f>
        <v/>
      </c>
      <c r="G30" s="1546"/>
      <c r="H30" s="1546"/>
      <c r="I30" s="147"/>
      <c r="J30" s="1343"/>
      <c r="K30" s="4"/>
      <c r="L30" s="4"/>
      <c r="M30" s="702"/>
      <c r="N30" s="703"/>
      <c r="O30" s="1336"/>
      <c r="P30" s="1343"/>
      <c r="Q30" s="1531"/>
      <c r="R30" s="1531"/>
    </row>
    <row r="31" spans="1:20" ht="14.45" customHeight="1">
      <c r="A31" s="2104" t="s">
        <v>308</v>
      </c>
      <c r="B31" s="667">
        <v>19</v>
      </c>
      <c r="C31" s="578" t="s">
        <v>1120</v>
      </c>
      <c r="D31" s="186">
        <v>51662.64</v>
      </c>
      <c r="E31" s="190">
        <v>66093.118000000002</v>
      </c>
      <c r="F31" s="231" t="str">
        <f>IF(D31&gt;E31,"konc. &lt; kom.",IF(OR(D31&lt;0,E31&lt;0),"Varför minusbelopp?",IF(OR(D31=0,E31=0),"Belopp saknas","")))</f>
        <v/>
      </c>
      <c r="G31" s="1546"/>
      <c r="H31" s="1546"/>
      <c r="I31" s="147"/>
      <c r="K31" s="4"/>
      <c r="L31" s="4"/>
      <c r="M31" s="702"/>
      <c r="N31" s="703"/>
      <c r="O31" s="1336"/>
      <c r="P31" s="1343"/>
      <c r="Q31" s="1531"/>
      <c r="R31" s="1531"/>
    </row>
    <row r="32" spans="1:20" ht="14.45" customHeight="1" thickBot="1">
      <c r="A32" s="2117" t="s">
        <v>309</v>
      </c>
      <c r="B32" s="674" t="s">
        <v>658</v>
      </c>
      <c r="C32" s="571" t="s">
        <v>659</v>
      </c>
      <c r="D32" s="347">
        <f>SUM(D21,D26,D30,D31)</f>
        <v>278251.63800000004</v>
      </c>
      <c r="E32" s="348">
        <f>SUM(E21,E26,E30,E31)</f>
        <v>214733.78400000004</v>
      </c>
      <c r="F32" s="1252"/>
      <c r="G32" s="172"/>
      <c r="H32" s="172"/>
      <c r="I32" s="172"/>
      <c r="J32" s="172"/>
      <c r="K32" s="4"/>
      <c r="L32" s="4"/>
      <c r="M32" s="627">
        <f>D32*1000/invanare</f>
        <v>26808.336982425113</v>
      </c>
      <c r="N32" s="634">
        <f>E32*1000/invanare</f>
        <v>20688.667582913869</v>
      </c>
      <c r="O32" s="1278"/>
      <c r="P32" s="1343"/>
      <c r="Q32" s="1531"/>
      <c r="R32" s="1531"/>
    </row>
    <row r="33" spans="1:19" ht="14.45" customHeight="1" thickBot="1">
      <c r="A33" s="2118" t="s">
        <v>288</v>
      </c>
      <c r="B33" s="675" t="s">
        <v>660</v>
      </c>
      <c r="C33" s="676" t="s">
        <v>661</v>
      </c>
      <c r="D33" s="350">
        <f>SUM(D18,D19,D32)</f>
        <v>1206633.8769999999</v>
      </c>
      <c r="E33" s="349">
        <f>SUM(E18,E19,E32)</f>
        <v>1721359.0380000002</v>
      </c>
      <c r="F33" s="1252"/>
      <c r="G33" s="172"/>
      <c r="H33" s="172"/>
      <c r="I33" s="172"/>
      <c r="J33" s="172"/>
      <c r="K33" s="4"/>
      <c r="L33" s="4"/>
      <c r="M33" s="4"/>
      <c r="N33" s="4"/>
      <c r="P33" s="1343"/>
      <c r="Q33" s="1531"/>
      <c r="R33" s="1531"/>
    </row>
    <row r="34" spans="1:19" ht="14.45" customHeight="1">
      <c r="A34" s="1343"/>
      <c r="B34" s="1531"/>
      <c r="C34" s="18"/>
      <c r="D34" s="1314"/>
      <c r="E34" s="1314"/>
      <c r="F34" s="1252"/>
      <c r="G34" s="172"/>
      <c r="H34" s="172"/>
      <c r="I34" s="172"/>
      <c r="J34" s="172"/>
      <c r="K34" s="4"/>
      <c r="L34" s="4"/>
      <c r="M34" s="4"/>
      <c r="N34" s="4"/>
      <c r="P34" s="1343"/>
      <c r="Q34" s="1531"/>
      <c r="R34" s="1531"/>
    </row>
    <row r="35" spans="1:19" ht="14.45" customHeight="1">
      <c r="A35" s="6"/>
      <c r="B35" s="7"/>
      <c r="C35" s="8"/>
      <c r="D35" s="9"/>
      <c r="E35" s="9"/>
      <c r="F35" s="1252"/>
      <c r="G35" s="172"/>
      <c r="H35" s="172"/>
      <c r="I35" s="172"/>
      <c r="J35" s="172"/>
      <c r="K35" s="4"/>
      <c r="L35" s="4"/>
      <c r="M35" s="4"/>
      <c r="N35" s="4"/>
      <c r="Q35" s="1342"/>
      <c r="R35" s="1268"/>
    </row>
    <row r="36" spans="1:19" ht="14.45" customHeight="1" thickBot="1">
      <c r="A36" s="1"/>
      <c r="B36" s="7"/>
      <c r="C36" s="8"/>
      <c r="D36" s="9"/>
      <c r="E36" s="9"/>
      <c r="F36" s="1252"/>
      <c r="G36" s="172"/>
      <c r="H36" s="172"/>
      <c r="I36" s="172"/>
      <c r="J36" s="172"/>
      <c r="K36" s="4"/>
      <c r="L36" s="4"/>
      <c r="M36" s="4"/>
      <c r="N36" s="4"/>
      <c r="Q36" s="1342"/>
      <c r="R36" s="1268"/>
    </row>
    <row r="37" spans="1:19" ht="14.45" customHeight="1">
      <c r="A37" s="657" t="s">
        <v>635</v>
      </c>
      <c r="B37" s="2067" t="s">
        <v>1184</v>
      </c>
      <c r="C37" s="716" t="s">
        <v>362</v>
      </c>
      <c r="D37" s="677" t="s">
        <v>628</v>
      </c>
      <c r="E37" s="678" t="s">
        <v>743</v>
      </c>
      <c r="F37" s="1252"/>
      <c r="G37" s="172"/>
      <c r="H37" s="172"/>
      <c r="I37" s="172"/>
      <c r="J37" s="172"/>
      <c r="K37" s="4"/>
      <c r="L37" s="4"/>
      <c r="M37" s="2479" t="s">
        <v>463</v>
      </c>
      <c r="N37" s="2480"/>
      <c r="O37" s="1337"/>
      <c r="P37" s="1268"/>
      <c r="Q37" s="1333"/>
      <c r="R37" s="1531"/>
      <c r="S37" s="1333"/>
    </row>
    <row r="38" spans="1:19" ht="14.45" customHeight="1">
      <c r="A38" s="1526" t="s">
        <v>629</v>
      </c>
      <c r="B38" s="717"/>
      <c r="C38" s="718"/>
      <c r="D38" s="719"/>
      <c r="E38" s="720"/>
      <c r="F38" s="1252"/>
      <c r="G38" s="172"/>
      <c r="H38" s="172"/>
      <c r="I38" s="172"/>
      <c r="J38" s="172"/>
      <c r="K38" s="4"/>
      <c r="L38" s="4"/>
      <c r="M38" s="734" t="s">
        <v>628</v>
      </c>
      <c r="N38" s="735" t="s">
        <v>743</v>
      </c>
      <c r="O38" s="1338"/>
      <c r="P38" s="1268"/>
      <c r="Q38" s="1333"/>
      <c r="R38" s="1531"/>
      <c r="S38" s="1533"/>
    </row>
    <row r="39" spans="1:19" ht="14.45" customHeight="1">
      <c r="A39" s="586" t="s">
        <v>313</v>
      </c>
      <c r="B39" s="669">
        <v>201</v>
      </c>
      <c r="C39" s="557" t="s">
        <v>662</v>
      </c>
      <c r="D39" s="351">
        <v>482575.81300000002</v>
      </c>
      <c r="E39" s="348">
        <v>633342.75</v>
      </c>
      <c r="F39" s="1697"/>
      <c r="G39" s="172"/>
      <c r="H39" s="172"/>
      <c r="I39" s="172"/>
      <c r="J39" s="172"/>
      <c r="K39" s="4"/>
      <c r="L39" s="4"/>
      <c r="M39" s="736"/>
      <c r="N39" s="737"/>
      <c r="O39" s="1314"/>
      <c r="P39" s="1343"/>
      <c r="Q39" s="1343"/>
      <c r="R39" s="1343"/>
      <c r="S39" s="1514"/>
    </row>
    <row r="40" spans="1:19" ht="14.45" customHeight="1">
      <c r="A40" s="586" t="s">
        <v>1151</v>
      </c>
      <c r="B40" s="669" t="s">
        <v>1101</v>
      </c>
      <c r="C40" s="557" t="s">
        <v>1102</v>
      </c>
      <c r="D40" s="2026">
        <v>5451.5529999999999</v>
      </c>
      <c r="E40" s="2027">
        <v>5130.4660000000003</v>
      </c>
      <c r="F40" s="1253"/>
      <c r="G40" s="172"/>
      <c r="H40" s="172"/>
      <c r="I40" s="172"/>
      <c r="J40" s="172"/>
      <c r="K40" s="4"/>
      <c r="L40" s="4"/>
      <c r="M40" s="736"/>
      <c r="N40" s="737"/>
      <c r="O40" s="1314"/>
      <c r="P40" s="1343"/>
      <c r="Q40" s="1343"/>
      <c r="R40" s="1343"/>
      <c r="S40" s="2025"/>
    </row>
    <row r="41" spans="1:19" ht="14.45" customHeight="1">
      <c r="A41" s="586" t="s">
        <v>314</v>
      </c>
      <c r="B41" s="669">
        <v>202</v>
      </c>
      <c r="C41" s="557" t="s">
        <v>634</v>
      </c>
      <c r="D41" s="98">
        <f>RR!C18</f>
        <v>35277.322000000073</v>
      </c>
      <c r="E41" s="1229">
        <f>RR!D18</f>
        <v>48349.054000000026</v>
      </c>
      <c r="F41" s="231"/>
      <c r="G41" s="4"/>
      <c r="H41" s="4"/>
      <c r="I41" s="4"/>
      <c r="J41" s="4"/>
      <c r="K41" s="4"/>
      <c r="L41" s="4"/>
      <c r="M41" s="736"/>
      <c r="N41" s="737"/>
      <c r="O41" s="1314"/>
      <c r="P41" s="1343"/>
      <c r="Q41" s="1343"/>
      <c r="R41" s="1343"/>
    </row>
    <row r="42" spans="1:19" ht="14.45" customHeight="1">
      <c r="A42" s="588" t="s">
        <v>835</v>
      </c>
      <c r="B42" s="2036"/>
      <c r="C42" s="562" t="s">
        <v>1121</v>
      </c>
      <c r="D42" s="54">
        <v>1465.9970000000001</v>
      </c>
      <c r="E42" s="178">
        <v>2536.8090000000002</v>
      </c>
      <c r="F42" s="231"/>
      <c r="G42" s="4"/>
      <c r="H42" s="4"/>
      <c r="I42" s="4"/>
      <c r="J42" s="4"/>
      <c r="K42" s="4"/>
      <c r="L42" s="4"/>
      <c r="M42" s="736"/>
      <c r="N42" s="737"/>
      <c r="O42" s="1314"/>
      <c r="P42" s="1343"/>
      <c r="Q42" s="1343"/>
      <c r="R42" s="1343"/>
    </row>
    <row r="43" spans="1:19" ht="17.25" customHeight="1">
      <c r="A43" s="588" t="s">
        <v>315</v>
      </c>
      <c r="B43" s="726" t="s">
        <v>863</v>
      </c>
      <c r="C43" s="727" t="s">
        <v>864</v>
      </c>
      <c r="D43" s="351">
        <f>SUM(D39:D42)</f>
        <v>524770.68500000006</v>
      </c>
      <c r="E43" s="348">
        <f>SUM(E39:E42)</f>
        <v>689359.07900000003</v>
      </c>
      <c r="F43" s="231"/>
      <c r="G43" s="4"/>
      <c r="H43" s="4"/>
      <c r="I43" s="4"/>
      <c r="J43" s="4"/>
      <c r="K43" s="4"/>
      <c r="L43" s="4"/>
      <c r="M43" s="738">
        <f>D43*1000/invanare</f>
        <v>50559.376624327575</v>
      </c>
      <c r="N43" s="625">
        <f>E43*1000/invanare</f>
        <v>66416.753642708878</v>
      </c>
      <c r="O43" s="1314"/>
      <c r="P43" s="1343"/>
      <c r="Q43" s="1531"/>
      <c r="R43" s="1343"/>
    </row>
    <row r="44" spans="1:19" ht="15" customHeight="1" thickBot="1">
      <c r="A44" s="589" t="s">
        <v>834</v>
      </c>
      <c r="B44" s="2170"/>
      <c r="C44" s="1058" t="s">
        <v>865</v>
      </c>
      <c r="D44" s="2175">
        <v>24138.955000000002</v>
      </c>
      <c r="E44" s="2176">
        <v>24053.225999999999</v>
      </c>
      <c r="F44" s="231"/>
      <c r="G44" s="2213"/>
      <c r="H44" s="2213"/>
      <c r="I44" s="2213"/>
      <c r="J44" s="2213"/>
      <c r="K44" s="2213"/>
      <c r="L44" s="4"/>
      <c r="M44" s="736"/>
      <c r="N44" s="737"/>
      <c r="O44" s="2024"/>
      <c r="P44" s="1343"/>
      <c r="Q44" s="1343"/>
      <c r="R44" s="1343"/>
    </row>
    <row r="45" spans="1:19" ht="18.75" customHeight="1">
      <c r="A45" s="610" t="s">
        <v>316</v>
      </c>
      <c r="B45" s="1427" t="s">
        <v>663</v>
      </c>
      <c r="C45" s="797" t="s">
        <v>845</v>
      </c>
      <c r="D45" s="186">
        <v>39005.658000000003</v>
      </c>
      <c r="E45" s="194">
        <v>51941.815999999999</v>
      </c>
      <c r="F45" s="231" t="str">
        <f>IF(D45=0,"Varför saknas avsättningar för pensioner?","")</f>
        <v/>
      </c>
      <c r="G45" s="2213"/>
      <c r="H45" s="2213"/>
      <c r="I45" s="2213"/>
      <c r="J45" s="2213"/>
      <c r="K45" s="2213"/>
      <c r="L45" s="4"/>
      <c r="M45" s="1394"/>
      <c r="N45" s="630"/>
      <c r="O45" s="1278"/>
      <c r="P45" s="1343"/>
      <c r="Q45" s="1531"/>
      <c r="R45" s="1531"/>
    </row>
    <row r="46" spans="1:19" ht="14.45" customHeight="1">
      <c r="A46" s="586" t="s">
        <v>317</v>
      </c>
      <c r="B46" s="669" t="s">
        <v>664</v>
      </c>
      <c r="C46" s="557" t="s">
        <v>846</v>
      </c>
      <c r="D46" s="186">
        <v>871.53300000000002</v>
      </c>
      <c r="E46" s="721"/>
      <c r="F46" s="231"/>
      <c r="G46" s="181" t="s">
        <v>1046</v>
      </c>
      <c r="H46" s="4"/>
      <c r="I46" s="4"/>
      <c r="J46" s="4"/>
      <c r="K46" s="4"/>
      <c r="L46" s="4"/>
      <c r="M46" s="739"/>
      <c r="N46" s="740"/>
      <c r="O46" s="1278"/>
      <c r="P46" s="1343"/>
      <c r="Q46" s="1343"/>
      <c r="R46" s="1343"/>
    </row>
    <row r="47" spans="1:19" ht="14.45" customHeight="1">
      <c r="A47" s="586" t="s">
        <v>318</v>
      </c>
      <c r="B47" s="722" t="s">
        <v>665</v>
      </c>
      <c r="C47" s="723" t="s">
        <v>783</v>
      </c>
      <c r="D47" s="186">
        <v>9526.3320000000003</v>
      </c>
      <c r="E47" s="721"/>
      <c r="F47" s="1252" t="str">
        <f>IF(D47=0,"Varför saknas avsättningar för särskild löneskatt pens.?","")</f>
        <v/>
      </c>
      <c r="G47" s="76"/>
      <c r="H47" s="4"/>
      <c r="I47" s="4"/>
      <c r="J47" s="207"/>
      <c r="L47" s="4"/>
      <c r="M47" s="624">
        <f>SUM(D45:D47)*1000/invanare</f>
        <v>4759.8149007230268</v>
      </c>
      <c r="N47" s="741"/>
      <c r="O47" s="1278"/>
      <c r="P47" s="1343"/>
      <c r="Q47" s="1343"/>
      <c r="R47" s="1343"/>
    </row>
    <row r="48" spans="1:19" ht="14.45" customHeight="1">
      <c r="A48" s="588" t="s">
        <v>319</v>
      </c>
      <c r="B48" s="2168" t="s">
        <v>666</v>
      </c>
      <c r="C48" s="2169" t="s">
        <v>667</v>
      </c>
      <c r="D48" s="186">
        <v>25786.98</v>
      </c>
      <c r="E48" s="721"/>
      <c r="F48" s="231"/>
      <c r="G48" s="4"/>
      <c r="H48" s="4"/>
      <c r="I48" s="15"/>
      <c r="J48" s="1712" t="s">
        <v>628</v>
      </c>
      <c r="L48" s="1707"/>
      <c r="M48" s="742">
        <f>D48*1000/invanare</f>
        <v>2484.4635401537389</v>
      </c>
      <c r="N48" s="2188"/>
      <c r="O48" s="1278"/>
      <c r="P48" s="1343"/>
      <c r="Q48" s="1343"/>
      <c r="R48" s="1343"/>
    </row>
    <row r="49" spans="1:20" ht="14.45" customHeight="1" thickBot="1">
      <c r="A49" s="1886" t="s">
        <v>320</v>
      </c>
      <c r="B49" s="2174" t="s">
        <v>1199</v>
      </c>
      <c r="C49" s="574" t="s">
        <v>669</v>
      </c>
      <c r="D49" s="2167">
        <f>SUM(D45:D48)</f>
        <v>75190.503000000012</v>
      </c>
      <c r="E49" s="2195">
        <v>114228.25599999999</v>
      </c>
      <c r="F49" s="1252" t="str">
        <f>IF(D49&gt;E49,"konc. &lt; komm.",IF(OR(D49=0,E50=0),"Belopp saknas",""))</f>
        <v/>
      </c>
      <c r="G49" s="704" t="s">
        <v>289</v>
      </c>
      <c r="H49" s="705" t="s">
        <v>668</v>
      </c>
      <c r="I49" s="1703" t="s">
        <v>1122</v>
      </c>
      <c r="J49" s="1706">
        <v>2851.59</v>
      </c>
      <c r="K49" s="1702"/>
      <c r="L49" s="1856"/>
      <c r="M49" s="624">
        <f>D49*1000/invanare</f>
        <v>7244.2784408767666</v>
      </c>
      <c r="N49" s="2186">
        <f>E49*1000/invanare</f>
        <v>11005.396416615964</v>
      </c>
      <c r="O49" s="1278"/>
      <c r="P49" s="1343"/>
      <c r="Q49" s="1343"/>
      <c r="R49" s="1343"/>
      <c r="S49" s="300"/>
      <c r="T49" s="300"/>
    </row>
    <row r="50" spans="1:20" ht="14.45" customHeight="1">
      <c r="A50" s="2214" t="s">
        <v>1206</v>
      </c>
      <c r="B50" s="2215" t="s">
        <v>1200</v>
      </c>
      <c r="C50" s="2216" t="s">
        <v>1201</v>
      </c>
      <c r="D50" s="2171">
        <v>82878.081999999995</v>
      </c>
      <c r="E50" s="2172">
        <v>90704.913</v>
      </c>
      <c r="F50" s="2173" t="str">
        <f>IF(D50&gt;E50,"konc. &lt; komm.",IF(OR(D50="",E50=""),"Skriv belopp eller 0",""))</f>
        <v/>
      </c>
      <c r="G50" s="1415" t="s">
        <v>1004</v>
      </c>
      <c r="H50" s="1416" t="s">
        <v>1053</v>
      </c>
      <c r="I50" s="1703" t="s">
        <v>1005</v>
      </c>
      <c r="J50" s="1706">
        <v>18763.806</v>
      </c>
      <c r="K50" s="1702"/>
      <c r="M50" s="700"/>
      <c r="N50" s="2187"/>
      <c r="O50" s="2185"/>
      <c r="P50" s="1343"/>
      <c r="Q50" s="1531"/>
      <c r="R50" s="1531"/>
    </row>
    <row r="51" spans="1:20" ht="14.45" customHeight="1">
      <c r="A51" s="588" t="s">
        <v>321</v>
      </c>
      <c r="B51" s="669">
        <v>234</v>
      </c>
      <c r="C51" s="562" t="s">
        <v>670</v>
      </c>
      <c r="D51" s="186">
        <v>259323.13699999999</v>
      </c>
      <c r="E51" s="1969">
        <v>500779.26899999997</v>
      </c>
      <c r="F51" s="231" t="str">
        <f>IF(D51&gt;E51,"konc. &lt; komm.",IF(OR(D51="",E51=""),"Skriv belopp eller 0",""))</f>
        <v/>
      </c>
      <c r="G51" s="183"/>
      <c r="H51" s="4"/>
      <c r="I51" s="172"/>
      <c r="J51" s="142"/>
      <c r="K51" s="172"/>
      <c r="L51" s="1856"/>
      <c r="M51" s="739"/>
      <c r="N51" s="740"/>
      <c r="O51" s="1278"/>
      <c r="P51" s="1343"/>
      <c r="Q51" s="1343"/>
      <c r="R51" s="1343"/>
    </row>
    <row r="52" spans="1:20" ht="14.45" customHeight="1">
      <c r="A52" s="586" t="s">
        <v>322</v>
      </c>
      <c r="B52" s="669">
        <v>235</v>
      </c>
      <c r="C52" s="557" t="s">
        <v>671</v>
      </c>
      <c r="D52" s="186">
        <v>13049.252</v>
      </c>
      <c r="E52" s="1700">
        <v>13401.155000000001</v>
      </c>
      <c r="F52" s="231" t="str">
        <f>IF(OR(D52="",E52=""),"Skriv belopp eller 0","")</f>
        <v/>
      </c>
      <c r="G52" s="183"/>
      <c r="H52" s="4"/>
      <c r="I52" s="172"/>
      <c r="J52" s="217"/>
      <c r="K52" s="1709"/>
      <c r="L52" s="1856"/>
      <c r="M52" s="739"/>
      <c r="N52" s="740"/>
      <c r="O52" s="1278"/>
      <c r="P52" s="1343"/>
      <c r="Q52" s="1343"/>
      <c r="R52" s="1343"/>
    </row>
    <row r="53" spans="1:20" ht="14.45" customHeight="1">
      <c r="A53" s="586" t="s">
        <v>323</v>
      </c>
      <c r="B53" s="669">
        <v>236</v>
      </c>
      <c r="C53" s="557" t="s">
        <v>672</v>
      </c>
      <c r="D53" s="186">
        <v>1554.7750000000001</v>
      </c>
      <c r="E53" s="721"/>
      <c r="F53" s="1252"/>
      <c r="G53" s="183"/>
      <c r="H53" s="4"/>
      <c r="I53" s="1710"/>
      <c r="J53" s="1704" t="s">
        <v>628</v>
      </c>
      <c r="K53" s="1705" t="s">
        <v>743</v>
      </c>
      <c r="L53" s="201"/>
      <c r="M53" s="739"/>
      <c r="N53" s="740"/>
      <c r="O53" s="1278"/>
      <c r="P53" s="1343"/>
      <c r="Q53" s="1343"/>
      <c r="R53" s="1343"/>
    </row>
    <row r="54" spans="1:20" ht="14.45" customHeight="1">
      <c r="A54" s="586" t="s">
        <v>324</v>
      </c>
      <c r="B54" s="669" t="s">
        <v>806</v>
      </c>
      <c r="C54" s="557" t="s">
        <v>1061</v>
      </c>
      <c r="D54" s="191">
        <v>7483.53</v>
      </c>
      <c r="E54" s="1700">
        <v>13956.377</v>
      </c>
      <c r="F54" s="231" t="str">
        <f>IF(OR(D54="",E54=""),"Skriv belopp eller 0","")</f>
        <v/>
      </c>
      <c r="G54" s="1415" t="s">
        <v>1006</v>
      </c>
      <c r="H54" s="2218" t="s">
        <v>1051</v>
      </c>
      <c r="I54" s="2221" t="s">
        <v>1191</v>
      </c>
      <c r="J54" s="1706">
        <v>12979.477999999999</v>
      </c>
      <c r="K54" s="1706">
        <v>14110.062</v>
      </c>
      <c r="L54" s="1856"/>
      <c r="M54" s="700"/>
      <c r="N54" s="740"/>
      <c r="O54" s="1278"/>
      <c r="P54" s="1343"/>
      <c r="Q54" s="1343"/>
      <c r="R54" s="1343"/>
      <c r="S54" s="1268"/>
      <c r="T54" s="1268"/>
    </row>
    <row r="55" spans="1:20" ht="19.5" customHeight="1">
      <c r="A55" s="586" t="s">
        <v>833</v>
      </c>
      <c r="B55" s="669" t="s">
        <v>805</v>
      </c>
      <c r="C55" s="594" t="s">
        <v>1162</v>
      </c>
      <c r="D55" s="191">
        <v>26618.282999999999</v>
      </c>
      <c r="E55" s="1700">
        <v>31183.136999999999</v>
      </c>
      <c r="F55" s="231" t="str">
        <f>IF(D55&gt;E55,"konc. &lt; komm.",IF(OR(D55="",E55=""),"Skriv belopp eller 0",""))</f>
        <v/>
      </c>
      <c r="G55" s="1711"/>
      <c r="H55" s="1711"/>
      <c r="I55" s="1481"/>
      <c r="J55" s="142" t="str">
        <f>IF(AND(D55=0,J54=0),"",IF(SUM(J54)&gt;D55,"Däravrad 132 &gt; rad 087",IF(AND(D55&gt;10,J54=""),"Rad 132: skriv belopp eller 0","")))</f>
        <v/>
      </c>
      <c r="K55" s="142" t="str">
        <f>IF(AND(E55=0,K54=0),"",IF(SUM(K54)&gt;E55,"Däravrad 132 &gt; rad 087",IF(AND(E55&gt;10,K54=""),"Rad 132: skriv belopp eller 0",IF(J54&gt;K54,"konc.&lt;kommun",""))))</f>
        <v/>
      </c>
      <c r="L55" s="185"/>
      <c r="M55" s="700"/>
      <c r="N55" s="740"/>
      <c r="O55" s="1278"/>
      <c r="P55" s="1343"/>
      <c r="Q55" s="1343"/>
      <c r="R55" s="1343"/>
      <c r="S55" s="1268"/>
      <c r="T55" s="1268"/>
    </row>
    <row r="56" spans="1:20" ht="14.45" customHeight="1">
      <c r="A56" s="586" t="s">
        <v>325</v>
      </c>
      <c r="B56" s="671" t="s">
        <v>673</v>
      </c>
      <c r="C56" s="612" t="s">
        <v>674</v>
      </c>
      <c r="D56" s="192">
        <v>6042.6679999999997</v>
      </c>
      <c r="E56" s="1700">
        <v>5177.3530000000001</v>
      </c>
      <c r="F56" s="231"/>
      <c r="G56" s="1419" t="s">
        <v>1007</v>
      </c>
      <c r="H56" s="1420" t="s">
        <v>1052</v>
      </c>
      <c r="I56" s="1885" t="s">
        <v>1010</v>
      </c>
      <c r="J56" s="1901">
        <v>59364.110999999997</v>
      </c>
      <c r="K56" s="1902">
        <v>69616.111000000004</v>
      </c>
      <c r="L56" s="1253" t="str">
        <f>IF(AND(D57=0,J56=0,E57=0,K56=0),"",IF(SUM(J56)&gt;D57,"Däravrad 133 &gt; rad 089",IF(AND(D57&gt;10,J56=""),"Rad 133,kommun: skriv belopp eller 0",IF(AND(E57=0,K56=0),"",IF(SUM(K56)&gt;E57,"Koncern:Däravrad 133&gt;rad 089",IF(AND(E57&gt;10,K56=""),"Rad 133,koncern:skriv belopp eller 0",""))))))</f>
        <v/>
      </c>
      <c r="M56" s="700"/>
      <c r="N56" s="740"/>
      <c r="O56" s="1278"/>
      <c r="P56" s="1343"/>
      <c r="Q56" s="1332"/>
      <c r="R56" s="1343"/>
      <c r="S56" s="1268"/>
      <c r="T56" s="1268"/>
    </row>
    <row r="57" spans="1:20" ht="14.45" customHeight="1" thickBot="1">
      <c r="A57" s="590" t="s">
        <v>326</v>
      </c>
      <c r="B57" s="724">
        <v>23</v>
      </c>
      <c r="C57" s="574" t="s">
        <v>675</v>
      </c>
      <c r="D57" s="347">
        <f>SUM(D50:D56)</f>
        <v>396949.72700000001</v>
      </c>
      <c r="E57" s="347">
        <f>SUM(E50:E52,E54:E56)</f>
        <v>655202.20400000003</v>
      </c>
      <c r="F57" s="231"/>
      <c r="G57" s="1886" t="s">
        <v>345</v>
      </c>
      <c r="H57" s="1891" t="s">
        <v>1052</v>
      </c>
      <c r="I57" s="1887" t="s">
        <v>1055</v>
      </c>
      <c r="J57" s="1841">
        <v>167446.35399999999</v>
      </c>
      <c r="K57" s="1908"/>
      <c r="L57" s="1253" t="str">
        <f>IF(AND(D57=0,J57=0),"",IF(SUM(J57)&gt;D57,"Däravrad 088 &gt; rad 089",IF(AND(D57&gt;10,J57=""),"Rad 088,kommun: skriv belopp eller 0","")))</f>
        <v/>
      </c>
      <c r="M57" s="624">
        <f>D57*1000/invanare</f>
        <v>38244.382397841087</v>
      </c>
      <c r="N57" s="625">
        <f>E57*1000/invanare</f>
        <v>63125.887066510782</v>
      </c>
      <c r="O57" s="1278"/>
      <c r="P57" s="1343"/>
      <c r="Q57" s="1531"/>
      <c r="R57" s="1531"/>
    </row>
    <row r="58" spans="1:20" ht="18" customHeight="1">
      <c r="A58" s="586" t="s">
        <v>327</v>
      </c>
      <c r="B58" s="725" t="s">
        <v>676</v>
      </c>
      <c r="C58" s="557" t="s">
        <v>677</v>
      </c>
      <c r="D58" s="186">
        <v>76885.957999999999</v>
      </c>
      <c r="E58" s="721"/>
      <c r="F58" s="231"/>
      <c r="G58" s="1282" t="s">
        <v>329</v>
      </c>
      <c r="H58" s="2081" t="s">
        <v>748</v>
      </c>
      <c r="I58" s="2082" t="s">
        <v>2</v>
      </c>
      <c r="J58" s="2083">
        <v>24525.629000000001</v>
      </c>
      <c r="K58" s="1892" t="s">
        <v>1057</v>
      </c>
      <c r="L58" s="142" t="str">
        <f>IF(AND(D58=0,J58=0),"",IF(SUM(J58)&gt;D58,"Däravrad 091 &gt; rad 090",IF(AND(D58&gt;10,J58=""),"Rad 091: skriv belopp eller 0","")))</f>
        <v/>
      </c>
      <c r="M58" s="739"/>
      <c r="N58" s="740"/>
      <c r="O58" s="1278"/>
      <c r="P58" s="1343"/>
      <c r="Q58" s="1332"/>
      <c r="R58" s="1343"/>
      <c r="S58" s="300"/>
      <c r="T58" s="300"/>
    </row>
    <row r="59" spans="1:20" ht="14.45" customHeight="1">
      <c r="A59" s="586" t="s">
        <v>328</v>
      </c>
      <c r="B59" s="671" t="s">
        <v>678</v>
      </c>
      <c r="C59" s="562" t="s">
        <v>679</v>
      </c>
      <c r="D59" s="186">
        <v>29336.236000000001</v>
      </c>
      <c r="E59" s="721"/>
      <c r="F59" s="1252"/>
      <c r="G59" s="1415" t="s">
        <v>1008</v>
      </c>
      <c r="H59" s="2190" t="s">
        <v>1009</v>
      </c>
      <c r="I59" s="2191" t="s">
        <v>1060</v>
      </c>
      <c r="J59" s="2192">
        <v>34087.646999999997</v>
      </c>
      <c r="K59" s="2035" t="s">
        <v>1056</v>
      </c>
      <c r="L59" s="1688" t="str">
        <f>IF(AND(D58=0,J59=0),"",IF(SUM(J59)&gt;D58,"Däravrad 091 &gt; rad 090",IF(J59="","skriv belopp eller 0","")))</f>
        <v/>
      </c>
      <c r="M59" s="739"/>
      <c r="N59" s="740"/>
      <c r="O59" s="1278"/>
      <c r="P59" s="1343"/>
      <c r="Q59" s="1332"/>
      <c r="R59" s="1343"/>
      <c r="S59" s="300"/>
      <c r="T59" s="300"/>
    </row>
    <row r="60" spans="1:20" ht="14.45" customHeight="1" thickBot="1">
      <c r="A60" s="586" t="s">
        <v>346</v>
      </c>
      <c r="B60" s="671">
        <v>271</v>
      </c>
      <c r="C60" s="562" t="s">
        <v>12</v>
      </c>
      <c r="D60" s="186">
        <v>6939.0879999999997</v>
      </c>
      <c r="E60" s="721"/>
      <c r="F60" s="1252"/>
      <c r="G60" s="2194" t="s">
        <v>4</v>
      </c>
      <c r="H60" s="2219" t="s">
        <v>1192</v>
      </c>
      <c r="I60" s="2222" t="s">
        <v>1210</v>
      </c>
      <c r="J60" s="2084">
        <v>29390.487000000001</v>
      </c>
      <c r="K60" s="2035"/>
      <c r="L60" s="1688" t="str">
        <f>IF(J59=0,"",IF(J60&gt;J59,"Varav-rad 135 &gt; rad 134",IF(J60="","skriv belopp eller 0","")))</f>
        <v/>
      </c>
      <c r="M60" s="739"/>
      <c r="N60" s="740"/>
      <c r="O60" s="1278"/>
      <c r="P60" s="1343"/>
      <c r="Q60" s="1332"/>
      <c r="R60" s="1343"/>
    </row>
    <row r="61" spans="1:20" ht="14.45" customHeight="1">
      <c r="A61" s="586" t="s">
        <v>331</v>
      </c>
      <c r="B61" s="671">
        <v>281</v>
      </c>
      <c r="C61" s="2217" t="s">
        <v>1189</v>
      </c>
      <c r="D61" s="193">
        <v>3311.4470000000001</v>
      </c>
      <c r="E61" s="732"/>
      <c r="F61" s="1252"/>
      <c r="G61" s="712" t="s">
        <v>330</v>
      </c>
      <c r="H61" s="1414" t="s">
        <v>768</v>
      </c>
      <c r="I61" s="2193" t="s">
        <v>3</v>
      </c>
      <c r="J61" s="2084">
        <v>2914.8090000000002</v>
      </c>
      <c r="K61" s="2085"/>
      <c r="L61" s="1253" t="str">
        <f>IF(AND(D59=0,J61=0),"",IF(SUM(J61)&gt;D59,"Däravrad 092 &gt; rad 086",IF(J61="","skriv belopp eller 0","")))</f>
        <v/>
      </c>
      <c r="M61" s="739"/>
      <c r="N61" s="701"/>
      <c r="O61" s="1278"/>
      <c r="P61" s="1343"/>
      <c r="Q61" s="1332"/>
      <c r="R61" s="1343"/>
    </row>
    <row r="62" spans="1:20" ht="14.45" customHeight="1">
      <c r="A62" s="586" t="s">
        <v>332</v>
      </c>
      <c r="B62" s="671" t="s">
        <v>680</v>
      </c>
      <c r="C62" s="562" t="s">
        <v>681</v>
      </c>
      <c r="D62" s="192">
        <v>19753.57</v>
      </c>
      <c r="E62" s="733"/>
      <c r="F62" s="231" t="str">
        <f>IF(D62&lt;&gt;0,"","Belopp saknas för kommunen")</f>
        <v/>
      </c>
      <c r="G62" s="4"/>
      <c r="H62" s="11"/>
      <c r="I62" s="172"/>
      <c r="J62" s="1690"/>
      <c r="K62" s="1890"/>
      <c r="L62" s="201"/>
      <c r="M62" s="739"/>
      <c r="N62" s="701"/>
      <c r="O62" s="1278"/>
      <c r="P62" s="1343"/>
      <c r="Q62" s="1332"/>
      <c r="R62" s="1343"/>
    </row>
    <row r="63" spans="1:20" ht="14.45" customHeight="1">
      <c r="A63" s="586" t="s">
        <v>852</v>
      </c>
      <c r="B63" s="671">
        <v>293</v>
      </c>
      <c r="C63" s="562" t="s">
        <v>808</v>
      </c>
      <c r="D63" s="191">
        <v>14417.953</v>
      </c>
      <c r="E63" s="731"/>
      <c r="F63" s="231" t="str">
        <f>IF(D63&lt;&gt;0,"","Belopp saknas för kommunen")</f>
        <v/>
      </c>
      <c r="G63" s="4"/>
      <c r="H63" s="4"/>
      <c r="I63" s="172"/>
      <c r="J63" s="1712" t="s">
        <v>628</v>
      </c>
      <c r="K63" s="172"/>
      <c r="L63" s="201"/>
      <c r="M63" s="739"/>
      <c r="N63" s="701"/>
      <c r="O63" s="1278"/>
      <c r="P63" s="1343"/>
      <c r="Q63" s="1332"/>
      <c r="R63" s="1343"/>
      <c r="S63" s="300"/>
    </row>
    <row r="64" spans="1:20" ht="14.45" customHeight="1">
      <c r="A64" s="586" t="s">
        <v>334</v>
      </c>
      <c r="B64" s="671" t="s">
        <v>683</v>
      </c>
      <c r="C64" s="562" t="s">
        <v>784</v>
      </c>
      <c r="D64" s="191">
        <v>12687.725</v>
      </c>
      <c r="E64" s="731"/>
      <c r="F64" s="231" t="str">
        <f>IF(D64&lt;&gt;0,"","Belopp saknas för kommunen")</f>
        <v/>
      </c>
      <c r="G64" s="1415" t="s">
        <v>333</v>
      </c>
      <c r="H64" s="1416" t="s">
        <v>682</v>
      </c>
      <c r="I64" s="1703" t="s">
        <v>807</v>
      </c>
      <c r="J64" s="1706">
        <v>3656.3029999999999</v>
      </c>
      <c r="K64" s="1471"/>
      <c r="L64" s="1688"/>
      <c r="M64" s="739"/>
      <c r="N64" s="701"/>
      <c r="O64" s="1278"/>
      <c r="P64" s="1343"/>
      <c r="Q64" s="1332"/>
      <c r="R64" s="1343"/>
    </row>
    <row r="65" spans="1:19" ht="14.45" customHeight="1">
      <c r="A65" s="586" t="s">
        <v>451</v>
      </c>
      <c r="B65" s="671" t="s">
        <v>13</v>
      </c>
      <c r="C65" s="562" t="s">
        <v>14</v>
      </c>
      <c r="D65" s="191">
        <v>13451.517</v>
      </c>
      <c r="E65" s="731"/>
      <c r="F65" s="1252"/>
      <c r="G65" s="4"/>
      <c r="H65" s="4"/>
      <c r="I65" s="4"/>
      <c r="J65" s="142" t="str">
        <f>IF(AND(D63=0,J64=0),"",IF(SUM(J64)&gt;D63,"Däravrad 095 &gt; rad 104",IF(J64="","skriv belopp eller 0","")))</f>
        <v/>
      </c>
      <c r="K65" s="142"/>
      <c r="L65" s="201"/>
      <c r="M65" s="739"/>
      <c r="N65" s="701"/>
      <c r="O65" s="1278"/>
      <c r="P65" s="1343"/>
      <c r="Q65" s="1332"/>
      <c r="R65" s="1343"/>
    </row>
    <row r="66" spans="1:19" ht="14.45" customHeight="1" thickBot="1">
      <c r="A66" s="586" t="s">
        <v>335</v>
      </c>
      <c r="B66" s="669" t="s">
        <v>684</v>
      </c>
      <c r="C66" s="557" t="s">
        <v>686</v>
      </c>
      <c r="D66" s="191">
        <v>32939.580999999998</v>
      </c>
      <c r="E66" s="731"/>
      <c r="F66" s="1252"/>
      <c r="G66" s="4"/>
      <c r="H66" s="184"/>
      <c r="I66" s="4"/>
      <c r="J66" s="182"/>
      <c r="K66" s="1712" t="s">
        <v>743</v>
      </c>
      <c r="L66" s="201"/>
      <c r="M66" s="739"/>
      <c r="N66" s="701"/>
      <c r="O66" s="1278"/>
      <c r="P66" s="1343"/>
      <c r="Q66" s="1343"/>
      <c r="R66" s="1343"/>
    </row>
    <row r="67" spans="1:19" ht="14.45" customHeight="1" thickBot="1">
      <c r="A67" s="588" t="s">
        <v>336</v>
      </c>
      <c r="B67" s="726" t="s">
        <v>687</v>
      </c>
      <c r="C67" s="727" t="s">
        <v>688</v>
      </c>
      <c r="D67" s="351">
        <f>SUM(D58:D66)</f>
        <v>209723.07500000001</v>
      </c>
      <c r="E67" s="189">
        <v>262569.63699999999</v>
      </c>
      <c r="F67" s="231" t="str">
        <f>IF(E67="","Skriv belopp eller 0 för koncernen","")</f>
        <v/>
      </c>
      <c r="G67" s="1426" t="s">
        <v>327</v>
      </c>
      <c r="H67" s="1427">
        <v>24</v>
      </c>
      <c r="I67" s="2042" t="s">
        <v>1058</v>
      </c>
      <c r="J67" s="2043"/>
      <c r="K67" s="1899">
        <v>79144.343999999997</v>
      </c>
      <c r="L67" s="1688" t="str">
        <f>IF(AND(E67=0,K67=0),"",IF(SUM(K67)&gt;E67,"Därav-rad 090&gt;rad 098 (Excel K67&gt;E67)",IF(AND(E67&gt;100,K67=""),"Rad 090: skriv belopp eller 0","")))</f>
        <v/>
      </c>
      <c r="M67" s="743">
        <f>D67*1000/invanare</f>
        <v>20205.907530328408</v>
      </c>
      <c r="N67" s="744">
        <f>E67*1000/invanare</f>
        <v>25297.444286919294</v>
      </c>
      <c r="O67" s="1278"/>
      <c r="P67" s="1343"/>
      <c r="Q67" s="1531"/>
      <c r="R67" s="1531"/>
    </row>
    <row r="68" spans="1:19" ht="14.25" customHeight="1" thickBot="1">
      <c r="A68" s="579" t="s">
        <v>337</v>
      </c>
      <c r="B68" s="674" t="s">
        <v>689</v>
      </c>
      <c r="C68" s="540" t="s">
        <v>690</v>
      </c>
      <c r="D68" s="340">
        <f>SUM(D57,D67)</f>
        <v>606672.80200000003</v>
      </c>
      <c r="E68" s="352">
        <f>SUM(E57,E67)</f>
        <v>917771.84100000001</v>
      </c>
      <c r="F68" s="1252"/>
      <c r="G68" s="1421" t="s">
        <v>1008</v>
      </c>
      <c r="H68" s="1928" t="s">
        <v>1009</v>
      </c>
      <c r="I68" s="1889" t="s">
        <v>1059</v>
      </c>
      <c r="J68" s="1888"/>
      <c r="K68" s="1900">
        <v>49400.667999999998</v>
      </c>
      <c r="L68" s="1688" t="str">
        <f>IF(AND(K67=0,K68=0),"",IF(SUM(K68)&gt;K67,"Varav-rad 134&gt;rad 090",IF(AND(K67&gt;100,K68=""),"Rad 134, skriv belopp eller 0","")))</f>
        <v/>
      </c>
      <c r="M68" s="1278"/>
      <c r="N68" s="1278"/>
      <c r="O68" s="1278"/>
      <c r="P68" s="1343"/>
      <c r="Q68" s="1531"/>
      <c r="R68" s="1531"/>
    </row>
    <row r="69" spans="1:19" ht="14.45" customHeight="1" thickBot="1">
      <c r="A69" s="728">
        <v>100</v>
      </c>
      <c r="B69" s="729" t="s">
        <v>691</v>
      </c>
      <c r="C69" s="730" t="s">
        <v>692</v>
      </c>
      <c r="D69" s="353">
        <f>SUM(D43,D49,D57,D67)</f>
        <v>1206633.99</v>
      </c>
      <c r="E69" s="349">
        <f>SUM(E43,E49,E57,E67)</f>
        <v>1721359.176</v>
      </c>
      <c r="F69" s="1252"/>
      <c r="G69" s="4"/>
      <c r="H69" s="185"/>
      <c r="I69" s="4"/>
      <c r="J69" s="1688"/>
      <c r="K69" s="1688"/>
      <c r="L69" s="1688"/>
      <c r="M69" s="67"/>
      <c r="N69" s="67"/>
      <c r="O69" s="219"/>
      <c r="P69" s="1343"/>
      <c r="Q69" s="1531"/>
      <c r="R69" s="1531"/>
    </row>
    <row r="70" spans="1:19">
      <c r="A70" s="1349" t="s">
        <v>836</v>
      </c>
      <c r="B70" s="145"/>
      <c r="C70" s="147"/>
      <c r="D70" s="12"/>
      <c r="E70" s="12"/>
      <c r="F70" s="1252"/>
      <c r="G70" s="746" t="s">
        <v>538</v>
      </c>
      <c r="H70" s="747"/>
      <c r="I70" s="747"/>
      <c r="J70" s="748"/>
      <c r="L70" s="201"/>
      <c r="M70" s="628">
        <f>J57*1000/invanare</f>
        <v>16132.729053370194</v>
      </c>
      <c r="N70" s="745"/>
      <c r="O70" s="1314"/>
      <c r="P70" s="1534"/>
      <c r="Q70" s="1535"/>
      <c r="R70" s="1535"/>
    </row>
    <row r="71" spans="1:19">
      <c r="A71" s="1349"/>
      <c r="B71" s="145"/>
      <c r="C71" s="147"/>
      <c r="D71" s="12"/>
      <c r="E71" s="12"/>
      <c r="F71" s="1252"/>
      <c r="G71" s="749" t="s">
        <v>531</v>
      </c>
      <c r="H71" s="750"/>
      <c r="I71" s="750"/>
      <c r="J71" s="751"/>
      <c r="L71" s="201"/>
      <c r="M71" s="1855">
        <f>SUM(D57-J57)*1000/invanare</f>
        <v>22111.653344470895</v>
      </c>
      <c r="N71" s="697"/>
      <c r="O71" s="1314"/>
      <c r="Q71" s="2487"/>
      <c r="R71" s="2487"/>
      <c r="S71" s="2487"/>
    </row>
    <row r="72" spans="1:19" ht="15" customHeight="1">
      <c r="A72" s="171"/>
      <c r="B72" s="10"/>
      <c r="C72" s="8"/>
      <c r="D72" s="12"/>
      <c r="E72" s="12"/>
      <c r="F72" s="1252"/>
      <c r="G72" s="752" t="s">
        <v>529</v>
      </c>
      <c r="H72" s="753"/>
      <c r="I72" s="753"/>
      <c r="J72" s="751"/>
      <c r="M72" s="624">
        <f>IF(D33=0,"",D43*100/D33)</f>
        <v>43.490465086618826</v>
      </c>
      <c r="N72" s="625">
        <f>IF(E33=0,"",E43*100/E33)</f>
        <v>40.047373254620226</v>
      </c>
      <c r="O72" s="1278"/>
      <c r="Q72" s="2487"/>
      <c r="R72" s="2487"/>
      <c r="S72" s="2487"/>
    </row>
    <row r="73" spans="1:19" ht="18" customHeight="1" thickBot="1">
      <c r="A73" s="2061" t="s">
        <v>761</v>
      </c>
      <c r="D73" s="12"/>
      <c r="E73" s="12"/>
      <c r="F73" s="1252"/>
      <c r="G73" s="2481" t="s">
        <v>530</v>
      </c>
      <c r="H73" s="2482"/>
      <c r="I73" s="2482"/>
      <c r="J73" s="2483"/>
      <c r="K73" s="285"/>
      <c r="L73" s="171"/>
      <c r="M73" s="627">
        <f>IF(D33=0,"",(D43-E80)*100/D33)</f>
        <v>28.715544756746461</v>
      </c>
      <c r="N73" s="744">
        <f>IF(E33=0,"",(E43-E80)*100/E33)</f>
        <v>29.690487209095537</v>
      </c>
      <c r="O73" s="1278"/>
      <c r="Q73" s="145"/>
      <c r="R73" s="145"/>
    </row>
    <row r="74" spans="1:19" ht="18">
      <c r="A74" s="2037" t="s">
        <v>635</v>
      </c>
      <c r="B74" s="2055" t="s">
        <v>627</v>
      </c>
      <c r="C74" s="2056"/>
      <c r="D74" s="677" t="s">
        <v>628</v>
      </c>
      <c r="E74" s="678" t="s">
        <v>628</v>
      </c>
      <c r="F74" s="1252"/>
      <c r="G74" s="4"/>
      <c r="H74" s="4"/>
      <c r="I74" s="4"/>
      <c r="J74" s="4"/>
      <c r="K74" s="4"/>
      <c r="L74" s="171"/>
      <c r="M74" s="754" t="str">
        <f>"Föränd. %  "&amp;År-1&amp;" - "&amp;År&amp;" "</f>
        <v xml:space="preserve">Föränd. %  2019 - 2020 </v>
      </c>
      <c r="N74" s="754" t="s">
        <v>463</v>
      </c>
    </row>
    <row r="75" spans="1:19">
      <c r="A75" s="2038" t="s">
        <v>629</v>
      </c>
      <c r="B75" s="2057"/>
      <c r="C75" s="718"/>
      <c r="D75" s="1517">
        <f>År-1</f>
        <v>2019</v>
      </c>
      <c r="E75" s="1518"/>
      <c r="F75" s="1252"/>
      <c r="G75" s="4"/>
      <c r="H75" s="4"/>
      <c r="I75" s="4"/>
      <c r="J75" s="4"/>
      <c r="K75" s="4"/>
      <c r="L75" s="4"/>
      <c r="M75" s="755"/>
      <c r="N75" s="756" t="s">
        <v>628</v>
      </c>
      <c r="O75" s="1339"/>
      <c r="Q75" s="1268"/>
      <c r="R75" s="1268"/>
    </row>
    <row r="76" spans="1:19" ht="17.25" customHeight="1">
      <c r="A76" s="586" t="s">
        <v>340</v>
      </c>
      <c r="B76" s="761" t="s">
        <v>693</v>
      </c>
      <c r="C76" s="2058"/>
      <c r="D76" s="762">
        <v>140872.32999999999</v>
      </c>
      <c r="E76" s="99">
        <v>149995.049</v>
      </c>
      <c r="F76" s="1895"/>
      <c r="G76" s="4"/>
      <c r="H76" s="4"/>
      <c r="I76" s="4"/>
      <c r="J76" s="4"/>
      <c r="K76" s="4"/>
      <c r="L76" s="4"/>
      <c r="M76" s="757">
        <f t="shared" ref="M76:M81" si="0">IF(AND(D76=0,E76=0),"",IF(E76=0,1,IF(D76=0,-1,E76/D76-1)))</f>
        <v>6.4758771293127682E-2</v>
      </c>
      <c r="N76" s="758">
        <f t="shared" ref="N76:N81" si="1">E76*1000/invanare</f>
        <v>14451.371600864992</v>
      </c>
      <c r="O76" s="1339"/>
      <c r="Q76" s="1268"/>
      <c r="R76" s="1268"/>
    </row>
    <row r="77" spans="1:19" ht="15.75" customHeight="1">
      <c r="A77" s="586" t="s">
        <v>341</v>
      </c>
      <c r="B77" s="763" t="s">
        <v>694</v>
      </c>
      <c r="C77" s="569"/>
      <c r="D77" s="764">
        <v>6219.4380000000001</v>
      </c>
      <c r="E77" s="99">
        <v>6334.9889999999996</v>
      </c>
      <c r="F77" s="1895"/>
      <c r="G77" s="4"/>
      <c r="H77" s="4"/>
      <c r="I77" s="4"/>
      <c r="J77" s="4"/>
      <c r="K77" s="4"/>
      <c r="L77" s="4"/>
      <c r="M77" s="759">
        <f t="shared" si="0"/>
        <v>1.8579009871952934E-2</v>
      </c>
      <c r="N77" s="758">
        <f t="shared" si="1"/>
        <v>610.34867975137036</v>
      </c>
      <c r="O77" s="1278"/>
      <c r="Q77" s="1268"/>
      <c r="R77" s="1268"/>
    </row>
    <row r="78" spans="1:19" ht="18.75" customHeight="1">
      <c r="A78" s="586" t="s">
        <v>215</v>
      </c>
      <c r="B78" s="763" t="s">
        <v>695</v>
      </c>
      <c r="C78" s="569"/>
      <c r="D78" s="764">
        <v>121730.636</v>
      </c>
      <c r="E78" s="99">
        <v>126771.577</v>
      </c>
      <c r="F78" s="1895"/>
      <c r="G78" s="4"/>
      <c r="H78" s="4"/>
      <c r="I78" s="4"/>
      <c r="J78" s="4"/>
      <c r="K78" s="4"/>
      <c r="L78" s="4"/>
      <c r="M78" s="759">
        <f t="shared" si="0"/>
        <v>4.1410619098383838E-2</v>
      </c>
      <c r="N78" s="758">
        <f t="shared" si="1"/>
        <v>12213.8909241909</v>
      </c>
      <c r="O78" s="1278"/>
      <c r="Q78" s="1268"/>
      <c r="R78" s="1268"/>
    </row>
    <row r="79" spans="1:19" ht="18">
      <c r="A79" s="586" t="s">
        <v>342</v>
      </c>
      <c r="B79" s="2059" t="s">
        <v>994</v>
      </c>
      <c r="C79" s="2060" t="s">
        <v>991</v>
      </c>
      <c r="D79" s="764">
        <v>20248.359</v>
      </c>
      <c r="E79" s="99">
        <v>21395.493999999999</v>
      </c>
      <c r="F79" s="1895"/>
      <c r="G79" s="4"/>
      <c r="H79" s="4"/>
      <c r="I79" s="4"/>
      <c r="J79" s="4"/>
      <c r="K79" s="4"/>
      <c r="L79" s="4"/>
      <c r="M79" s="759">
        <f t="shared" si="0"/>
        <v>5.6653232985448332E-2</v>
      </c>
      <c r="N79" s="758">
        <f t="shared" si="1"/>
        <v>2061.3629345731092</v>
      </c>
      <c r="O79" s="1278"/>
      <c r="Q79" s="1268"/>
      <c r="R79" s="1268"/>
    </row>
    <row r="80" spans="1:19" ht="18.75" customHeight="1">
      <c r="A80" s="586" t="s">
        <v>343</v>
      </c>
      <c r="B80" s="2039" t="s">
        <v>992</v>
      </c>
      <c r="C80" s="2040" t="s">
        <v>993</v>
      </c>
      <c r="D80" s="764">
        <v>182616.079</v>
      </c>
      <c r="E80" s="187">
        <v>178279.19399999999</v>
      </c>
      <c r="F80" s="231"/>
      <c r="G80" s="4"/>
      <c r="H80" s="4"/>
      <c r="I80" s="4"/>
      <c r="J80" s="4"/>
      <c r="K80" s="201"/>
      <c r="L80" s="4"/>
      <c r="M80" s="759">
        <f t="shared" si="0"/>
        <v>-2.374864811329136E-2</v>
      </c>
      <c r="N80" s="758">
        <f t="shared" si="1"/>
        <v>17176.426144550282</v>
      </c>
      <c r="O80" s="1278"/>
      <c r="Q80" s="1268"/>
      <c r="R80" s="1268"/>
    </row>
    <row r="81" spans="1:18" ht="15" customHeight="1" thickBot="1">
      <c r="A81" s="590" t="s">
        <v>344</v>
      </c>
      <c r="B81" s="765" t="s">
        <v>696</v>
      </c>
      <c r="C81" s="766"/>
      <c r="D81" s="767">
        <f>SUM(D76:D80)</f>
        <v>471686.84199999995</v>
      </c>
      <c r="E81" s="354">
        <f>SUM(E76:E80)</f>
        <v>482776.30299999996</v>
      </c>
      <c r="F81" s="231"/>
      <c r="G81" s="1419" t="s">
        <v>933</v>
      </c>
      <c r="H81" s="1420"/>
      <c r="I81" s="761" t="s">
        <v>928</v>
      </c>
      <c r="J81" s="289">
        <v>290084.93800000002</v>
      </c>
      <c r="K81" s="142"/>
      <c r="L81" s="4"/>
      <c r="M81" s="760">
        <f t="shared" si="0"/>
        <v>2.35102190957448E-2</v>
      </c>
      <c r="N81" s="640">
        <f t="shared" si="1"/>
        <v>46513.400283930649</v>
      </c>
      <c r="O81" s="1278"/>
      <c r="Q81" s="1268"/>
      <c r="R81" s="1268"/>
    </row>
    <row r="82" spans="1:18">
      <c r="A82" s="13"/>
      <c r="B82" s="1"/>
      <c r="C82" s="1"/>
      <c r="D82" s="1"/>
      <c r="E82" s="1"/>
      <c r="F82" s="1252"/>
      <c r="G82" s="1520" t="s">
        <v>934</v>
      </c>
      <c r="H82" s="1414"/>
      <c r="I82" s="1486" t="s">
        <v>931</v>
      </c>
      <c r="J82" s="288">
        <v>212002.29399999999</v>
      </c>
      <c r="K82" s="142"/>
      <c r="L82" s="4"/>
      <c r="M82" s="4"/>
      <c r="N82" s="4"/>
      <c r="O82" s="1278"/>
      <c r="Q82" s="143"/>
      <c r="R82" s="143"/>
    </row>
    <row r="83" spans="1:18" ht="16.5" thickBot="1">
      <c r="A83" s="74" t="s">
        <v>192</v>
      </c>
      <c r="B83" s="4"/>
      <c r="C83" s="4"/>
      <c r="D83" s="4"/>
      <c r="E83" s="4"/>
      <c r="F83" s="1252"/>
      <c r="G83" s="4"/>
      <c r="H83" s="4"/>
      <c r="I83" s="4"/>
      <c r="J83" s="142"/>
      <c r="K83" s="1702"/>
      <c r="L83" s="327"/>
      <c r="M83" s="4"/>
      <c r="N83" s="4"/>
    </row>
    <row r="84" spans="1:18">
      <c r="A84" s="610" t="s">
        <v>338</v>
      </c>
      <c r="B84" s="768" t="s">
        <v>1064</v>
      </c>
      <c r="C84" s="768"/>
      <c r="D84" s="769"/>
      <c r="E84" s="194">
        <v>14519.353999999999</v>
      </c>
      <c r="F84" s="231" t="str">
        <f>IF(E84="","Skriv belopp eller 0 på rad 107",IF(E84&lt;0,"Inga minusbelopp ska anges på rad 107",""))</f>
        <v/>
      </c>
      <c r="G84" s="4"/>
      <c r="H84" s="4"/>
      <c r="I84" s="4"/>
      <c r="J84" s="142"/>
      <c r="K84" s="142"/>
      <c r="L84" s="4"/>
      <c r="M84" s="4"/>
      <c r="N84" s="4"/>
      <c r="Q84" s="170"/>
      <c r="R84" s="170"/>
    </row>
    <row r="85" spans="1:18" ht="13.5" thickBot="1">
      <c r="A85" s="1948" t="s">
        <v>339</v>
      </c>
      <c r="B85" s="2041" t="str">
        <f>"Ackumulerat  ej återställt negativt resultat inkl. "&amp;År&amp;" års resultat"</f>
        <v>Ackumulerat  ej återställt negativt resultat inkl. 2020 års resultat</v>
      </c>
      <c r="C85" s="1949"/>
      <c r="D85" s="1950"/>
      <c r="E85" s="195">
        <v>360.92</v>
      </c>
      <c r="F85" s="231" t="str">
        <f>IF(E85="","Skriv belopp eller 0 på rad 108",IF(E85&lt;0,"Inga minustecken ska anges på rad 108",""))</f>
        <v/>
      </c>
      <c r="G85" s="4"/>
      <c r="H85" s="4"/>
      <c r="I85" s="4"/>
      <c r="J85" s="4"/>
      <c r="K85" s="142"/>
      <c r="L85" s="4"/>
      <c r="M85" s="4"/>
      <c r="N85" s="4"/>
      <c r="Q85" s="1268"/>
      <c r="R85" s="1268"/>
    </row>
    <row r="86" spans="1:18">
      <c r="A86" s="1952"/>
      <c r="B86" s="1953"/>
      <c r="C86" s="1953"/>
      <c r="D86" s="1954"/>
      <c r="E86" s="1951"/>
      <c r="F86" s="231"/>
      <c r="G86" s="4"/>
      <c r="H86" s="4"/>
      <c r="I86" s="4"/>
      <c r="J86" s="4"/>
      <c r="K86" s="4"/>
      <c r="L86" s="4"/>
      <c r="M86" s="4"/>
      <c r="N86" s="4"/>
      <c r="Q86" s="1268"/>
      <c r="R86" s="1268"/>
    </row>
    <row r="87" spans="1:18">
      <c r="A87" s="2213"/>
      <c r="B87" s="2213"/>
      <c r="C87" s="2213"/>
      <c r="D87" s="2213"/>
      <c r="E87" s="2213"/>
      <c r="F87" s="201"/>
      <c r="G87" s="4"/>
      <c r="H87" s="4"/>
      <c r="I87" s="4"/>
      <c r="J87" s="4"/>
      <c r="K87" s="4"/>
      <c r="L87" s="4"/>
      <c r="M87" s="4"/>
      <c r="N87" s="4"/>
      <c r="Q87" s="170"/>
      <c r="R87" s="170"/>
    </row>
    <row r="88" spans="1:18">
      <c r="A88" s="2213"/>
      <c r="B88" s="2213"/>
      <c r="C88" s="2213"/>
      <c r="D88" s="2213"/>
      <c r="E88" s="2213"/>
      <c r="F88" s="201"/>
      <c r="G88" s="4"/>
      <c r="H88" s="4"/>
      <c r="I88" s="4"/>
      <c r="J88" s="4"/>
      <c r="K88" s="4"/>
      <c r="L88" s="4"/>
      <c r="M88" s="4"/>
      <c r="N88" s="4"/>
    </row>
    <row r="89" spans="1:18">
      <c r="A89" s="2213"/>
      <c r="B89" s="2213"/>
      <c r="C89" s="2213"/>
      <c r="D89" s="2213"/>
      <c r="E89" s="2213"/>
      <c r="F89" s="201"/>
      <c r="G89" s="4"/>
      <c r="H89" s="4"/>
      <c r="I89" s="4"/>
      <c r="J89" s="4"/>
      <c r="K89" s="4"/>
      <c r="L89" s="4"/>
      <c r="M89" s="4"/>
      <c r="N89" s="4"/>
      <c r="P89" s="172"/>
      <c r="Q89" s="170"/>
      <c r="R89" s="170"/>
    </row>
    <row r="90" spans="1:18">
      <c r="A90" s="2213"/>
      <c r="B90" s="2213"/>
      <c r="C90" s="2213"/>
      <c r="D90" s="2213"/>
      <c r="E90" s="2213"/>
      <c r="F90" s="201"/>
      <c r="G90" s="4"/>
      <c r="H90" s="4"/>
      <c r="I90" s="4"/>
      <c r="J90" s="4"/>
      <c r="K90" s="4"/>
      <c r="L90" s="4"/>
      <c r="M90" s="4"/>
      <c r="N90" s="4"/>
      <c r="P90" s="172"/>
      <c r="Q90" s="170"/>
      <c r="R90" s="170"/>
    </row>
    <row r="91" spans="1:18">
      <c r="A91" s="2213"/>
      <c r="B91" s="2213"/>
      <c r="C91" s="2213"/>
      <c r="D91" s="2213"/>
      <c r="E91" s="2213"/>
      <c r="K91" s="4"/>
      <c r="L91" s="4"/>
      <c r="P91" s="172"/>
      <c r="Q91" s="170"/>
      <c r="R91" s="170"/>
    </row>
    <row r="92" spans="1:18">
      <c r="A92" s="2213"/>
      <c r="B92" s="2213"/>
      <c r="C92" s="2213"/>
      <c r="D92" s="2213"/>
      <c r="E92" s="2213"/>
      <c r="L92" s="4"/>
      <c r="Q92" s="170"/>
      <c r="R92" s="170"/>
    </row>
    <row r="93" spans="1:18"/>
    <row r="94" spans="1:18" hidden="1"/>
    <row r="95" spans="1:18" hidden="1"/>
    <row r="96" spans="1:18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/>
    <row r="115"/>
  </sheetData>
  <sheetProtection password="CBFD" sheet="1" objects="1" scenarios="1"/>
  <customSheetViews>
    <customSheetView guid="{97D6DB71-3F4C-4C5F-8C5B-51E3EBF78932}" showPageBreaks="1" showGridLines="0" hiddenRows="1" hiddenColumns="1" topLeftCell="A37">
      <selection activeCell="F38" sqref="F38"/>
      <pageMargins left="0.11811023622047245" right="0.11811023622047245" top="0.74803149606299213" bottom="0.74803149606299213" header="0.31496062992125984" footer="0.31496062992125984"/>
      <pageSetup paperSize="9" scale="80" orientation="landscape" r:id="rId1"/>
      <headerFooter>
        <oddHeader>&amp;L&amp;8Statistiska Centralbyrån
Offentlig ekonomi&amp;R&amp;P</oddHeader>
      </headerFooter>
    </customSheetView>
    <customSheetView guid="{99FBDEB7-DD08-4F57-81F4-3C180403E153}" showGridLines="0" hiddenRows="1" hiddenColumns="1" topLeftCell="A37">
      <selection activeCell="F38" sqref="F38"/>
      <pageMargins left="0.11811023622047245" right="0.11811023622047245" top="0.74803149606299213" bottom="0.74803149606299213" header="0.31496062992125984" footer="0.31496062992125984"/>
      <pageSetup paperSize="9" scale="80" orientation="landscape" r:id="rId2"/>
      <headerFooter>
        <oddHeader>&amp;L&amp;8Statistiska Centralbyrån
Offentlig ekonomi&amp;R&amp;P</oddHeader>
      </headerFooter>
    </customSheetView>
    <customSheetView guid="{27C9E95B-0E2B-454F-B637-1CECC9579A10}" showGridLines="0" hiddenRows="1" showRuler="0">
      <selection activeCell="I75" sqref="I75"/>
      <pageMargins left="0.11811023622047245" right="0.11811023622047245" top="0.74803149606299213" bottom="0.74803149606299213" header="0.31496062992125984" footer="0.31496062992125984"/>
      <pageSetup paperSize="9" scale="80" orientation="landscape" r:id="rId3"/>
      <headerFooter alignWithMargins="0">
        <oddHeader>&amp;L&amp;8Statistiska Centralbyrån
Offentlig ekonomi&amp;R&amp;P</oddHeader>
      </headerFooter>
    </customSheetView>
  </customSheetViews>
  <mergeCells count="7">
    <mergeCell ref="B5:B6"/>
    <mergeCell ref="M4:N4"/>
    <mergeCell ref="M37:N37"/>
    <mergeCell ref="G73:J73"/>
    <mergeCell ref="T5:T6"/>
    <mergeCell ref="S5:S6"/>
    <mergeCell ref="Q71:S72"/>
  </mergeCells>
  <phoneticPr fontId="87" type="noConversion"/>
  <conditionalFormatting sqref="D19:E19 D9:D11 D13:D15 E9 E12 E17 E84 E30:E31 D31 E86 D46:D48 E50 J13:K13 J15:K15 J22 M24:N24 J27:K27 J49:K49 E67 E76:E80 J56:K56 J64:K64 D58:D66 D21:E21 D23:D25 D27:D29 J58:K60 D51:D56">
    <cfRule type="cellIs" dxfId="160" priority="25" stopIfTrue="1" operator="lessThan">
      <formula>-500</formula>
    </cfRule>
  </conditionalFormatting>
  <conditionalFormatting sqref="D22">
    <cfRule type="cellIs" dxfId="159" priority="23" stopIfTrue="1" operator="lessThan">
      <formula>-500</formula>
    </cfRule>
  </conditionalFormatting>
  <conditionalFormatting sqref="K83 J81:J82">
    <cfRule type="cellIs" dxfId="158" priority="18" stopIfTrue="1" operator="lessThan">
      <formula>0</formula>
    </cfRule>
    <cfRule type="cellIs" dxfId="157" priority="22" stopIfTrue="1" operator="lessThan">
      <formula>-500</formula>
    </cfRule>
  </conditionalFormatting>
  <conditionalFormatting sqref="J20:K20">
    <cfRule type="cellIs" dxfId="156" priority="21" stopIfTrue="1" operator="lessThan">
      <formula>-500</formula>
    </cfRule>
  </conditionalFormatting>
  <conditionalFormatting sqref="D19:E19">
    <cfRule type="cellIs" dxfId="155" priority="20" stopIfTrue="1" operator="lessThan">
      <formula>0</formula>
    </cfRule>
  </conditionalFormatting>
  <conditionalFormatting sqref="E84 E86">
    <cfRule type="cellIs" dxfId="154" priority="19" stopIfTrue="1" operator="lessThan">
      <formula>0</formula>
    </cfRule>
  </conditionalFormatting>
  <conditionalFormatting sqref="J50:K50">
    <cfRule type="cellIs" dxfId="153" priority="17" stopIfTrue="1" operator="lessThan">
      <formula>-500</formula>
    </cfRule>
  </conditionalFormatting>
  <conditionalFormatting sqref="J25">
    <cfRule type="cellIs" dxfId="152" priority="16" stopIfTrue="1" operator="lessThan">
      <formula>-500</formula>
    </cfRule>
  </conditionalFormatting>
  <conditionalFormatting sqref="J57:K57">
    <cfRule type="cellIs" dxfId="151" priority="15" stopIfTrue="1" operator="lessThan">
      <formula>-500</formula>
    </cfRule>
  </conditionalFormatting>
  <conditionalFormatting sqref="J54:K54">
    <cfRule type="cellIs" dxfId="150" priority="14" stopIfTrue="1" operator="lessThan">
      <formula>-500</formula>
    </cfRule>
  </conditionalFormatting>
  <conditionalFormatting sqref="J61:K61">
    <cfRule type="cellIs" dxfId="149" priority="12" stopIfTrue="1" operator="lessThan">
      <formula>-500</formula>
    </cfRule>
  </conditionalFormatting>
  <conditionalFormatting sqref="J26">
    <cfRule type="cellIs" dxfId="148" priority="10" stopIfTrue="1" operator="lessThan">
      <formula>-500</formula>
    </cfRule>
  </conditionalFormatting>
  <conditionalFormatting sqref="M24">
    <cfRule type="cellIs" dxfId="147" priority="8" stopIfTrue="1" operator="lessThan">
      <formula>-500</formula>
    </cfRule>
  </conditionalFormatting>
  <conditionalFormatting sqref="J26">
    <cfRule type="cellIs" dxfId="146" priority="7" stopIfTrue="1" operator="lessThan">
      <formula>-500</formula>
    </cfRule>
  </conditionalFormatting>
  <conditionalFormatting sqref="J25">
    <cfRule type="cellIs" dxfId="145" priority="6" stopIfTrue="1" operator="lessThan">
      <formula>-500</formula>
    </cfRule>
  </conditionalFormatting>
  <conditionalFormatting sqref="J24">
    <cfRule type="cellIs" dxfId="144" priority="5" stopIfTrue="1" operator="lessThan">
      <formula>-500</formula>
    </cfRule>
  </conditionalFormatting>
  <conditionalFormatting sqref="D50">
    <cfRule type="cellIs" dxfId="143" priority="4" stopIfTrue="1" operator="lessThan">
      <formula>-500</formula>
    </cfRule>
  </conditionalFormatting>
  <conditionalFormatting sqref="D45">
    <cfRule type="cellIs" dxfId="142" priority="3" stopIfTrue="1" operator="lessThan">
      <formula>-500</formula>
    </cfRule>
  </conditionalFormatting>
  <conditionalFormatting sqref="E45">
    <cfRule type="cellIs" dxfId="141" priority="1" stopIfTrue="1" operator="lessThan">
      <formula>-500</formula>
    </cfRule>
  </conditionalFormatting>
  <dataValidations count="5">
    <dataValidation type="decimal" operator="lessThan" allowBlank="1" showInputMessage="1" showErrorMessage="1" error="Beloppet ska vara i 1000 tal kronor" sqref="D9:E9 J64:K64 E84:E86 E76:E80 J49:K50 J13 J20 E67 J15 D50:D56 E50:E52 J22 D58:D66 D31 E30:E31 D46:D48 D21:E21 D19:E19 E17 D13:D16 E12 D10:D11 D39:E42 D22:D29 K56:K57 K61 K67:K68 J81:J82 E26 E54:E56 J56:J61 M24 J24 D44:E45">
      <formula1>999999999</formula1>
    </dataValidation>
    <dataValidation type="decimal" operator="lessThan" allowBlank="1" showInputMessage="1" showErrorMessage="1" error="Beloppet ska vara i 1000-tal kronor" sqref="J54:K54">
      <formula1>999999999</formula1>
    </dataValidation>
    <dataValidation type="decimal" operator="lessThan" allowBlank="1" showInputMessage="1" error="Beloppet ska vara i 1000 tal kronor" sqref="K13">
      <formula1>999999</formula1>
    </dataValidation>
    <dataValidation type="decimal" operator="lessThan" allowBlank="1" showInputMessage="1" error="Beloppet ska vara i 1000 tal kronor" sqref="K15">
      <formula1>999999999</formula1>
    </dataValidation>
    <dataValidation allowBlank="1" showInputMessage="1" sqref="K20:K21 N24 K23:K24 K26:K31"/>
  </dataValidations>
  <pageMargins left="0.11811023622047245" right="0.11811023622047245" top="0.74803149606299213" bottom="0.74803149606299213" header="0.31496062992125984" footer="0.31496062992125984"/>
  <pageSetup paperSize="9" scale="80" orientation="landscape" r:id="rId4"/>
  <headerFooter>
    <oddHeader>&amp;L&amp;8Statistiska Centralbyrån
Offentlig ekonomi&amp;R&amp;P</oddHeader>
  </headerFooter>
  <rowBreaks count="1" manualBreakCount="1">
    <brk id="50" max="16383" man="1"/>
  </rowBreaks>
  <ignoredErrors>
    <ignoredError sqref="A9:A15 B15:B16 B27 A28 A22:B23 A24:A25 A16:A21 B19 B25 A26:A27 B28:B30 A29:A33 H13 G15:H15 G20:H20 G22 A39:A44 B40 B43 A51:A60 B55:B56 B58:B59 A61:A68 B62 B64:B65 G49:H49 G54 G56:G61 H58:H59 G64:H64 G67:G68 H68 A76:A81 A84:A85" numberStoredAsText="1"/>
  </ignoredError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95"/>
  <sheetViews>
    <sheetView showGridLines="0" zoomScaleNormal="100" workbookViewId="0">
      <pane ySplit="1" topLeftCell="A2" activePane="bottomLeft" state="frozen"/>
      <selection activeCell="F36" sqref="F36"/>
      <selection pane="bottomLeft" activeCell="A2" sqref="A2"/>
    </sheetView>
  </sheetViews>
  <sheetFormatPr defaultColWidth="0" defaultRowHeight="0" customHeight="1" zeroHeight="1"/>
  <cols>
    <col min="1" max="1" width="4" style="170" customWidth="1"/>
    <col min="2" max="2" width="14.140625" style="170" customWidth="1"/>
    <col min="3" max="3" width="33.42578125" style="170" customWidth="1"/>
    <col min="4" max="4" width="11.5703125" style="170" customWidth="1"/>
    <col min="5" max="5" width="22.5703125" style="170" customWidth="1"/>
    <col min="6" max="6" width="4" style="170" customWidth="1"/>
    <col min="7" max="7" width="8.28515625" style="170" customWidth="1"/>
    <col min="8" max="8" width="30.7109375" style="170" customWidth="1"/>
    <col min="9" max="9" width="9.140625" style="170" customWidth="1"/>
    <col min="10" max="10" width="29.28515625" style="170" customWidth="1"/>
    <col min="11" max="11" width="1.7109375" style="170" customWidth="1"/>
    <col min="12" max="12" width="3.7109375" style="170" customWidth="1"/>
    <col min="13" max="13" width="9.140625" style="170" customWidth="1"/>
    <col min="14" max="14" width="8.140625" style="170" customWidth="1"/>
    <col min="15" max="15" width="15" style="170" customWidth="1"/>
    <col min="16" max="16" width="1.5703125" style="170" customWidth="1"/>
    <col min="17" max="17" width="3.7109375" style="170" customWidth="1"/>
    <col min="18" max="18" width="13.85546875" style="421" customWidth="1"/>
    <col min="19" max="19" width="4.140625" style="421" customWidth="1"/>
    <col min="20" max="20" width="8.42578125" style="170" customWidth="1"/>
    <col min="21" max="21" width="8" style="170" customWidth="1"/>
    <col min="22" max="22" width="16" style="170" customWidth="1"/>
    <col min="23" max="25" width="9.140625" style="170" customWidth="1"/>
    <col min="26" max="16384" width="0" style="170" hidden="1"/>
  </cols>
  <sheetData>
    <row r="1" spans="1:20" s="201" customFormat="1" ht="20.25">
      <c r="A1" s="93" t="str">
        <f>"Verksamhetens intäkter och kostnader "&amp;År&amp;", miljoner kr"</f>
        <v>Verksamhetens intäkter och kostnader 2020, miljoner kr</v>
      </c>
      <c r="B1" s="169"/>
      <c r="C1" s="169"/>
      <c r="D1" s="169"/>
      <c r="E1" s="169"/>
      <c r="F1" s="169"/>
      <c r="G1" s="169"/>
      <c r="H1" s="516"/>
      <c r="I1" s="512" t="s">
        <v>459</v>
      </c>
      <c r="J1" s="513" t="str">
        <f>'Kn Information'!A2</f>
        <v>RIKSTOTAL</v>
      </c>
      <c r="K1" s="513"/>
      <c r="L1" s="513"/>
      <c r="M1" s="513"/>
      <c r="N1" s="513"/>
      <c r="O1" s="513"/>
      <c r="P1" s="1328"/>
      <c r="Q1" s="170"/>
      <c r="R1" s="170"/>
      <c r="S1" s="170"/>
      <c r="T1" s="170"/>
    </row>
    <row r="2" spans="1:20" s="201" customFormat="1" ht="12.75" customHeight="1">
      <c r="A2" s="2213"/>
      <c r="B2" s="2213"/>
      <c r="C2" s="2213"/>
      <c r="D2" s="2213"/>
      <c r="E2" s="2213"/>
      <c r="F2" s="2213"/>
      <c r="G2" s="2213"/>
      <c r="H2" s="2213"/>
      <c r="I2" s="2213"/>
      <c r="J2" s="2213"/>
      <c r="K2" s="2213"/>
      <c r="L2" s="2213"/>
      <c r="M2" s="2213"/>
      <c r="N2" s="2213"/>
      <c r="O2" s="2213"/>
      <c r="Q2" s="170"/>
      <c r="R2" s="170"/>
      <c r="S2" s="170"/>
      <c r="T2" s="170"/>
    </row>
    <row r="3" spans="1:20" s="201" customFormat="1" ht="12.75" customHeight="1">
      <c r="A3" s="2213"/>
      <c r="B3" s="2213"/>
      <c r="C3" s="2213"/>
      <c r="D3" s="2213"/>
      <c r="E3" s="2213"/>
      <c r="F3" s="2213"/>
      <c r="G3" s="2213"/>
      <c r="H3" s="2213"/>
      <c r="I3" s="2213"/>
      <c r="J3" s="2213"/>
      <c r="K3" s="2213"/>
      <c r="L3" s="2213"/>
      <c r="M3" s="2213"/>
      <c r="N3" s="2213"/>
      <c r="O3" s="2213"/>
      <c r="Q3" s="170"/>
      <c r="R3" s="170"/>
      <c r="S3" s="170"/>
      <c r="T3" s="170"/>
    </row>
    <row r="4" spans="1:20" s="201" customFormat="1" ht="16.5" customHeight="1" thickBot="1">
      <c r="A4" s="74" t="s">
        <v>363</v>
      </c>
      <c r="B4" s="4"/>
      <c r="C4" s="4"/>
      <c r="D4" s="4"/>
      <c r="E4" s="79"/>
      <c r="H4" s="4"/>
      <c r="I4" s="4"/>
      <c r="J4" s="4"/>
      <c r="K4" s="4"/>
      <c r="L4" s="1270" t="str">
        <f>"Kontroller av förändring mellan "&amp;År-1&amp;" och "&amp;År&amp;""</f>
        <v>Kontroller av förändring mellan 2019 och 2020</v>
      </c>
      <c r="O4" s="2213"/>
      <c r="Q4" s="170"/>
      <c r="R4" s="170"/>
      <c r="S4" s="170"/>
      <c r="T4" s="170"/>
    </row>
    <row r="5" spans="1:20" s="201" customFormat="1" ht="12.75" customHeight="1">
      <c r="A5" s="603" t="s">
        <v>626</v>
      </c>
      <c r="B5" s="2068" t="s">
        <v>1184</v>
      </c>
      <c r="C5" s="602"/>
      <c r="D5" s="784"/>
      <c r="E5" s="4"/>
      <c r="H5" s="4"/>
      <c r="I5" s="4"/>
      <c r="J5" s="4"/>
      <c r="K5" s="4"/>
      <c r="L5" s="603" t="s">
        <v>626</v>
      </c>
      <c r="M5" s="2226" t="s">
        <v>1220</v>
      </c>
      <c r="N5" s="2235" t="s">
        <v>759</v>
      </c>
      <c r="O5" s="2213"/>
      <c r="P5" s="1329"/>
      <c r="Q5" s="89"/>
      <c r="R5" s="428"/>
      <c r="S5" s="89"/>
      <c r="T5" s="1269"/>
    </row>
    <row r="6" spans="1:20" s="201" customFormat="1" ht="20.25" customHeight="1">
      <c r="A6" s="770" t="s">
        <v>629</v>
      </c>
      <c r="B6" s="2488"/>
      <c r="C6" s="772"/>
      <c r="D6" s="785"/>
      <c r="E6" s="4"/>
      <c r="H6" s="67"/>
      <c r="I6" s="67"/>
      <c r="J6" s="4"/>
      <c r="K6" s="4"/>
      <c r="L6" s="770" t="s">
        <v>629</v>
      </c>
      <c r="M6" s="2227">
        <f>År-1</f>
        <v>2019</v>
      </c>
      <c r="N6" s="2236" t="str">
        <f>År-1&amp;-År</f>
        <v>2019-2020</v>
      </c>
      <c r="O6" s="2213"/>
      <c r="P6" s="1329"/>
      <c r="Q6" s="1536"/>
      <c r="R6" s="1332"/>
      <c r="S6" s="261"/>
      <c r="T6" s="2062"/>
    </row>
    <row r="7" spans="1:20" s="201" customFormat="1" ht="15" customHeight="1">
      <c r="A7" s="773"/>
      <c r="B7" s="2489"/>
      <c r="C7" s="774"/>
      <c r="D7" s="691"/>
      <c r="E7" s="4"/>
      <c r="H7" s="67"/>
      <c r="I7" s="67"/>
      <c r="J7" s="4"/>
      <c r="K7" s="4"/>
      <c r="L7" s="773"/>
      <c r="M7" s="2228"/>
      <c r="N7" s="2237" t="s">
        <v>760</v>
      </c>
      <c r="O7" s="2213"/>
      <c r="P7" s="1329"/>
      <c r="Q7" s="87"/>
      <c r="R7" s="1537"/>
      <c r="S7" s="1305"/>
      <c r="T7" s="1538"/>
    </row>
    <row r="8" spans="1:20" s="201" customFormat="1" ht="13.5" thickBot="1">
      <c r="A8" s="551">
        <v>130</v>
      </c>
      <c r="B8" s="1417" t="s">
        <v>769</v>
      </c>
      <c r="C8" s="1350" t="s">
        <v>775</v>
      </c>
      <c r="D8" s="220">
        <v>8908.3549999999996</v>
      </c>
      <c r="E8" s="179"/>
      <c r="F8" s="4"/>
      <c r="G8" s="4"/>
      <c r="H8" s="67"/>
      <c r="I8" s="67"/>
      <c r="J8" s="4"/>
      <c r="K8" s="4"/>
      <c r="L8" s="551">
        <v>130</v>
      </c>
      <c r="M8" s="2229">
        <v>9654.9979999999996</v>
      </c>
      <c r="N8" s="2238">
        <f>IF(ISERROR((D8-M8)/M8),0,((D8-M8)/M8))</f>
        <v>-7.7332279095241666E-2</v>
      </c>
      <c r="O8" s="2213"/>
      <c r="P8" s="1330"/>
      <c r="Q8" s="1332"/>
      <c r="R8" s="1332"/>
      <c r="S8" s="1332"/>
      <c r="T8" s="170"/>
    </row>
    <row r="9" spans="1:20" s="201" customFormat="1" ht="12.75">
      <c r="A9" s="776">
        <v>200</v>
      </c>
      <c r="B9" s="777">
        <v>311</v>
      </c>
      <c r="C9" s="778" t="s">
        <v>697</v>
      </c>
      <c r="D9" s="177">
        <v>3475.6880000000001</v>
      </c>
      <c r="E9" s="179"/>
      <c r="F9" s="4"/>
      <c r="G9" s="4"/>
      <c r="H9" s="67"/>
      <c r="I9" s="67"/>
      <c r="J9" s="4"/>
      <c r="K9" s="4"/>
      <c r="L9" s="1232"/>
      <c r="M9" s="2230"/>
      <c r="N9" s="2239"/>
      <c r="O9" s="2213"/>
      <c r="P9" s="1330"/>
      <c r="Q9" s="1290"/>
      <c r="R9" s="1290"/>
      <c r="S9" s="1290"/>
      <c r="T9" s="170"/>
    </row>
    <row r="10" spans="1:20" s="201" customFormat="1" ht="12.75">
      <c r="A10" s="779">
        <v>210</v>
      </c>
      <c r="B10" s="671">
        <v>312</v>
      </c>
      <c r="C10" s="782" t="s">
        <v>1163</v>
      </c>
      <c r="D10" s="177">
        <v>1211.8430000000001</v>
      </c>
      <c r="E10" s="179"/>
      <c r="F10" s="4"/>
      <c r="G10" s="4"/>
      <c r="H10" s="67"/>
      <c r="I10" s="67"/>
      <c r="J10" s="4"/>
      <c r="K10" s="4"/>
      <c r="L10" s="1233"/>
      <c r="M10" s="2231"/>
      <c r="N10" s="2240"/>
      <c r="O10" s="2213"/>
      <c r="P10" s="1330"/>
      <c r="Q10" s="1290"/>
      <c r="R10" s="1290"/>
      <c r="S10" s="1290"/>
      <c r="T10" s="170"/>
    </row>
    <row r="11" spans="1:20" s="201" customFormat="1" ht="19.5" customHeight="1">
      <c r="A11" s="779">
        <v>280</v>
      </c>
      <c r="B11" s="2028" t="s">
        <v>853</v>
      </c>
      <c r="C11" s="778" t="s">
        <v>698</v>
      </c>
      <c r="D11" s="177">
        <v>34492.25</v>
      </c>
      <c r="E11" s="179"/>
      <c r="F11" s="4"/>
      <c r="G11" s="4"/>
      <c r="H11" s="67"/>
      <c r="I11" s="67"/>
      <c r="J11" s="4"/>
      <c r="K11" s="4"/>
      <c r="L11" s="776"/>
      <c r="M11" s="2232"/>
      <c r="N11" s="2241"/>
      <c r="O11" s="2213"/>
      <c r="P11" s="1330"/>
      <c r="Q11" s="1290"/>
      <c r="R11" s="1539"/>
      <c r="S11" s="1539"/>
      <c r="T11" s="170"/>
    </row>
    <row r="12" spans="1:20" s="201" customFormat="1" ht="13.5" thickBot="1">
      <c r="A12" s="780">
        <v>290</v>
      </c>
      <c r="B12" s="552"/>
      <c r="C12" s="781" t="s">
        <v>699</v>
      </c>
      <c r="D12" s="355">
        <f>SUM(D9:D11)</f>
        <v>39179.781000000003</v>
      </c>
      <c r="E12" s="179"/>
      <c r="F12" s="171"/>
      <c r="G12" s="4"/>
      <c r="H12" s="67"/>
      <c r="I12" s="67"/>
      <c r="J12" s="4"/>
      <c r="K12" s="4"/>
      <c r="L12" s="780">
        <v>290</v>
      </c>
      <c r="M12" s="2233">
        <v>38345.582999999999</v>
      </c>
      <c r="N12" s="2242">
        <f>IF(ISERROR((D12-M12)/M12),0,((D12-M12)/M12))</f>
        <v>2.1754735089045431E-2</v>
      </c>
      <c r="O12" s="2213"/>
      <c r="P12" s="1330"/>
      <c r="Q12" s="1290"/>
      <c r="R12" s="1290"/>
      <c r="S12" s="1290"/>
      <c r="T12" s="170"/>
    </row>
    <row r="13" spans="1:20" s="201" customFormat="1" ht="12.75">
      <c r="A13" s="556">
        <v>400</v>
      </c>
      <c r="B13" s="549">
        <v>341</v>
      </c>
      <c r="C13" s="782" t="s">
        <v>700</v>
      </c>
      <c r="D13" s="177">
        <v>13950.724</v>
      </c>
      <c r="E13" s="179"/>
      <c r="F13" s="4"/>
      <c r="G13" s="4"/>
      <c r="H13" s="67"/>
      <c r="I13" s="67"/>
      <c r="J13" s="4"/>
      <c r="K13" s="4"/>
      <c r="L13" s="556">
        <v>400</v>
      </c>
      <c r="M13" s="2232">
        <v>14311.254000000001</v>
      </c>
      <c r="N13" s="2241">
        <f>IF(ISERROR((D13-M13)/M13),0,((D13-M13)/M13))</f>
        <v>-2.5192062135156054E-2</v>
      </c>
      <c r="O13" s="2213"/>
      <c r="P13" s="1330"/>
      <c r="Q13" s="1332"/>
      <c r="R13" s="1332"/>
      <c r="S13" s="1332"/>
      <c r="T13" s="170"/>
    </row>
    <row r="14" spans="1:20" s="201" customFormat="1" ht="12.75">
      <c r="A14" s="554">
        <v>420</v>
      </c>
      <c r="B14" s="671">
        <v>342</v>
      </c>
      <c r="C14" s="782" t="s">
        <v>701</v>
      </c>
      <c r="D14" s="177">
        <v>5520.4089999999997</v>
      </c>
      <c r="E14" s="179"/>
      <c r="F14" s="4"/>
      <c r="G14" s="4"/>
      <c r="H14" s="67"/>
      <c r="I14" s="67"/>
      <c r="J14" s="4"/>
      <c r="K14" s="4"/>
      <c r="L14" s="558"/>
      <c r="M14" s="1220"/>
      <c r="N14" s="2243"/>
      <c r="O14" s="2213"/>
      <c r="P14" s="1330"/>
      <c r="Q14" s="1332"/>
      <c r="R14" s="1332"/>
      <c r="S14" s="1332"/>
      <c r="T14" s="170"/>
    </row>
    <row r="15" spans="1:20" s="201" customFormat="1" ht="12.75">
      <c r="A15" s="554">
        <v>480</v>
      </c>
      <c r="B15" s="671" t="s">
        <v>702</v>
      </c>
      <c r="C15" s="782" t="s">
        <v>770</v>
      </c>
      <c r="D15" s="177">
        <v>1466.86</v>
      </c>
      <c r="E15" s="179"/>
      <c r="G15" s="172"/>
      <c r="H15" s="216"/>
      <c r="I15" s="216"/>
      <c r="J15" s="4"/>
      <c r="K15" s="4"/>
      <c r="L15" s="795"/>
      <c r="M15" s="2231"/>
      <c r="N15" s="2240"/>
      <c r="O15" s="2213"/>
      <c r="P15" s="1330"/>
      <c r="Q15" s="1332"/>
      <c r="R15" s="1332"/>
      <c r="S15" s="1332"/>
      <c r="T15" s="170"/>
    </row>
    <row r="16" spans="1:20" s="201" customFormat="1" ht="13.5" thickBot="1">
      <c r="A16" s="565">
        <v>490</v>
      </c>
      <c r="B16" s="775"/>
      <c r="C16" s="783" t="s">
        <v>703</v>
      </c>
      <c r="D16" s="355">
        <f>SUM(D13:D15)</f>
        <v>20937.993000000002</v>
      </c>
      <c r="E16" s="179"/>
      <c r="F16" s="75" t="s">
        <v>771</v>
      </c>
      <c r="G16" s="45"/>
      <c r="H16" s="299"/>
      <c r="I16" s="216"/>
      <c r="J16" s="4"/>
      <c r="K16" s="4"/>
      <c r="L16" s="551">
        <v>490</v>
      </c>
      <c r="M16" s="1222">
        <v>21330.302</v>
      </c>
      <c r="N16" s="2244">
        <f>IF(ISERROR((D16-M16)/M16),0,((D16-M16)/M16))</f>
        <v>-1.8392097777143401E-2</v>
      </c>
      <c r="O16" s="2213"/>
      <c r="P16" s="1330"/>
      <c r="Q16" s="1332"/>
      <c r="R16" s="1332"/>
      <c r="S16" s="1332"/>
      <c r="T16" s="170"/>
    </row>
    <row r="17" spans="1:22" s="201" customFormat="1" ht="12.75">
      <c r="A17" s="776">
        <v>500</v>
      </c>
      <c r="B17" s="777">
        <v>351</v>
      </c>
      <c r="C17" s="782" t="s">
        <v>1182</v>
      </c>
      <c r="D17" s="177">
        <v>42617.921999999999</v>
      </c>
      <c r="E17" s="230"/>
      <c r="F17" s="1343"/>
      <c r="G17" s="1343"/>
      <c r="H17" s="1344"/>
      <c r="I17" s="72"/>
      <c r="J17" s="281"/>
      <c r="K17" s="4"/>
      <c r="L17" s="1232"/>
      <c r="M17" s="2230"/>
      <c r="N17" s="2239"/>
      <c r="O17" s="2213"/>
      <c r="P17" s="1330"/>
      <c r="Q17" s="1290"/>
      <c r="R17" s="1290"/>
      <c r="S17" s="1290"/>
      <c r="T17" s="170"/>
    </row>
    <row r="18" spans="1:22" s="201" customFormat="1" ht="12.75">
      <c r="A18" s="779">
        <v>510</v>
      </c>
      <c r="B18" s="545">
        <v>351</v>
      </c>
      <c r="C18" s="782" t="s">
        <v>1180</v>
      </c>
      <c r="D18" s="177">
        <v>5382.741</v>
      </c>
      <c r="E18" s="179"/>
      <c r="G18" s="1341"/>
      <c r="H18" s="89"/>
      <c r="I18" s="148"/>
      <c r="J18" s="4"/>
      <c r="K18" s="4"/>
      <c r="L18" s="1233"/>
      <c r="M18" s="2231"/>
      <c r="N18" s="2240"/>
      <c r="O18" s="2213"/>
      <c r="P18" s="1330"/>
      <c r="Q18" s="1290"/>
      <c r="R18" s="1290"/>
      <c r="S18" s="1290"/>
      <c r="T18" s="170"/>
    </row>
    <row r="19" spans="1:22" s="201" customFormat="1" ht="12.75">
      <c r="A19" s="779">
        <v>520</v>
      </c>
      <c r="B19" s="545">
        <v>351</v>
      </c>
      <c r="C19" s="782" t="s">
        <v>1181</v>
      </c>
      <c r="D19" s="177">
        <v>1822.7650000000001</v>
      </c>
      <c r="E19" s="179"/>
      <c r="F19" s="1415" t="s">
        <v>1152</v>
      </c>
      <c r="G19" s="1416" t="s">
        <v>382</v>
      </c>
      <c r="H19" s="1289" t="s">
        <v>1144</v>
      </c>
      <c r="I19" s="287">
        <v>729.47</v>
      </c>
      <c r="J19" s="1253"/>
      <c r="K19" s="4"/>
      <c r="L19" s="1233"/>
      <c r="M19" s="2231"/>
      <c r="N19" s="2240"/>
      <c r="O19" s="2213"/>
      <c r="P19" s="1330"/>
      <c r="Q19" s="1290"/>
      <c r="R19" s="1290"/>
      <c r="S19" s="1290"/>
      <c r="T19" s="170"/>
    </row>
    <row r="20" spans="1:22" s="201" customFormat="1" ht="12.75">
      <c r="A20" s="779">
        <v>525</v>
      </c>
      <c r="B20" s="545">
        <v>354</v>
      </c>
      <c r="C20" s="782" t="s">
        <v>1117</v>
      </c>
      <c r="D20" s="2224">
        <v>5385.4279999999999</v>
      </c>
      <c r="E20" s="179"/>
      <c r="F20" s="1332"/>
      <c r="G20" s="1341"/>
      <c r="H20" s="1342"/>
      <c r="I20" s="148"/>
      <c r="J20" s="4"/>
      <c r="K20" s="4"/>
      <c r="L20" s="776"/>
      <c r="M20" s="2232"/>
      <c r="N20" s="2241"/>
      <c r="O20" s="2213"/>
      <c r="P20" s="1330"/>
      <c r="Q20" s="1290"/>
      <c r="R20" s="1290"/>
      <c r="S20" s="1290"/>
      <c r="T20" s="170"/>
      <c r="V20" s="170"/>
    </row>
    <row r="21" spans="1:22" s="201" customFormat="1" ht="12.75">
      <c r="A21" s="779">
        <v>527</v>
      </c>
      <c r="B21" s="545">
        <v>356</v>
      </c>
      <c r="C21" s="782" t="s">
        <v>1118</v>
      </c>
      <c r="D21" s="221">
        <v>7025.1629999999996</v>
      </c>
      <c r="E21" s="179"/>
      <c r="F21" s="4"/>
      <c r="G21" s="67"/>
      <c r="H21" s="67"/>
      <c r="I21" s="67"/>
      <c r="J21" s="4"/>
      <c r="K21" s="4"/>
      <c r="L21" s="779">
        <v>527</v>
      </c>
      <c r="M21" s="2234">
        <v>6965.6109999999999</v>
      </c>
      <c r="N21" s="2245">
        <f>IF(ISERROR((D21-M21)/M21),0,((D21-M21)/M21))</f>
        <v>8.5494294757487432E-3</v>
      </c>
      <c r="O21" s="2213"/>
      <c r="P21" s="1330"/>
      <c r="Q21" s="1290"/>
      <c r="R21" s="1290"/>
      <c r="S21" s="1290"/>
      <c r="T21" s="170"/>
      <c r="V21" s="170"/>
    </row>
    <row r="22" spans="1:22" s="201" customFormat="1" ht="12.75">
      <c r="A22" s="779">
        <v>550</v>
      </c>
      <c r="B22" s="545">
        <v>358</v>
      </c>
      <c r="C22" s="782" t="s">
        <v>193</v>
      </c>
      <c r="D22" s="221">
        <v>631.70100000000002</v>
      </c>
      <c r="E22" s="231"/>
      <c r="F22" s="4"/>
      <c r="G22" s="4"/>
      <c r="H22" s="67"/>
      <c r="I22" s="67"/>
      <c r="J22" s="4"/>
      <c r="K22" s="4"/>
      <c r="L22" s="1234"/>
      <c r="M22" s="1220"/>
      <c r="N22" s="2243"/>
      <c r="O22" s="2213"/>
      <c r="P22" s="1330"/>
      <c r="Q22" s="1290"/>
      <c r="R22" s="1290"/>
      <c r="S22" s="1290"/>
      <c r="T22" s="170"/>
      <c r="V22" s="170"/>
    </row>
    <row r="23" spans="1:22" s="201" customFormat="1" ht="15" customHeight="1">
      <c r="A23" s="779">
        <v>560</v>
      </c>
      <c r="B23" s="545">
        <v>357</v>
      </c>
      <c r="C23" s="2103" t="s">
        <v>1164</v>
      </c>
      <c r="D23" s="221">
        <v>405.00200000000001</v>
      </c>
      <c r="E23" s="231"/>
      <c r="F23" s="1343"/>
      <c r="G23" s="1341"/>
      <c r="H23" s="1342"/>
      <c r="I23" s="148"/>
      <c r="J23" s="1271"/>
      <c r="K23" s="4"/>
      <c r="L23" s="776"/>
      <c r="M23" s="2232"/>
      <c r="N23" s="2241"/>
      <c r="O23" s="2213"/>
      <c r="P23" s="1330"/>
      <c r="Q23" s="1290"/>
      <c r="R23" s="1540"/>
      <c r="S23" s="1541"/>
      <c r="T23" s="1542"/>
      <c r="V23" s="1332"/>
    </row>
    <row r="24" spans="1:22" s="201" customFormat="1" ht="12.75">
      <c r="A24" s="1234">
        <v>570</v>
      </c>
      <c r="B24" s="2250" t="s">
        <v>1194</v>
      </c>
      <c r="C24" s="2251" t="s">
        <v>1209</v>
      </c>
      <c r="D24" s="101">
        <v>1695.6130000000001</v>
      </c>
      <c r="E24" s="2144"/>
      <c r="F24" s="1415" t="s">
        <v>1157</v>
      </c>
      <c r="G24" s="2255" t="s">
        <v>1193</v>
      </c>
      <c r="H24" s="2259" t="s">
        <v>1208</v>
      </c>
      <c r="I24" s="2189">
        <v>690.59299999999996</v>
      </c>
      <c r="J24" s="1253"/>
      <c r="K24" s="4"/>
      <c r="L24" s="1233"/>
      <c r="M24" s="2231"/>
      <c r="N24" s="2240"/>
      <c r="O24" s="2213"/>
      <c r="P24" s="1330"/>
      <c r="Q24" s="1290"/>
      <c r="R24" s="1540"/>
      <c r="S24" s="1541"/>
      <c r="T24" s="1542"/>
      <c r="V24" s="1332"/>
    </row>
    <row r="25" spans="1:22" s="201" customFormat="1" ht="15.75" customHeight="1" thickBot="1">
      <c r="A25" s="780">
        <v>590</v>
      </c>
      <c r="B25" s="552"/>
      <c r="C25" s="781" t="s">
        <v>704</v>
      </c>
      <c r="D25" s="355">
        <f>SUM(D17:D24)</f>
        <v>64966.334999999999</v>
      </c>
      <c r="E25" s="2144"/>
      <c r="F25" s="4"/>
      <c r="G25" s="45"/>
      <c r="H25" s="67"/>
      <c r="I25" s="67"/>
      <c r="J25" s="4"/>
      <c r="K25" s="4"/>
      <c r="L25" s="780">
        <v>590</v>
      </c>
      <c r="M25" s="2233">
        <v>60507.779000000002</v>
      </c>
      <c r="N25" s="2242">
        <f>IF(ISERROR((D25-M25)/M25),0,((D25-M25)/M25))</f>
        <v>7.3685666102535297E-2</v>
      </c>
      <c r="O25" s="2213"/>
      <c r="P25" s="1330"/>
      <c r="Q25" s="1290"/>
      <c r="R25" s="1290"/>
      <c r="S25" s="1290"/>
      <c r="T25" s="170"/>
      <c r="V25" s="1332"/>
    </row>
    <row r="26" spans="1:22" s="201" customFormat="1" ht="12.75">
      <c r="A26" s="556">
        <v>310</v>
      </c>
      <c r="B26" s="549" t="s">
        <v>825</v>
      </c>
      <c r="C26" s="782" t="s">
        <v>1113</v>
      </c>
      <c r="D26" s="221">
        <v>13583.04</v>
      </c>
      <c r="E26" s="231"/>
      <c r="F26" s="1419" t="s">
        <v>831</v>
      </c>
      <c r="G26" s="1420" t="s">
        <v>826</v>
      </c>
      <c r="H26" s="761" t="s">
        <v>772</v>
      </c>
      <c r="I26" s="289">
        <v>13221.347</v>
      </c>
      <c r="J26" s="1253"/>
      <c r="K26" s="4"/>
      <c r="L26" s="1235"/>
      <c r="M26" s="2230"/>
      <c r="N26" s="2239"/>
      <c r="O26" s="2213"/>
      <c r="P26" s="1330"/>
      <c r="Q26" s="1332"/>
      <c r="R26" s="1332"/>
      <c r="S26" s="1332"/>
      <c r="T26" s="1341"/>
      <c r="V26" s="1332"/>
    </row>
    <row r="27" spans="1:22" s="201" customFormat="1" ht="12.75">
      <c r="A27" s="556">
        <v>320</v>
      </c>
      <c r="B27" s="725" t="s">
        <v>825</v>
      </c>
      <c r="C27" s="782" t="s">
        <v>1154</v>
      </c>
      <c r="D27" s="221">
        <v>451.375</v>
      </c>
      <c r="E27" s="231"/>
      <c r="F27" s="2076" t="s">
        <v>832</v>
      </c>
      <c r="G27" s="561">
        <v>361</v>
      </c>
      <c r="H27" s="2077" t="s">
        <v>1116</v>
      </c>
      <c r="I27" s="2032">
        <v>403.85599999999999</v>
      </c>
      <c r="J27" s="1253"/>
      <c r="K27" s="4"/>
      <c r="L27" s="795"/>
      <c r="M27" s="2231"/>
      <c r="N27" s="2240"/>
      <c r="O27" s="2213"/>
      <c r="P27" s="1330"/>
      <c r="Q27" s="1332"/>
      <c r="R27" s="1332"/>
      <c r="S27" s="1332"/>
      <c r="T27" s="1341"/>
      <c r="V27" s="1332"/>
    </row>
    <row r="28" spans="1:22" s="201" customFormat="1" ht="12.75">
      <c r="A28" s="556">
        <v>321</v>
      </c>
      <c r="B28" s="725" t="s">
        <v>825</v>
      </c>
      <c r="C28" s="782" t="s">
        <v>1114</v>
      </c>
      <c r="D28" s="221">
        <v>490.00599999999997</v>
      </c>
      <c r="E28" s="231"/>
      <c r="F28" s="1521" t="s">
        <v>1153</v>
      </c>
      <c r="G28" s="2179">
        <v>361</v>
      </c>
      <c r="H28" s="2177" t="s">
        <v>1115</v>
      </c>
      <c r="I28" s="2183">
        <v>400.44799999999998</v>
      </c>
      <c r="J28" s="1253"/>
      <c r="K28" s="4"/>
      <c r="L28" s="795"/>
      <c r="M28" s="2231"/>
      <c r="N28" s="2240"/>
      <c r="O28" s="2213"/>
      <c r="P28" s="1330"/>
      <c r="Q28" s="1332"/>
      <c r="R28" s="1332"/>
      <c r="S28" s="1332"/>
      <c r="T28" s="1341"/>
      <c r="V28" s="170"/>
    </row>
    <row r="29" spans="1:22" s="201" customFormat="1" ht="16.5" customHeight="1">
      <c r="A29" s="554">
        <v>380</v>
      </c>
      <c r="B29" s="1418" t="s">
        <v>811</v>
      </c>
      <c r="C29" s="782" t="s">
        <v>1106</v>
      </c>
      <c r="D29" s="221">
        <v>4365.5240000000003</v>
      </c>
      <c r="E29" s="231"/>
      <c r="F29" s="2253" t="s">
        <v>1205</v>
      </c>
      <c r="G29" s="2256">
        <v>365</v>
      </c>
      <c r="H29" s="2260" t="s">
        <v>1196</v>
      </c>
      <c r="I29" s="2184">
        <v>88.17</v>
      </c>
      <c r="J29" s="1271" t="str">
        <f>IF(SUM(I29)&gt;D29,"Däravrad 329 &gt; rad 380",IF(D29=0,"",IF(I29="","Skriv belopp eller 0","")))</f>
        <v/>
      </c>
      <c r="K29" s="4"/>
      <c r="L29" s="556"/>
      <c r="M29" s="2232"/>
      <c r="N29" s="2241"/>
      <c r="O29" s="2213"/>
      <c r="P29" s="1330"/>
      <c r="Q29" s="1332"/>
      <c r="R29" s="1332"/>
      <c r="S29" s="1332"/>
      <c r="T29" s="170"/>
    </row>
    <row r="30" spans="1:22" s="201" customFormat="1" ht="13.5" thickBot="1">
      <c r="A30" s="558">
        <v>390</v>
      </c>
      <c r="B30" s="546"/>
      <c r="C30" s="783" t="s">
        <v>777</v>
      </c>
      <c r="D30" s="356">
        <f>SUM(D26:D29)</f>
        <v>18889.945</v>
      </c>
      <c r="E30" s="231"/>
      <c r="F30" s="2181"/>
      <c r="G30" s="4"/>
      <c r="H30" s="2182"/>
      <c r="I30" s="2182"/>
      <c r="J30" s="4"/>
      <c r="K30" s="4"/>
      <c r="L30" s="565">
        <v>390</v>
      </c>
      <c r="M30" s="2233">
        <v>19862.357</v>
      </c>
      <c r="N30" s="2242">
        <f>IF(ISERROR((D30-M30)/M30),0,((D30-M30)/M30))</f>
        <v>-4.89575330863301E-2</v>
      </c>
      <c r="O30" s="2213"/>
      <c r="P30" s="1330"/>
      <c r="Q30" s="1332"/>
      <c r="R30" s="1332"/>
      <c r="S30" s="1332"/>
      <c r="T30" s="170"/>
    </row>
    <row r="31" spans="1:22" s="201" customFormat="1" ht="13.5" customHeight="1" thickBot="1">
      <c r="A31" s="542">
        <v>891</v>
      </c>
      <c r="B31" s="543">
        <v>37</v>
      </c>
      <c r="C31" s="2252" t="s">
        <v>1197</v>
      </c>
      <c r="D31" s="222">
        <v>10965.282999999999</v>
      </c>
      <c r="E31" s="231"/>
      <c r="F31" s="2254" t="s">
        <v>231</v>
      </c>
      <c r="G31" s="2257">
        <v>373</v>
      </c>
      <c r="H31" s="2261" t="s">
        <v>1202</v>
      </c>
      <c r="I31" s="2140">
        <v>1440.2190000000001</v>
      </c>
      <c r="J31" s="1271" t="str">
        <f>IF(SUM(I31)&gt;D31,"Däravrad 330 &gt; rad 891",IF(D31=0,"",IF(I31="","Skriv belopp eller 0","")))</f>
        <v/>
      </c>
      <c r="K31" s="4"/>
      <c r="L31" s="1235"/>
      <c r="M31" s="2230"/>
      <c r="N31" s="2239"/>
      <c r="O31" s="2213"/>
      <c r="P31" s="1330"/>
      <c r="Q31" s="1540"/>
      <c r="R31" s="1543"/>
      <c r="S31" s="1543"/>
      <c r="T31" s="170"/>
    </row>
    <row r="32" spans="1:22" s="201" customFormat="1" ht="19.5" customHeight="1">
      <c r="A32" s="544">
        <v>892</v>
      </c>
      <c r="B32" s="2034" t="s">
        <v>368</v>
      </c>
      <c r="C32" s="782" t="s">
        <v>922</v>
      </c>
      <c r="D32" s="222">
        <v>2319.6</v>
      </c>
      <c r="E32" s="231"/>
      <c r="F32" s="2180"/>
      <c r="G32" s="2180"/>
      <c r="H32" s="2178"/>
      <c r="I32" s="67"/>
      <c r="J32" s="4"/>
      <c r="K32" s="4"/>
      <c r="L32" s="795"/>
      <c r="M32" s="2231"/>
      <c r="N32" s="2240"/>
      <c r="O32" s="2213"/>
      <c r="P32" s="1330"/>
      <c r="Q32" s="1540"/>
      <c r="R32" s="1544"/>
      <c r="S32" s="1544"/>
      <c r="T32" s="170"/>
    </row>
    <row r="33" spans="1:25" s="201" customFormat="1" ht="13.5" thickBot="1">
      <c r="A33" s="541">
        <v>894</v>
      </c>
      <c r="B33" s="552"/>
      <c r="C33" s="547" t="s">
        <v>455</v>
      </c>
      <c r="D33" s="301">
        <v>1.4999999999999999E-2</v>
      </c>
      <c r="E33" s="231"/>
      <c r="F33" s="2213"/>
      <c r="G33" s="2213"/>
      <c r="H33" s="2213"/>
      <c r="I33" s="2213"/>
      <c r="J33" s="2213"/>
      <c r="K33" s="4"/>
      <c r="L33" s="795"/>
      <c r="M33" s="2231"/>
      <c r="N33" s="2240"/>
      <c r="O33" s="2213"/>
      <c r="P33" s="1330"/>
      <c r="Q33" s="1540"/>
      <c r="R33" s="1332"/>
      <c r="S33" s="1332"/>
      <c r="T33" s="170"/>
    </row>
    <row r="34" spans="1:25" s="201" customFormat="1" ht="26.25" customHeight="1" thickBot="1">
      <c r="A34" s="548">
        <v>886</v>
      </c>
      <c r="B34" s="549"/>
      <c r="C34" s="550" t="s">
        <v>644</v>
      </c>
      <c r="D34" s="357">
        <f>SUM(D8+D12+D16+D25+D30+D31+D32+D33)</f>
        <v>166167.30700000003</v>
      </c>
      <c r="E34" s="2031"/>
      <c r="F34" s="2213"/>
      <c r="G34" s="2213"/>
      <c r="H34" s="2213"/>
      <c r="I34" s="2213"/>
      <c r="J34" s="2213"/>
      <c r="K34" s="4"/>
      <c r="L34" s="551"/>
      <c r="M34" s="1222"/>
      <c r="N34" s="2244"/>
      <c r="O34" s="2213"/>
      <c r="P34" s="1330"/>
      <c r="Q34" s="1332"/>
      <c r="R34" s="1332"/>
      <c r="S34" s="1332"/>
      <c r="T34" s="170"/>
    </row>
    <row r="35" spans="1:25" s="201" customFormat="1" ht="13.5" thickBot="1">
      <c r="A35" s="551">
        <v>896</v>
      </c>
      <c r="B35" s="552"/>
      <c r="C35" s="553" t="s">
        <v>92</v>
      </c>
      <c r="D35" s="302">
        <f>RR!C7</f>
        <v>166167.29300000001</v>
      </c>
      <c r="F35" s="2213"/>
      <c r="G35" s="2213"/>
      <c r="H35" s="2213"/>
      <c r="I35" s="2213"/>
      <c r="J35" s="2213"/>
      <c r="K35" s="4"/>
      <c r="M35" s="19"/>
      <c r="N35" s="170"/>
      <c r="O35" s="2213"/>
      <c r="Q35" s="1332"/>
      <c r="R35" s="1290"/>
      <c r="S35" s="1290"/>
      <c r="T35" s="170"/>
    </row>
    <row r="36" spans="1:25" s="201" customFormat="1" ht="50.25" customHeight="1" thickBot="1">
      <c r="A36" s="2033" t="s">
        <v>364</v>
      </c>
      <c r="B36" s="4"/>
      <c r="C36" s="4"/>
      <c r="D36" s="2086"/>
      <c r="E36" s="231"/>
      <c r="F36" s="171"/>
      <c r="G36" s="172"/>
      <c r="H36" s="216"/>
      <c r="I36" s="67"/>
      <c r="J36" s="4"/>
      <c r="K36" s="4"/>
      <c r="L36" s="1270" t="str">
        <f>"Kontroller av förändring mellan "&amp;År-1&amp;" och "&amp;År&amp;""</f>
        <v>Kontroller av förändring mellan 2019 och 2020</v>
      </c>
      <c r="O36" s="2213"/>
      <c r="Q36" s="170"/>
      <c r="R36" s="170"/>
      <c r="S36" s="170"/>
      <c r="T36" s="170"/>
    </row>
    <row r="37" spans="1:25" s="201" customFormat="1" ht="12.75">
      <c r="A37" s="603" t="s">
        <v>626</v>
      </c>
      <c r="B37" s="2068" t="s">
        <v>1184</v>
      </c>
      <c r="C37" s="788"/>
      <c r="D37" s="784"/>
      <c r="E37" s="231"/>
      <c r="F37" s="75" t="s">
        <v>758</v>
      </c>
      <c r="G37" s="207"/>
      <c r="H37" s="208"/>
      <c r="I37" s="218"/>
      <c r="J37" s="181"/>
      <c r="K37" s="181"/>
      <c r="L37" s="798" t="s">
        <v>626</v>
      </c>
      <c r="M37" s="799" t="s">
        <v>1220</v>
      </c>
      <c r="N37" s="2247" t="s">
        <v>759</v>
      </c>
      <c r="O37" s="2213"/>
      <c r="P37" s="1329"/>
      <c r="Q37" s="89"/>
      <c r="R37" s="1333"/>
      <c r="S37" s="89"/>
      <c r="T37" s="1269"/>
      <c r="U37" s="200"/>
      <c r="V37" s="200"/>
      <c r="W37" s="200"/>
      <c r="X37" s="200"/>
      <c r="Y37" s="200"/>
    </row>
    <row r="38" spans="1:25" s="200" customFormat="1" ht="12.75">
      <c r="A38" s="789" t="s">
        <v>629</v>
      </c>
      <c r="B38" s="2488"/>
      <c r="C38" s="791"/>
      <c r="D38" s="785"/>
      <c r="E38" s="231"/>
      <c r="F38" s="209"/>
      <c r="G38" s="7"/>
      <c r="H38" s="2044"/>
      <c r="I38" s="216"/>
      <c r="J38" s="181"/>
      <c r="K38" s="181"/>
      <c r="L38" s="800" t="s">
        <v>629</v>
      </c>
      <c r="M38" s="801">
        <f>År-1</f>
        <v>2019</v>
      </c>
      <c r="N38" s="2248" t="str">
        <f>År-1&amp;-År</f>
        <v>2019-2020</v>
      </c>
      <c r="O38" s="2213"/>
      <c r="P38" s="1329"/>
      <c r="Q38" s="261"/>
      <c r="R38" s="1342"/>
      <c r="S38" s="1305"/>
      <c r="T38" s="1538"/>
    </row>
    <row r="39" spans="1:25" s="200" customFormat="1" ht="18.75" customHeight="1" thickBot="1">
      <c r="A39" s="792"/>
      <c r="B39" s="2489"/>
      <c r="C39" s="598"/>
      <c r="D39" s="794"/>
      <c r="E39" s="231"/>
      <c r="F39" s="2045"/>
      <c r="G39" s="2045"/>
      <c r="H39" s="2046"/>
      <c r="I39" s="2047"/>
      <c r="J39" s="1253"/>
      <c r="K39" s="4"/>
      <c r="L39" s="802"/>
      <c r="M39" s="803"/>
      <c r="N39" s="2248" t="s">
        <v>760</v>
      </c>
      <c r="O39" s="2213"/>
      <c r="P39" s="1329"/>
      <c r="Q39" s="145"/>
      <c r="R39" s="1545"/>
      <c r="S39" s="1546"/>
      <c r="T39" s="1332"/>
      <c r="U39" s="201"/>
      <c r="V39" s="201"/>
      <c r="W39" s="201"/>
      <c r="X39" s="201"/>
      <c r="Y39" s="201"/>
    </row>
    <row r="40" spans="1:25" s="201" customFormat="1" ht="18" customHeight="1" thickBot="1">
      <c r="A40" s="795">
        <v>600</v>
      </c>
      <c r="B40" s="796">
        <v>451</v>
      </c>
      <c r="C40" s="797" t="s">
        <v>705</v>
      </c>
      <c r="D40" s="194">
        <v>13272.165000000001</v>
      </c>
      <c r="E40" s="231"/>
      <c r="F40" s="707">
        <v>602</v>
      </c>
      <c r="G40" s="708">
        <v>4513</v>
      </c>
      <c r="H40" s="709" t="s">
        <v>154</v>
      </c>
      <c r="I40" s="2009">
        <v>133.14699999999999</v>
      </c>
      <c r="J40" s="142"/>
      <c r="K40" s="142"/>
      <c r="L40" s="1235"/>
      <c r="M40" s="1231"/>
      <c r="N40" s="2239"/>
      <c r="O40" s="2213"/>
      <c r="P40" s="1327"/>
      <c r="Q40" s="1332"/>
      <c r="R40" s="1341"/>
      <c r="S40" s="1341"/>
      <c r="T40" s="1332"/>
    </row>
    <row r="41" spans="1:25" s="201" customFormat="1" ht="12.75">
      <c r="A41" s="563">
        <v>610</v>
      </c>
      <c r="B41" s="564">
        <v>452</v>
      </c>
      <c r="C41" s="557" t="s">
        <v>706</v>
      </c>
      <c r="D41" s="99">
        <v>948.32100000000003</v>
      </c>
      <c r="E41" s="231"/>
      <c r="F41" s="804">
        <v>630</v>
      </c>
      <c r="G41" s="805">
        <v>4538</v>
      </c>
      <c r="H41" s="1340" t="s">
        <v>824</v>
      </c>
      <c r="I41" s="2225">
        <v>4423.2529999999997</v>
      </c>
      <c r="J41" s="293"/>
      <c r="K41" s="293"/>
      <c r="L41" s="795"/>
      <c r="M41" s="771"/>
      <c r="N41" s="2240"/>
      <c r="O41" s="2213"/>
      <c r="P41" s="1327"/>
      <c r="Q41" s="1332"/>
      <c r="R41" s="1341"/>
      <c r="S41" s="1341"/>
      <c r="T41" s="1332"/>
    </row>
    <row r="42" spans="1:25" s="201" customFormat="1" ht="18" customHeight="1" thickBot="1">
      <c r="A42" s="563">
        <v>620</v>
      </c>
      <c r="B42" s="561">
        <v>453</v>
      </c>
      <c r="C42" s="562" t="s">
        <v>778</v>
      </c>
      <c r="D42" s="178">
        <v>14574.732</v>
      </c>
      <c r="E42" s="231"/>
      <c r="F42" s="580">
        <v>631</v>
      </c>
      <c r="G42" s="1812" t="s">
        <v>1044</v>
      </c>
      <c r="H42" s="2066" t="s">
        <v>1048</v>
      </c>
      <c r="I42" s="229">
        <v>809.61900000000003</v>
      </c>
      <c r="J42" s="142"/>
      <c r="K42" s="142"/>
      <c r="L42" s="556"/>
      <c r="M42" s="786"/>
      <c r="N42" s="2241"/>
      <c r="O42" s="2213"/>
      <c r="P42" s="1327"/>
      <c r="Q42" s="1332"/>
      <c r="R42" s="1341"/>
      <c r="S42" s="1341"/>
      <c r="T42" s="1332"/>
    </row>
    <row r="43" spans="1:25" s="201" customFormat="1" ht="20.25" customHeight="1">
      <c r="A43" s="671">
        <v>650</v>
      </c>
      <c r="B43" s="561">
        <v>454</v>
      </c>
      <c r="C43" s="562" t="s">
        <v>952</v>
      </c>
      <c r="D43" s="178">
        <v>614.78700000000003</v>
      </c>
      <c r="E43" s="231"/>
      <c r="F43" s="1426" t="s">
        <v>830</v>
      </c>
      <c r="G43" s="1427" t="s">
        <v>773</v>
      </c>
      <c r="H43" s="1340" t="s">
        <v>953</v>
      </c>
      <c r="I43" s="1280">
        <v>378.58300000000003</v>
      </c>
      <c r="J43" s="142"/>
      <c r="K43" s="142"/>
      <c r="L43" s="795"/>
      <c r="M43" s="771"/>
      <c r="N43" s="2240"/>
      <c r="O43" s="2213"/>
      <c r="P43" s="1327"/>
      <c r="Q43" s="1332"/>
      <c r="R43" s="1341"/>
      <c r="S43" s="1341"/>
      <c r="T43" s="1332"/>
    </row>
    <row r="44" spans="1:25" s="201" customFormat="1" ht="13.5" thickBot="1">
      <c r="A44" s="551">
        <v>690</v>
      </c>
      <c r="B44" s="566"/>
      <c r="C44" s="540" t="s">
        <v>779</v>
      </c>
      <c r="D44" s="358">
        <f>SUM(D40,D41,D42,D43)</f>
        <v>29410.005000000001</v>
      </c>
      <c r="E44" s="231"/>
      <c r="F44" s="1428">
        <v>652</v>
      </c>
      <c r="G44" s="1429">
        <v>4542</v>
      </c>
      <c r="H44" s="1351" t="s">
        <v>954</v>
      </c>
      <c r="I44" s="1281">
        <v>236.20500000000001</v>
      </c>
      <c r="J44" s="142"/>
      <c r="L44" s="565">
        <v>690</v>
      </c>
      <c r="M44" s="1224">
        <v>28625.046999999999</v>
      </c>
      <c r="N44" s="2242">
        <f>IF(ISERROR((D44-M44)/M44),0,((D44-M44)/M44))</f>
        <v>2.7422068512236938E-2</v>
      </c>
      <c r="O44" s="2213"/>
      <c r="P44" s="1331"/>
      <c r="Q44" s="1332"/>
      <c r="R44" s="1333"/>
      <c r="S44" s="1341"/>
      <c r="T44" s="1332"/>
      <c r="V44" s="1326"/>
    </row>
    <row r="45" spans="1:25" s="201" customFormat="1" ht="23.25" customHeight="1">
      <c r="A45" s="567">
        <v>100</v>
      </c>
      <c r="B45" s="1422" t="s">
        <v>1165</v>
      </c>
      <c r="C45" s="569" t="s">
        <v>707</v>
      </c>
      <c r="D45" s="99">
        <v>290092.81800000003</v>
      </c>
      <c r="E45" s="231"/>
      <c r="F45" s="1282">
        <v>102</v>
      </c>
      <c r="G45" s="1283">
        <v>512</v>
      </c>
      <c r="H45" s="1284" t="s">
        <v>155</v>
      </c>
      <c r="I45" s="1285">
        <v>8275.5480000000007</v>
      </c>
      <c r="J45" s="142"/>
      <c r="K45" s="142"/>
      <c r="L45" s="776">
        <v>100</v>
      </c>
      <c r="M45" s="1223">
        <v>285013.20199999999</v>
      </c>
      <c r="N45" s="2241">
        <f>IF(ISERROR((D45-M45)/M45),0,((D45-M45)/M45))</f>
        <v>1.7822388452027001E-2</v>
      </c>
      <c r="O45" s="2213"/>
      <c r="P45" s="1327"/>
      <c r="Q45" s="1290"/>
      <c r="R45" s="2063"/>
      <c r="S45" s="1546"/>
      <c r="T45" s="1332"/>
    </row>
    <row r="46" spans="1:25" s="201" customFormat="1" ht="21" customHeight="1">
      <c r="A46" s="554">
        <v>110</v>
      </c>
      <c r="B46" s="2091" t="s">
        <v>1166</v>
      </c>
      <c r="C46" s="555" t="str">
        <f>"Sociala avg. enl. lag o. avtal (inkl. lönesk för "&amp;År&amp;"), exkl särskild löneskatt på avsättning pensioner"</f>
        <v>Sociala avg. enl. lag o. avtal (inkl. lönesk för 2020), exkl särskild löneskatt på avsättning pensioner</v>
      </c>
      <c r="D46" s="308">
        <v>96139.991999999998</v>
      </c>
      <c r="E46" s="231"/>
      <c r="F46" s="582">
        <v>111</v>
      </c>
      <c r="G46" s="1266" t="s">
        <v>766</v>
      </c>
      <c r="H46" s="583" t="s">
        <v>776</v>
      </c>
      <c r="I46" s="291">
        <v>6493.01</v>
      </c>
      <c r="J46" s="142"/>
      <c r="K46" s="142"/>
      <c r="L46" s="1233"/>
      <c r="M46" s="1071"/>
      <c r="N46" s="2240"/>
      <c r="O46" s="2213"/>
      <c r="P46" s="1327"/>
      <c r="Q46" s="1290"/>
      <c r="R46" s="2094"/>
      <c r="S46" s="1546"/>
      <c r="T46" s="1332"/>
    </row>
    <row r="47" spans="1:25" s="201" customFormat="1" ht="13.5" customHeight="1">
      <c r="A47" s="2155">
        <v>103</v>
      </c>
      <c r="B47" s="2095">
        <v>591</v>
      </c>
      <c r="C47" s="557" t="s">
        <v>1168</v>
      </c>
      <c r="D47" s="99">
        <v>-1272.0930000000001</v>
      </c>
      <c r="E47" s="231"/>
      <c r="F47" s="2097"/>
      <c r="G47" s="2098"/>
      <c r="H47" s="2099"/>
      <c r="I47" s="2132"/>
      <c r="J47" s="142"/>
      <c r="K47" s="142"/>
      <c r="L47" s="1233"/>
      <c r="M47" s="1071"/>
      <c r="N47" s="2240"/>
      <c r="O47" s="2213"/>
      <c r="P47" s="1327"/>
      <c r="Q47" s="1290"/>
      <c r="R47" s="2094"/>
      <c r="S47" s="1546"/>
      <c r="T47" s="1332"/>
    </row>
    <row r="48" spans="1:25" s="201" customFormat="1" ht="18.75" customHeight="1">
      <c r="A48" s="556">
        <v>115</v>
      </c>
      <c r="B48" s="2092" t="s">
        <v>1167</v>
      </c>
      <c r="C48" s="557" t="s">
        <v>1107</v>
      </c>
      <c r="D48" s="99">
        <v>3144.5859999999998</v>
      </c>
      <c r="E48" s="231"/>
      <c r="F48" s="2100"/>
      <c r="G48" s="2101"/>
      <c r="H48" s="2102"/>
      <c r="I48" s="2096"/>
      <c r="J48" s="142"/>
      <c r="L48" s="556">
        <v>115</v>
      </c>
      <c r="M48" s="1223">
        <v>3463.8209999999999</v>
      </c>
      <c r="N48" s="2241">
        <f>IF(ISERROR((D48-M48)/M48),0,((D48-M48)/M48))</f>
        <v>-9.2162672378278243E-2</v>
      </c>
      <c r="O48" s="2213"/>
      <c r="P48" s="1327"/>
      <c r="Q48" s="1332"/>
      <c r="R48" s="1332"/>
      <c r="S48" s="1332"/>
      <c r="T48" s="1332"/>
    </row>
    <row r="49" spans="1:20" s="201" customFormat="1" ht="13.5" customHeight="1">
      <c r="A49" s="558">
        <v>120</v>
      </c>
      <c r="B49" s="559">
        <v>573</v>
      </c>
      <c r="C49" s="557" t="s">
        <v>946</v>
      </c>
      <c r="D49" s="224">
        <v>10367.753000000001</v>
      </c>
      <c r="E49" s="231"/>
      <c r="F49" s="707">
        <v>121</v>
      </c>
      <c r="G49" s="708" t="s">
        <v>556</v>
      </c>
      <c r="H49" s="761" t="s">
        <v>814</v>
      </c>
      <c r="I49" s="289">
        <v>1257.348</v>
      </c>
      <c r="J49" s="1253"/>
      <c r="L49" s="554">
        <v>120</v>
      </c>
      <c r="M49" s="1217">
        <v>10149.004999999999</v>
      </c>
      <c r="N49" s="2245">
        <f>IF(ISERROR((D49-M49)/M49),0,((D49-M49)/M49))</f>
        <v>2.155363998736836E-2</v>
      </c>
      <c r="O49" s="2213"/>
      <c r="P49" s="1330"/>
      <c r="Q49" s="1332"/>
      <c r="R49" s="1341"/>
      <c r="S49" s="1341"/>
      <c r="T49" s="1332"/>
    </row>
    <row r="50" spans="1:20" s="201" customFormat="1" ht="12.75">
      <c r="A50" s="558">
        <v>180</v>
      </c>
      <c r="B50" s="561">
        <v>571</v>
      </c>
      <c r="C50" s="557" t="s">
        <v>780</v>
      </c>
      <c r="D50" s="178">
        <v>2663.73</v>
      </c>
      <c r="E50" s="231"/>
      <c r="F50" s="710">
        <v>122</v>
      </c>
      <c r="G50" s="672" t="s">
        <v>557</v>
      </c>
      <c r="H50" s="763" t="s">
        <v>815</v>
      </c>
      <c r="I50" s="290">
        <v>8883.0990000000002</v>
      </c>
      <c r="J50" s="2014"/>
      <c r="K50" s="4"/>
      <c r="L50" s="558"/>
      <c r="M50" s="1080"/>
      <c r="N50" s="2243"/>
      <c r="O50" s="2213"/>
      <c r="P50" s="1327"/>
      <c r="Q50" s="1332"/>
      <c r="R50" s="1341"/>
      <c r="S50" s="1341"/>
      <c r="T50" s="1332"/>
    </row>
    <row r="51" spans="1:20" s="201" customFormat="1" ht="12.75">
      <c r="A51" s="563">
        <v>186</v>
      </c>
      <c r="B51" s="564">
        <v>574</v>
      </c>
      <c r="C51" s="557" t="s">
        <v>5</v>
      </c>
      <c r="D51" s="99">
        <v>98.478999999999999</v>
      </c>
      <c r="E51" s="231"/>
      <c r="F51" s="712">
        <v>123</v>
      </c>
      <c r="G51" s="808">
        <v>5733</v>
      </c>
      <c r="H51" s="581" t="s">
        <v>816</v>
      </c>
      <c r="I51" s="291">
        <v>195.76900000000001</v>
      </c>
      <c r="J51" s="2014"/>
      <c r="K51" s="157"/>
      <c r="L51" s="795"/>
      <c r="M51" s="1071"/>
      <c r="N51" s="2240"/>
      <c r="O51" s="2213"/>
      <c r="P51" s="1327"/>
      <c r="Q51" s="1332"/>
      <c r="R51" s="1341"/>
      <c r="S51" s="1341"/>
      <c r="T51" s="1332"/>
    </row>
    <row r="52" spans="1:20" s="201" customFormat="1" ht="12.75">
      <c r="A52" s="563">
        <v>185</v>
      </c>
      <c r="B52" s="561">
        <v>575</v>
      </c>
      <c r="C52" s="562" t="str">
        <f>"Pensionskostnad, avgiftsbestämd ålderspension"</f>
        <v>Pensionskostnad, avgiftsbestämd ålderspension</v>
      </c>
      <c r="D52" s="178">
        <v>13851.1</v>
      </c>
      <c r="E52" s="1984"/>
      <c r="F52" s="4"/>
      <c r="G52" s="4"/>
      <c r="H52" s="67"/>
      <c r="K52" s="4"/>
      <c r="L52" s="795"/>
      <c r="M52" s="1071"/>
      <c r="N52" s="2240"/>
      <c r="O52" s="2213"/>
      <c r="P52" s="1327"/>
      <c r="Q52" s="1332"/>
      <c r="R52" s="1341"/>
      <c r="S52" s="1341"/>
      <c r="T52" s="170"/>
    </row>
    <row r="53" spans="1:20" s="201" customFormat="1" ht="13.5" thickBot="1">
      <c r="A53" s="565">
        <v>189</v>
      </c>
      <c r="B53" s="566"/>
      <c r="C53" s="540" t="s">
        <v>708</v>
      </c>
      <c r="D53" s="358">
        <f>SUM(D45:D52)</f>
        <v>415086.36500000005</v>
      </c>
      <c r="E53" s="231"/>
      <c r="F53" s="4"/>
      <c r="G53" s="4"/>
      <c r="H53" s="67"/>
      <c r="I53" s="67"/>
      <c r="L53" s="565"/>
      <c r="M53" s="1224"/>
      <c r="N53" s="2242"/>
      <c r="O53" s="2213"/>
      <c r="P53" s="1331"/>
      <c r="Q53" s="1332"/>
      <c r="R53" s="1333"/>
      <c r="S53" s="1333"/>
      <c r="T53" s="170"/>
    </row>
    <row r="54" spans="1:20" s="201" customFormat="1" ht="12.75">
      <c r="A54" s="567">
        <v>300</v>
      </c>
      <c r="B54" s="564" t="s">
        <v>810</v>
      </c>
      <c r="C54" s="557" t="s">
        <v>809</v>
      </c>
      <c r="D54" s="99">
        <v>8849.482</v>
      </c>
      <c r="E54" s="231"/>
      <c r="F54" s="704">
        <v>318</v>
      </c>
      <c r="G54" s="806">
        <v>628</v>
      </c>
      <c r="H54" s="807" t="s">
        <v>156</v>
      </c>
      <c r="I54" s="228">
        <v>553.07600000000002</v>
      </c>
      <c r="J54" s="142"/>
      <c r="K54" s="142"/>
      <c r="L54" s="1235"/>
      <c r="M54" s="1256"/>
      <c r="N54" s="2239"/>
      <c r="O54" s="2213"/>
      <c r="P54" s="1327"/>
      <c r="Q54" s="1290"/>
      <c r="R54" s="1358"/>
      <c r="S54" s="1341"/>
      <c r="T54" s="1332"/>
    </row>
    <row r="55" spans="1:20" s="201" customFormat="1" ht="12.75">
      <c r="A55" s="563">
        <v>325</v>
      </c>
      <c r="B55" s="564">
        <v>644</v>
      </c>
      <c r="C55" s="557" t="s">
        <v>709</v>
      </c>
      <c r="D55" s="99">
        <v>7073.8119999999999</v>
      </c>
      <c r="E55" s="231"/>
      <c r="F55" s="4"/>
      <c r="G55" s="4"/>
      <c r="H55" s="67"/>
      <c r="K55" s="4"/>
      <c r="L55" s="795"/>
      <c r="M55" s="1071"/>
      <c r="N55" s="2240"/>
      <c r="O55" s="2213"/>
      <c r="P55" s="1327"/>
      <c r="Q55" s="1332"/>
      <c r="R55" s="1341"/>
      <c r="S55" s="1341"/>
      <c r="T55" s="170"/>
    </row>
    <row r="56" spans="1:20" s="201" customFormat="1" ht="12.75">
      <c r="A56" s="563">
        <v>330</v>
      </c>
      <c r="B56" s="564">
        <v>651</v>
      </c>
      <c r="C56" s="557" t="s">
        <v>710</v>
      </c>
      <c r="D56" s="99">
        <v>330.75400000000002</v>
      </c>
      <c r="E56" s="231"/>
      <c r="F56" s="4"/>
      <c r="G56" s="4"/>
      <c r="H56" s="67"/>
      <c r="I56" s="67"/>
      <c r="L56" s="795"/>
      <c r="M56" s="1071"/>
      <c r="N56" s="2240"/>
      <c r="O56" s="2213"/>
      <c r="P56" s="1327"/>
      <c r="Q56" s="1332"/>
      <c r="R56" s="1341"/>
      <c r="S56" s="1341"/>
      <c r="T56" s="170"/>
    </row>
    <row r="57" spans="1:20" s="201" customFormat="1" ht="12.75">
      <c r="A57" s="563">
        <v>340</v>
      </c>
      <c r="B57" s="568" t="s">
        <v>684</v>
      </c>
      <c r="C57" s="569" t="s">
        <v>711</v>
      </c>
      <c r="D57" s="99">
        <v>20563.150000000001</v>
      </c>
      <c r="E57" s="231"/>
      <c r="F57" s="1419" t="s">
        <v>829</v>
      </c>
      <c r="G57" s="1684">
        <v>641</v>
      </c>
      <c r="H57" s="1685" t="s">
        <v>787</v>
      </c>
      <c r="I57" s="1686">
        <v>3562.2829999999999</v>
      </c>
      <c r="J57" s="142"/>
      <c r="K57" s="4"/>
      <c r="L57" s="556"/>
      <c r="M57" s="1223"/>
      <c r="N57" s="2241"/>
      <c r="O57" s="2213"/>
      <c r="P57" s="1327"/>
      <c r="Q57" s="1332"/>
      <c r="R57" s="1358"/>
      <c r="S57" s="1341"/>
      <c r="T57" s="1358"/>
    </row>
    <row r="58" spans="1:20" s="201" customFormat="1" ht="13.5" thickBot="1">
      <c r="A58" s="565">
        <v>360</v>
      </c>
      <c r="B58" s="570"/>
      <c r="C58" s="571" t="s">
        <v>712</v>
      </c>
      <c r="D58" s="358">
        <f>SUM(D54,D55,D56,D57)</f>
        <v>36817.198000000004</v>
      </c>
      <c r="E58" s="231"/>
      <c r="F58" s="1421" t="s">
        <v>988</v>
      </c>
      <c r="G58" s="2258">
        <v>418</v>
      </c>
      <c r="H58" s="1687" t="s">
        <v>989</v>
      </c>
      <c r="I58" s="1315">
        <v>1652.0609999999999</v>
      </c>
      <c r="J58" s="142"/>
      <c r="K58" s="4"/>
      <c r="L58" s="565">
        <v>360</v>
      </c>
      <c r="M58" s="1224">
        <v>34884.891000000003</v>
      </c>
      <c r="N58" s="2242">
        <f>IF(ISERROR((D58-M58)/M58),0,((D58-M58)/M58))</f>
        <v>5.5390942743665177E-2</v>
      </c>
      <c r="O58" s="2213"/>
      <c r="P58" s="1331"/>
      <c r="Q58" s="1332"/>
      <c r="R58" s="17"/>
      <c r="S58" s="1341"/>
      <c r="T58" s="1358"/>
    </row>
    <row r="59" spans="1:20" s="201" customFormat="1" ht="12.75" customHeight="1">
      <c r="A59" s="563">
        <v>345</v>
      </c>
      <c r="B59" s="564" t="s">
        <v>821</v>
      </c>
      <c r="C59" s="557" t="s">
        <v>1123</v>
      </c>
      <c r="D59" s="99">
        <v>8162.0709999999999</v>
      </c>
      <c r="E59" s="231"/>
      <c r="F59" s="4"/>
      <c r="G59" s="4"/>
      <c r="H59" s="67"/>
      <c r="I59" s="67"/>
      <c r="K59" s="4"/>
      <c r="L59" s="1235"/>
      <c r="M59" s="1256"/>
      <c r="N59" s="2239"/>
      <c r="O59" s="2213"/>
      <c r="P59" s="1327"/>
      <c r="Q59" s="1332"/>
      <c r="R59" s="1341"/>
      <c r="S59" s="1341"/>
      <c r="T59" s="170"/>
    </row>
    <row r="60" spans="1:20" s="201" customFormat="1" ht="12.75">
      <c r="A60" s="563">
        <v>401</v>
      </c>
      <c r="B60" s="564">
        <v>46</v>
      </c>
      <c r="C60" s="557" t="s">
        <v>781</v>
      </c>
      <c r="D60" s="99">
        <v>138097.58300000001</v>
      </c>
      <c r="E60" s="231"/>
      <c r="F60" s="4"/>
      <c r="G60" s="4"/>
      <c r="H60" s="67"/>
      <c r="I60" s="67"/>
      <c r="K60" s="4"/>
      <c r="L60" s="554">
        <v>401</v>
      </c>
      <c r="M60" s="1217">
        <v>136953.14000000001</v>
      </c>
      <c r="N60" s="2245">
        <f>IF(ISERROR((D60-M60)/M60),0,((D60-M60)/M60))</f>
        <v>8.3564568143526981E-3</v>
      </c>
      <c r="O60" s="2213"/>
      <c r="P60" s="1327"/>
      <c r="Q60" s="1332"/>
      <c r="R60" s="1341"/>
      <c r="S60" s="1341"/>
      <c r="T60" s="170"/>
    </row>
    <row r="61" spans="1:20" s="201" customFormat="1" ht="12.75">
      <c r="A61" s="563">
        <v>410</v>
      </c>
      <c r="B61" s="564">
        <v>74</v>
      </c>
      <c r="C61" s="557" t="s">
        <v>812</v>
      </c>
      <c r="D61" s="99">
        <v>21172.941999999999</v>
      </c>
      <c r="E61" s="231"/>
      <c r="F61" s="4"/>
      <c r="G61" s="4"/>
      <c r="H61" s="67"/>
      <c r="I61" s="67"/>
      <c r="K61" s="4"/>
      <c r="L61" s="795"/>
      <c r="M61" s="1071"/>
      <c r="N61" s="2240"/>
      <c r="O61" s="2213"/>
      <c r="P61" s="1327"/>
      <c r="Q61" s="1332"/>
      <c r="R61" s="1538"/>
      <c r="S61" s="1341"/>
      <c r="T61" s="170"/>
    </row>
    <row r="62" spans="1:20" s="201" customFormat="1" ht="17.25" customHeight="1">
      <c r="A62" s="563">
        <v>411</v>
      </c>
      <c r="B62" s="564">
        <v>75</v>
      </c>
      <c r="C62" s="557" t="s">
        <v>1126</v>
      </c>
      <c r="D62" s="99">
        <v>1925.9739999999999</v>
      </c>
      <c r="E62" s="231"/>
      <c r="F62" s="4"/>
      <c r="G62" s="4"/>
      <c r="H62" s="67"/>
      <c r="I62" s="67"/>
      <c r="K62" s="4"/>
      <c r="L62" s="795"/>
      <c r="M62" s="1071"/>
      <c r="N62" s="2240"/>
      <c r="O62" s="2213"/>
      <c r="P62" s="1327"/>
      <c r="Q62" s="1332"/>
      <c r="R62" s="1341"/>
      <c r="S62" s="1341"/>
      <c r="T62" s="170"/>
    </row>
    <row r="63" spans="1:20" s="201" customFormat="1" ht="12.75">
      <c r="A63" s="563">
        <v>415</v>
      </c>
      <c r="B63" s="564" t="s">
        <v>822</v>
      </c>
      <c r="C63" s="557" t="s">
        <v>1178</v>
      </c>
      <c r="D63" s="99">
        <v>4289.3630000000003</v>
      </c>
      <c r="E63" s="231"/>
      <c r="F63" s="4"/>
      <c r="G63" s="4"/>
      <c r="H63" s="67"/>
      <c r="I63" s="67"/>
      <c r="K63" s="4"/>
      <c r="L63" s="795"/>
      <c r="M63" s="1071"/>
      <c r="N63" s="2240"/>
      <c r="O63" s="2213"/>
      <c r="P63" s="1327"/>
      <c r="Q63" s="1332"/>
      <c r="R63" s="1358"/>
      <c r="S63" s="1341"/>
      <c r="T63" s="170"/>
    </row>
    <row r="64" spans="1:20" s="201" customFormat="1" ht="12.75">
      <c r="A64" s="563">
        <v>416</v>
      </c>
      <c r="B64" s="568">
        <v>68</v>
      </c>
      <c r="C64" s="557" t="s">
        <v>713</v>
      </c>
      <c r="D64" s="99">
        <v>2229.799</v>
      </c>
      <c r="E64" s="231"/>
      <c r="F64" s="4"/>
      <c r="G64" s="4"/>
      <c r="H64" s="67"/>
      <c r="I64" s="67"/>
      <c r="K64" s="4"/>
      <c r="L64" s="795"/>
      <c r="M64" s="1071"/>
      <c r="N64" s="2240"/>
      <c r="O64" s="2213"/>
      <c r="P64" s="1327"/>
      <c r="Q64" s="1332"/>
      <c r="R64" s="1358"/>
      <c r="S64" s="1358"/>
      <c r="T64" s="170"/>
    </row>
    <row r="65" spans="1:25" s="201" customFormat="1" ht="12.75">
      <c r="A65" s="563">
        <v>430</v>
      </c>
      <c r="B65" s="568">
        <v>66</v>
      </c>
      <c r="C65" s="557" t="s">
        <v>782</v>
      </c>
      <c r="D65" s="99">
        <v>1800.338</v>
      </c>
      <c r="E65" s="231"/>
      <c r="F65" s="4"/>
      <c r="G65" s="4"/>
      <c r="H65" s="67"/>
      <c r="I65" s="67"/>
      <c r="K65" s="4"/>
      <c r="L65" s="795"/>
      <c r="M65" s="1071"/>
      <c r="N65" s="2240"/>
      <c r="O65" s="2213"/>
      <c r="P65" s="1327"/>
      <c r="Q65" s="1332"/>
      <c r="R65" s="1358"/>
      <c r="S65" s="1358"/>
      <c r="T65" s="170"/>
    </row>
    <row r="66" spans="1:25" s="201" customFormat="1" ht="12.75">
      <c r="A66" s="563">
        <v>440</v>
      </c>
      <c r="B66" s="568">
        <v>701</v>
      </c>
      <c r="C66" s="557" t="s">
        <v>1124</v>
      </c>
      <c r="D66" s="99">
        <v>6958.7179999999998</v>
      </c>
      <c r="E66" s="231"/>
      <c r="F66" s="4"/>
      <c r="G66" s="4"/>
      <c r="H66" s="67"/>
      <c r="I66" s="67"/>
      <c r="K66" s="4"/>
      <c r="L66" s="556"/>
      <c r="M66" s="1223"/>
      <c r="N66" s="2241"/>
      <c r="O66" s="2213"/>
      <c r="P66" s="1327"/>
      <c r="Q66" s="1332"/>
      <c r="R66" s="1341"/>
      <c r="S66" s="1358"/>
      <c r="T66" s="170"/>
    </row>
    <row r="67" spans="1:25" s="201" customFormat="1" ht="12.75">
      <c r="A67" s="563">
        <v>450</v>
      </c>
      <c r="B67" s="568">
        <v>601</v>
      </c>
      <c r="C67" s="557" t="s">
        <v>1125</v>
      </c>
      <c r="D67" s="99">
        <v>36006.241999999998</v>
      </c>
      <c r="E67" s="231"/>
      <c r="F67" s="4"/>
      <c r="G67" s="4"/>
      <c r="H67" s="67"/>
      <c r="I67" s="67"/>
      <c r="K67" s="4"/>
      <c r="L67" s="554">
        <v>450</v>
      </c>
      <c r="M67" s="1217">
        <v>35295.563999999998</v>
      </c>
      <c r="N67" s="2245">
        <f>IF(ISERROR((D67-M67)/M67),0,((D67-M67)/M67))</f>
        <v>2.0135051532254873E-2</v>
      </c>
      <c r="O67" s="2213"/>
      <c r="P67" s="1327"/>
      <c r="Q67" s="1332"/>
      <c r="R67" s="1358"/>
      <c r="S67" s="1358"/>
      <c r="T67" s="170"/>
    </row>
    <row r="68" spans="1:25" s="201" customFormat="1" ht="18.75">
      <c r="A68" s="563">
        <v>460</v>
      </c>
      <c r="B68" s="568">
        <v>602</v>
      </c>
      <c r="C68" s="569" t="s">
        <v>714</v>
      </c>
      <c r="D68" s="99">
        <v>85.966999999999999</v>
      </c>
      <c r="E68" s="231"/>
      <c r="F68" s="1723">
        <v>469</v>
      </c>
      <c r="G68" s="1724" t="s">
        <v>956</v>
      </c>
      <c r="H68" s="1550" t="s">
        <v>1079</v>
      </c>
      <c r="I68" s="1548">
        <v>2536.7649999999999</v>
      </c>
      <c r="K68" s="4"/>
      <c r="L68" s="558"/>
      <c r="M68" s="1080"/>
      <c r="N68" s="2243"/>
      <c r="O68" s="2213"/>
      <c r="P68" s="1327"/>
      <c r="Q68" s="1332"/>
      <c r="R68" s="1358"/>
      <c r="S68" s="1358"/>
      <c r="T68" s="1332"/>
    </row>
    <row r="69" spans="1:25" s="201" customFormat="1" ht="20.25" customHeight="1">
      <c r="A69" s="563">
        <v>470</v>
      </c>
      <c r="B69" s="1422" t="s">
        <v>1128</v>
      </c>
      <c r="C69" s="594" t="s">
        <v>1129</v>
      </c>
      <c r="D69" s="225">
        <v>7448.7889999999998</v>
      </c>
      <c r="E69" s="231"/>
      <c r="F69" s="710">
        <v>472</v>
      </c>
      <c r="G69" s="711">
        <v>731</v>
      </c>
      <c r="H69" s="2069" t="s">
        <v>1127</v>
      </c>
      <c r="I69" s="1549">
        <v>1200.5889999999999</v>
      </c>
      <c r="K69" s="4"/>
      <c r="L69" s="795"/>
      <c r="M69" s="1071"/>
      <c r="N69" s="2240"/>
      <c r="O69" s="2213"/>
      <c r="P69" s="1327"/>
      <c r="Q69" s="1332"/>
      <c r="R69" s="1341"/>
      <c r="S69" s="1341"/>
      <c r="T69" s="1332"/>
    </row>
    <row r="70" spans="1:25" s="201" customFormat="1" ht="18.75" customHeight="1">
      <c r="A70" s="563">
        <v>471</v>
      </c>
      <c r="B70" s="564" t="s">
        <v>685</v>
      </c>
      <c r="C70" s="557" t="s">
        <v>715</v>
      </c>
      <c r="D70" s="100">
        <v>11463.255999999999</v>
      </c>
      <c r="E70" s="231"/>
      <c r="F70" s="710">
        <v>474</v>
      </c>
      <c r="G70" s="672">
        <v>732</v>
      </c>
      <c r="H70" s="763" t="s">
        <v>1080</v>
      </c>
      <c r="I70" s="290">
        <v>95.156000000000006</v>
      </c>
      <c r="K70" s="4"/>
      <c r="L70" s="556"/>
      <c r="M70" s="1223"/>
      <c r="N70" s="2241"/>
      <c r="O70" s="2213"/>
      <c r="P70" s="1327"/>
      <c r="Q70" s="1332"/>
      <c r="R70" s="1341"/>
      <c r="S70" s="1341"/>
      <c r="T70" s="1332"/>
    </row>
    <row r="71" spans="1:25" s="201" customFormat="1" ht="18.75" thickBot="1">
      <c r="A71" s="572">
        <v>479</v>
      </c>
      <c r="B71" s="573"/>
      <c r="C71" s="574" t="s">
        <v>716</v>
      </c>
      <c r="D71" s="359">
        <f>SUM(D59:D70)</f>
        <v>239641.04199999999</v>
      </c>
      <c r="E71" s="231"/>
      <c r="F71" s="2000">
        <v>476</v>
      </c>
      <c r="G71" s="2004" t="s">
        <v>1092</v>
      </c>
      <c r="H71" s="1947" t="s">
        <v>1083</v>
      </c>
      <c r="I71" s="290">
        <v>789.66399999999999</v>
      </c>
      <c r="K71" s="4"/>
      <c r="L71" s="565">
        <v>479</v>
      </c>
      <c r="M71" s="1224">
        <v>238678.59700000001</v>
      </c>
      <c r="N71" s="2242">
        <f>IF(ISERROR((D71-M71)/M71),0,((D71-M71)/M71))</f>
        <v>4.0323892133486017E-3</v>
      </c>
      <c r="O71" s="2213"/>
      <c r="P71" s="1331"/>
      <c r="Q71" s="1332"/>
      <c r="R71" s="1333"/>
      <c r="S71" s="1341"/>
      <c r="T71" s="1332"/>
    </row>
    <row r="72" spans="1:25" s="201" customFormat="1" ht="19.5" customHeight="1">
      <c r="A72" s="575">
        <v>897</v>
      </c>
      <c r="B72" s="1422" t="s">
        <v>813</v>
      </c>
      <c r="C72" s="557" t="s">
        <v>1130</v>
      </c>
      <c r="D72" s="226">
        <v>1289.0630000000001</v>
      </c>
      <c r="E72" s="1985"/>
      <c r="F72" s="710">
        <v>477</v>
      </c>
      <c r="G72" s="672">
        <v>737</v>
      </c>
      <c r="H72" s="763" t="s">
        <v>1081</v>
      </c>
      <c r="I72" s="290">
        <v>6.1349999999999998</v>
      </c>
      <c r="K72" s="4"/>
      <c r="L72" s="1235"/>
      <c r="M72" s="1256"/>
      <c r="N72" s="2239"/>
      <c r="O72" s="2213"/>
      <c r="P72" s="1327"/>
      <c r="Q72" s="1332"/>
      <c r="R72" s="1547"/>
      <c r="S72" s="1341"/>
      <c r="T72" s="1332"/>
    </row>
    <row r="73" spans="1:25" s="201" customFormat="1" ht="18" customHeight="1">
      <c r="A73" s="554">
        <v>899</v>
      </c>
      <c r="B73" s="1423">
        <v>787</v>
      </c>
      <c r="C73" s="569" t="s">
        <v>774</v>
      </c>
      <c r="D73" s="223">
        <v>552.11699999999996</v>
      </c>
      <c r="E73" s="231"/>
      <c r="F73" s="1521" t="s">
        <v>249</v>
      </c>
      <c r="G73" s="672"/>
      <c r="H73" s="763" t="s">
        <v>929</v>
      </c>
      <c r="I73" s="290">
        <v>5.2320000000000002</v>
      </c>
      <c r="J73" s="142"/>
      <c r="K73" s="4"/>
      <c r="L73" s="795"/>
      <c r="M73" s="1071"/>
      <c r="N73" s="2240"/>
      <c r="O73" s="2213"/>
      <c r="P73" s="1327"/>
      <c r="Q73" s="1332"/>
      <c r="R73" s="1341"/>
      <c r="S73" s="1332"/>
      <c r="T73" s="1332"/>
    </row>
    <row r="74" spans="1:25" s="201" customFormat="1" ht="12.75" customHeight="1" thickBot="1">
      <c r="A74" s="572">
        <v>900</v>
      </c>
      <c r="B74" s="576">
        <v>789</v>
      </c>
      <c r="C74" s="577" t="s">
        <v>367</v>
      </c>
      <c r="D74" s="227">
        <v>-14.321</v>
      </c>
      <c r="E74" s="306"/>
      <c r="F74" s="809">
        <v>478</v>
      </c>
      <c r="G74" s="672" t="s">
        <v>785</v>
      </c>
      <c r="H74" s="763" t="s">
        <v>1082</v>
      </c>
      <c r="I74" s="290">
        <v>2017.4939999999999</v>
      </c>
      <c r="K74" s="142"/>
      <c r="L74" s="795"/>
      <c r="M74" s="1071"/>
      <c r="N74" s="2240"/>
      <c r="O74" s="2213"/>
      <c r="P74" s="1327"/>
      <c r="Q74" s="1332"/>
      <c r="R74" s="1332"/>
      <c r="S74" s="1332"/>
      <c r="T74" s="1332"/>
    </row>
    <row r="75" spans="1:25" s="201" customFormat="1" ht="16.5" customHeight="1" thickBot="1">
      <c r="A75" s="567">
        <v>887</v>
      </c>
      <c r="B75" s="568"/>
      <c r="C75" s="578" t="s">
        <v>645</v>
      </c>
      <c r="D75" s="360">
        <f>SUM(D44+D53+D58+D71+D72+D73+D74)</f>
        <v>722781.46900000004</v>
      </c>
      <c r="F75" s="580">
        <v>473</v>
      </c>
      <c r="G75" s="1425" t="s">
        <v>837</v>
      </c>
      <c r="H75" s="1352" t="s">
        <v>1108</v>
      </c>
      <c r="I75" s="291">
        <v>472.21499999999997</v>
      </c>
      <c r="J75" s="142"/>
      <c r="K75" s="4"/>
      <c r="L75" s="551"/>
      <c r="M75" s="1257"/>
      <c r="N75" s="2244"/>
      <c r="O75" s="2213"/>
      <c r="P75" s="1331"/>
      <c r="Q75" s="1290"/>
      <c r="R75" s="1358"/>
      <c r="S75" s="1358"/>
      <c r="T75" s="1332"/>
    </row>
    <row r="76" spans="1:25" s="201" customFormat="1" ht="18" customHeight="1" thickBot="1">
      <c r="A76" s="579" t="s">
        <v>456</v>
      </c>
      <c r="B76" s="566"/>
      <c r="C76" s="540" t="s">
        <v>93</v>
      </c>
      <c r="D76" s="302">
        <f>RR!C8</f>
        <v>722781.45</v>
      </c>
      <c r="E76" s="231"/>
      <c r="F76" s="2213"/>
      <c r="G76" s="2213"/>
      <c r="H76" s="2213"/>
      <c r="I76" s="2213"/>
      <c r="J76" s="2213"/>
      <c r="L76" s="1236"/>
      <c r="M76" s="1237"/>
      <c r="N76" s="2246"/>
      <c r="O76" s="2213"/>
      <c r="P76" s="1327"/>
      <c r="Q76" s="170"/>
      <c r="R76" s="1333"/>
      <c r="S76" s="1333"/>
      <c r="T76" s="170"/>
    </row>
    <row r="77" spans="1:25" s="201" customFormat="1" ht="15.75" customHeight="1">
      <c r="A77" s="2249" t="s">
        <v>1195</v>
      </c>
      <c r="B77" s="1424"/>
      <c r="C77" s="1424"/>
      <c r="D77" s="1696"/>
      <c r="F77" s="2213"/>
      <c r="G77" s="2213"/>
      <c r="H77" s="2213"/>
      <c r="I77" s="2213"/>
      <c r="J77" s="2213"/>
      <c r="K77" s="4"/>
      <c r="O77" s="2213"/>
      <c r="Q77" s="170"/>
      <c r="R77" s="1338"/>
      <c r="S77" s="1338"/>
      <c r="T77" s="170"/>
    </row>
    <row r="78" spans="1:25" s="201" customFormat="1" ht="21" customHeight="1">
      <c r="A78" s="146" t="s">
        <v>838</v>
      </c>
      <c r="B78" s="79"/>
      <c r="C78" s="79"/>
      <c r="D78" s="4"/>
      <c r="F78" s="2213"/>
      <c r="G78" s="2213"/>
      <c r="H78" s="2213"/>
      <c r="I78" s="2213"/>
      <c r="J78" s="2213"/>
      <c r="K78" s="4"/>
      <c r="Q78" s="170"/>
      <c r="R78" s="2490"/>
      <c r="S78" s="2490"/>
      <c r="T78" s="2490"/>
    </row>
    <row r="79" spans="1:25" s="201" customFormat="1" ht="12.75" customHeight="1">
      <c r="A79" s="170"/>
      <c r="B79" s="170"/>
      <c r="C79" s="170"/>
      <c r="D79" s="170"/>
      <c r="F79" s="2213"/>
      <c r="G79" s="2213"/>
      <c r="H79" s="2213"/>
      <c r="I79" s="2213"/>
      <c r="J79" s="2213"/>
      <c r="K79" s="4"/>
      <c r="L79" s="170"/>
      <c r="M79" s="170"/>
      <c r="N79" s="170"/>
      <c r="O79" s="170"/>
      <c r="P79" s="170"/>
      <c r="Q79" s="170"/>
      <c r="R79" s="2490"/>
      <c r="S79" s="2490"/>
      <c r="T79" s="2490"/>
      <c r="U79" s="170"/>
      <c r="V79" s="170"/>
    </row>
    <row r="80" spans="1:25" s="201" customFormat="1" ht="12.75">
      <c r="A80" s="170"/>
      <c r="B80" s="170"/>
      <c r="C80" s="170"/>
      <c r="D80" s="170"/>
      <c r="E80" s="170"/>
      <c r="F80" s="4"/>
      <c r="G80" s="4"/>
      <c r="H80" s="4"/>
      <c r="I80" s="4"/>
      <c r="J80" s="4"/>
      <c r="K80" s="170"/>
      <c r="L80" s="170"/>
      <c r="M80" s="170"/>
      <c r="N80" s="170"/>
      <c r="O80" s="170"/>
      <c r="P80" s="170"/>
      <c r="Q80" s="170"/>
      <c r="R80" s="421"/>
      <c r="S80" s="421"/>
      <c r="T80" s="170"/>
      <c r="U80" s="170"/>
      <c r="V80" s="170"/>
      <c r="W80" s="170"/>
      <c r="X80" s="170"/>
      <c r="Y80" s="170"/>
    </row>
    <row r="81" ht="12.75"/>
    <row r="82" ht="12.75"/>
    <row r="83" ht="12.75"/>
    <row r="84" ht="12.75"/>
    <row r="85" ht="12.75" hidden="1"/>
    <row r="86" ht="12.75" hidden="1"/>
    <row r="87" ht="12.75" hidden="1"/>
    <row r="88" ht="12.75" hidden="1"/>
    <row r="89" ht="12.75" hidden="1"/>
    <row r="90" ht="12.75" hidden="1"/>
    <row r="91" ht="12.75" hidden="1"/>
    <row r="92" ht="12.75"/>
    <row r="93" ht="12.75" hidden="1"/>
    <row r="94" ht="0" hidden="1" customHeight="1"/>
    <row r="95" ht="0" hidden="1" customHeight="1"/>
  </sheetData>
  <sheetProtection password="CBFD" sheet="1" objects="1" scenarios="1"/>
  <mergeCells count="3">
    <mergeCell ref="B6:B7"/>
    <mergeCell ref="B38:B39"/>
    <mergeCell ref="R78:T79"/>
  </mergeCells>
  <conditionalFormatting sqref="I17:I18 I20">
    <cfRule type="cellIs" dxfId="140" priority="21" stopIfTrue="1" operator="lessThan">
      <formula>-500</formula>
    </cfRule>
  </conditionalFormatting>
  <conditionalFormatting sqref="I23">
    <cfRule type="cellIs" dxfId="139" priority="20" stopIfTrue="1" operator="lessThan">
      <formula>-500</formula>
    </cfRule>
  </conditionalFormatting>
  <conditionalFormatting sqref="I57">
    <cfRule type="cellIs" dxfId="138" priority="19" stopIfTrue="1" operator="lessThan">
      <formula>-500</formula>
    </cfRule>
  </conditionalFormatting>
  <conditionalFormatting sqref="I26:I28">
    <cfRule type="cellIs" dxfId="137" priority="18" stopIfTrue="1" operator="lessThan">
      <formula>-500</formula>
    </cfRule>
  </conditionalFormatting>
  <conditionalFormatting sqref="D43 I43:I44">
    <cfRule type="cellIs" dxfId="136" priority="17" stopIfTrue="1" operator="lessThan">
      <formula>0</formula>
    </cfRule>
  </conditionalFormatting>
  <conditionalFormatting sqref="I68">
    <cfRule type="cellIs" dxfId="135" priority="16" stopIfTrue="1" operator="lessThan">
      <formula>-500</formula>
    </cfRule>
  </conditionalFormatting>
  <conditionalFormatting sqref="I68 I39:I45 I47:I48">
    <cfRule type="cellIs" dxfId="134" priority="15" stopIfTrue="1" operator="lessThan">
      <formula>-500</formula>
    </cfRule>
  </conditionalFormatting>
  <conditionalFormatting sqref="D8:D11 D13:D15 D17:D24 D26:D29 I23 I26:I28 D31:D33 D40:D43 D45 D49:D52 D54:D57 D59:D70 D72 D74 I68:I75 I57 I54 I49:I51">
    <cfRule type="cellIs" dxfId="133" priority="14" stopIfTrue="1" operator="lessThan">
      <formula>-500</formula>
    </cfRule>
  </conditionalFormatting>
  <conditionalFormatting sqref="I58">
    <cfRule type="cellIs" dxfId="132" priority="13" stopIfTrue="1" operator="lessThan">
      <formula>-500</formula>
    </cfRule>
  </conditionalFormatting>
  <conditionalFormatting sqref="I58">
    <cfRule type="cellIs" dxfId="131" priority="12" stopIfTrue="1" operator="lessThan">
      <formula>-500</formula>
    </cfRule>
  </conditionalFormatting>
  <conditionalFormatting sqref="I19">
    <cfRule type="cellIs" dxfId="130" priority="11" stopIfTrue="1" operator="lessThan">
      <formula>-500</formula>
    </cfRule>
  </conditionalFormatting>
  <conditionalFormatting sqref="I19">
    <cfRule type="cellIs" dxfId="129" priority="10" stopIfTrue="1" operator="lessThan">
      <formula>-500</formula>
    </cfRule>
  </conditionalFormatting>
  <conditionalFormatting sqref="I24">
    <cfRule type="cellIs" dxfId="128" priority="9" stopIfTrue="1" operator="lessThan">
      <formula>-500</formula>
    </cfRule>
  </conditionalFormatting>
  <conditionalFormatting sqref="I24">
    <cfRule type="cellIs" dxfId="127" priority="8" stopIfTrue="1" operator="lessThan">
      <formula>-500</formula>
    </cfRule>
  </conditionalFormatting>
  <conditionalFormatting sqref="D46">
    <cfRule type="cellIs" dxfId="126" priority="6" stopIfTrue="1" operator="lessThan">
      <formula>-500</formula>
    </cfRule>
  </conditionalFormatting>
  <conditionalFormatting sqref="I46">
    <cfRule type="cellIs" dxfId="125" priority="5" stopIfTrue="1" operator="lessThan">
      <formula>-500</formula>
    </cfRule>
  </conditionalFormatting>
  <conditionalFormatting sqref="I29">
    <cfRule type="cellIs" dxfId="124" priority="4" stopIfTrue="1" operator="lessThan">
      <formula>-500</formula>
    </cfRule>
  </conditionalFormatting>
  <conditionalFormatting sqref="I29">
    <cfRule type="cellIs" dxfId="123" priority="3" stopIfTrue="1" operator="lessThan">
      <formula>-500</formula>
    </cfRule>
  </conditionalFormatting>
  <conditionalFormatting sqref="I31">
    <cfRule type="cellIs" dxfId="122" priority="2" stopIfTrue="1" operator="lessThan">
      <formula>-500</formula>
    </cfRule>
  </conditionalFormatting>
  <conditionalFormatting sqref="I31">
    <cfRule type="cellIs" dxfId="121" priority="1" stopIfTrue="1" operator="lessThan">
      <formula>-500</formula>
    </cfRule>
  </conditionalFormatting>
  <dataValidations count="4">
    <dataValidation type="decimal" operator="lessThan" allowBlank="1" showInputMessage="1" showErrorMessage="1" error="beloppet ska vara 1000tal kr" sqref="I68">
      <formula1>99999999</formula1>
    </dataValidation>
    <dataValidation operator="lessThan" allowBlank="1" showInputMessage="1" showErrorMessage="1" sqref="D75 D34"/>
    <dataValidation type="decimal" operator="lessThan" allowBlank="1" showInputMessage="1" showErrorMessage="1" error="Beloppet ska vara i 1000 tal kronor" sqref="I17:I20 D54:D57 D40:D43 D17:D24 D26:D29 D13:D15 D8:D11 I54 I69:I75 I57:I58 D31:D33 D59:D70 D72:D74 D48:D52 I23:I24 I39:I51 D45:D46 I26:I29 I31">
      <formula1>99999999</formula1>
    </dataValidation>
    <dataValidation type="decimal" operator="lessThanOrEqual" allowBlank="1" showInputMessage="1" showErrorMessage="1" error="Beloppet ska redovisas med minustecken" sqref="D47">
      <formula1>0</formula1>
    </dataValidation>
  </dataValidations>
  <pageMargins left="0.7" right="0.7" top="0.75" bottom="0.75" header="0.3" footer="0.3"/>
  <pageSetup paperSize="9" scale="70" orientation="portrait" r:id="rId1"/>
  <headerFooter>
    <oddHeader>&amp;L&amp;8Statistiska Centralbyrån
Offentlig ekonomi&amp;R&amp;P</oddHeader>
  </headerFooter>
  <ignoredErrors>
    <ignoredError sqref="F19:G19 F24 F26:G26 F27:F28 F43:G43 G49:G50 A76 F73 G74 F57:F5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C46"/>
  <sheetViews>
    <sheetView showGridLines="0" zoomScaleNormal="100" workbookViewId="0">
      <pane ySplit="1" topLeftCell="A2" activePane="bottomLeft" state="frozen"/>
      <selection activeCell="F36" sqref="F36"/>
      <selection pane="bottomLeft" activeCell="A2" sqref="A2"/>
    </sheetView>
  </sheetViews>
  <sheetFormatPr defaultColWidth="9.140625" defaultRowHeight="0" customHeight="1" zeroHeight="1"/>
  <cols>
    <col min="1" max="1" width="4" style="170" customWidth="1"/>
    <col min="2" max="2" width="9.140625" style="170" customWidth="1"/>
    <col min="3" max="3" width="30.85546875" style="170" customWidth="1"/>
    <col min="4" max="4" width="10.7109375" style="170" customWidth="1"/>
    <col min="5" max="5" width="22" style="170" customWidth="1"/>
    <col min="6" max="6" width="5" style="170" customWidth="1"/>
    <col min="7" max="7" width="27.7109375" style="170" customWidth="1"/>
    <col min="8" max="8" width="4" style="170" customWidth="1"/>
    <col min="9" max="9" width="8.28515625" style="170" customWidth="1"/>
    <col min="10" max="10" width="31.28515625" style="170" customWidth="1"/>
    <col min="11" max="12" width="10.7109375" style="170" customWidth="1"/>
    <col min="13" max="13" width="13.42578125" style="170" customWidth="1"/>
    <col min="14" max="14" width="4.28515625" style="170" customWidth="1"/>
    <col min="15" max="15" width="3.7109375" style="170" customWidth="1"/>
    <col min="16" max="16" width="19.7109375" style="170" customWidth="1"/>
    <col min="17" max="17" width="7" style="170" customWidth="1"/>
    <col min="18" max="18" width="3.7109375" style="170" customWidth="1"/>
    <col min="19" max="19" width="1.5703125" style="170" customWidth="1"/>
    <col min="20" max="20" width="21.5703125" style="170" customWidth="1"/>
    <col min="21" max="16383" width="0" style="170" hidden="1" customWidth="1"/>
    <col min="16384" max="16384" width="4.42578125" style="170" hidden="1" customWidth="1"/>
  </cols>
  <sheetData>
    <row r="1" spans="1:20" ht="18">
      <c r="A1" s="1500" t="str">
        <f>"Skatteintäkter, utjämningssystem o. generella statliga bidrag samt finansiella poster "&amp;År&amp;", miljoner kr"</f>
        <v>Skatteintäkter, utjämningssystem o. generella statliga bidrag samt finansiella poster 2020, miljoner kr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9" t="s">
        <v>459</v>
      </c>
      <c r="O1" s="519"/>
      <c r="P1" s="519"/>
      <c r="Q1" s="519"/>
      <c r="R1" s="519"/>
      <c r="S1" s="519"/>
      <c r="T1" s="520" t="str">
        <f>'Kn Information'!A2</f>
        <v>RIKSTOTAL</v>
      </c>
    </row>
    <row r="2" spans="1:20" ht="12.75" customHeight="1">
      <c r="A2" s="2213"/>
      <c r="B2" s="2213"/>
      <c r="C2" s="2213"/>
      <c r="D2" s="2213"/>
      <c r="E2" s="2213"/>
      <c r="F2" s="2213"/>
      <c r="G2" s="2213"/>
      <c r="H2" s="2213"/>
      <c r="I2" s="2213"/>
      <c r="J2" s="2213"/>
      <c r="K2" s="2213"/>
      <c r="L2" s="2213"/>
      <c r="M2" s="2213"/>
      <c r="N2" s="2213"/>
      <c r="O2" s="2213"/>
      <c r="P2" s="2213"/>
      <c r="Q2" s="2213"/>
      <c r="R2" s="2213"/>
      <c r="S2" s="2213"/>
      <c r="T2" s="2213"/>
    </row>
    <row r="3" spans="1:20" ht="12.75" customHeight="1">
      <c r="A3" s="2213"/>
      <c r="B3" s="2213"/>
      <c r="C3" s="2213"/>
      <c r="D3" s="2213"/>
      <c r="E3" s="2213"/>
      <c r="F3" s="2213"/>
      <c r="G3" s="2213"/>
      <c r="H3" s="2213"/>
      <c r="I3" s="2213"/>
      <c r="J3" s="2213"/>
      <c r="K3" s="2213"/>
      <c r="L3" s="2213"/>
      <c r="M3" s="2213"/>
      <c r="N3" s="2213"/>
      <c r="O3" s="2213"/>
      <c r="P3" s="2213"/>
      <c r="Q3" s="2213"/>
      <c r="R3" s="2213"/>
      <c r="S3" s="2213"/>
      <c r="T3" s="2213"/>
    </row>
    <row r="4" spans="1:20" ht="17.25" customHeight="1" thickBot="1">
      <c r="A4" s="74" t="s">
        <v>631</v>
      </c>
      <c r="B4" s="4"/>
      <c r="C4" s="4"/>
      <c r="D4" s="35"/>
      <c r="G4" s="4"/>
      <c r="H4" s="74" t="s">
        <v>632</v>
      </c>
      <c r="I4" s="171"/>
      <c r="J4" s="171"/>
      <c r="K4" s="171"/>
      <c r="L4" s="171"/>
      <c r="M4" s="4"/>
      <c r="N4" s="4"/>
      <c r="O4" s="4"/>
      <c r="P4" s="4"/>
      <c r="Q4" s="4"/>
      <c r="R4" s="4"/>
      <c r="S4" s="172"/>
      <c r="T4" s="4"/>
    </row>
    <row r="5" spans="1:20" s="182" customFormat="1" ht="12.75">
      <c r="A5" s="603" t="s">
        <v>626</v>
      </c>
      <c r="B5" s="2067" t="s">
        <v>1184</v>
      </c>
      <c r="C5" s="810"/>
      <c r="D5" s="818"/>
      <c r="E5" s="181"/>
      <c r="F5" s="181"/>
      <c r="G5" s="181"/>
      <c r="H5" s="603" t="s">
        <v>626</v>
      </c>
      <c r="I5" s="2067" t="s">
        <v>1184</v>
      </c>
      <c r="J5" s="810"/>
      <c r="K5" s="614" t="s">
        <v>628</v>
      </c>
      <c r="L5" s="1931" t="s">
        <v>743</v>
      </c>
      <c r="M5" s="1360"/>
      <c r="N5" s="218" t="s">
        <v>955</v>
      </c>
      <c r="O5" s="181"/>
      <c r="P5" s="181"/>
      <c r="Q5" s="181"/>
      <c r="S5" s="428"/>
      <c r="T5" s="181"/>
    </row>
    <row r="6" spans="1:20" s="182" customFormat="1" ht="12.75">
      <c r="A6" s="605" t="s">
        <v>629</v>
      </c>
      <c r="B6" s="790"/>
      <c r="C6" s="811"/>
      <c r="D6" s="817"/>
      <c r="E6" s="181"/>
      <c r="F6" s="181"/>
      <c r="G6" s="181"/>
      <c r="H6" s="605" t="s">
        <v>629</v>
      </c>
      <c r="I6" s="616"/>
      <c r="J6" s="811"/>
      <c r="K6" s="616" t="s">
        <v>1220</v>
      </c>
      <c r="L6" s="1044" t="s">
        <v>1220</v>
      </c>
      <c r="M6" s="1361"/>
      <c r="N6" s="181"/>
      <c r="O6" s="181"/>
      <c r="P6" s="181"/>
      <c r="Q6" s="181"/>
      <c r="S6" s="89"/>
      <c r="T6" s="181"/>
    </row>
    <row r="7" spans="1:20" ht="15">
      <c r="A7" s="812"/>
      <c r="B7" s="813"/>
      <c r="C7" s="814"/>
      <c r="D7" s="819"/>
      <c r="E7" s="4"/>
      <c r="F7" s="4"/>
      <c r="G7" s="4"/>
      <c r="H7" s="820"/>
      <c r="I7" s="598"/>
      <c r="J7" s="598"/>
      <c r="K7" s="598"/>
      <c r="L7" s="821"/>
      <c r="M7" s="1362"/>
      <c r="N7" s="4"/>
      <c r="O7" s="4"/>
      <c r="P7" s="4"/>
      <c r="Q7" s="4"/>
      <c r="S7" s="18"/>
      <c r="T7" s="4"/>
    </row>
    <row r="8" spans="1:20" ht="12.75">
      <c r="A8" s="779">
        <v>600</v>
      </c>
      <c r="B8" s="568">
        <v>801</v>
      </c>
      <c r="C8" s="569" t="s">
        <v>717</v>
      </c>
      <c r="D8" s="361">
        <v>497154</v>
      </c>
      <c r="E8" s="4"/>
      <c r="F8" s="4"/>
      <c r="G8" s="4"/>
      <c r="H8" s="776">
        <v>800</v>
      </c>
      <c r="I8" s="568">
        <v>841</v>
      </c>
      <c r="J8" s="569" t="s">
        <v>730</v>
      </c>
      <c r="K8" s="1714">
        <v>3892.1770000000001</v>
      </c>
      <c r="L8" s="1715">
        <v>974.33600000000001</v>
      </c>
      <c r="M8" s="1987"/>
      <c r="N8" s="582">
        <v>801</v>
      </c>
      <c r="O8" s="1716">
        <v>8411</v>
      </c>
      <c r="P8" s="1605" t="s">
        <v>957</v>
      </c>
      <c r="Q8" s="1606">
        <v>3198.0680000000002</v>
      </c>
      <c r="R8" s="1688" t="str">
        <f>IF(Q8&gt;K8,"däravrad 801&gt;rad 800",IF(AND(K8&gt;1,Q8=""),"skriv belopp eller 0",""))</f>
        <v/>
      </c>
      <c r="S8" s="1358"/>
      <c r="T8" s="4"/>
    </row>
    <row r="9" spans="1:20" ht="12.75">
      <c r="A9" s="779">
        <v>620</v>
      </c>
      <c r="B9" s="671">
        <v>8052</v>
      </c>
      <c r="C9" s="562" t="str">
        <f>"Slutavräkning, prognos för "&amp;År&amp;""</f>
        <v>Slutavräkning, prognos för 2020</v>
      </c>
      <c r="D9" s="361">
        <v>-7401</v>
      </c>
      <c r="E9" s="4"/>
      <c r="F9" s="4"/>
      <c r="G9" s="4"/>
      <c r="H9" s="779">
        <v>810</v>
      </c>
      <c r="I9" s="815">
        <v>844</v>
      </c>
      <c r="J9" s="816" t="s">
        <v>731</v>
      </c>
      <c r="K9" s="23">
        <v>3795.0250000000001</v>
      </c>
      <c r="L9" s="101">
        <v>1198.942</v>
      </c>
      <c r="M9" s="1987"/>
      <c r="N9" s="4"/>
      <c r="O9" s="4"/>
      <c r="P9" s="4"/>
      <c r="Q9" s="4"/>
      <c r="S9" s="1358"/>
      <c r="T9" s="4"/>
    </row>
    <row r="10" spans="1:20" ht="12.75">
      <c r="A10" s="779">
        <v>625</v>
      </c>
      <c r="B10" s="671">
        <v>8051</v>
      </c>
      <c r="C10" s="562" t="str">
        <f>"Justering slutavräkning "&amp;År-1&amp;""</f>
        <v>Justering slutavräkning 2019</v>
      </c>
      <c r="D10" s="361">
        <v>-2496</v>
      </c>
      <c r="E10" s="4"/>
      <c r="F10" s="4"/>
      <c r="G10" s="4"/>
      <c r="H10" s="779">
        <v>880</v>
      </c>
      <c r="I10" s="568">
        <v>845</v>
      </c>
      <c r="J10" s="569" t="s">
        <v>732</v>
      </c>
      <c r="K10" s="23">
        <v>46.162999999999997</v>
      </c>
      <c r="L10" s="933"/>
      <c r="M10" s="1987"/>
      <c r="N10" s="4"/>
      <c r="O10" s="4"/>
      <c r="P10" s="4"/>
      <c r="Q10" s="4"/>
      <c r="S10" s="1358"/>
      <c r="T10" s="4"/>
    </row>
    <row r="11" spans="1:20" ht="12.75">
      <c r="A11" s="779">
        <v>630</v>
      </c>
      <c r="B11" s="671"/>
      <c r="C11" s="562" t="str">
        <f>"Justeringspost slutavräkning "&amp;År&amp;""</f>
        <v>Justeringspost slutavräkning 2020</v>
      </c>
      <c r="D11" s="226">
        <v>16.454000000000001</v>
      </c>
      <c r="E11" s="179"/>
      <c r="F11" s="4"/>
      <c r="G11" s="4"/>
      <c r="H11" s="779">
        <v>885</v>
      </c>
      <c r="I11" s="568">
        <v>8481</v>
      </c>
      <c r="J11" s="569" t="s">
        <v>481</v>
      </c>
      <c r="K11" s="23">
        <v>60.109000000000002</v>
      </c>
      <c r="L11" s="933"/>
      <c r="M11" s="1987"/>
      <c r="N11" s="4"/>
      <c r="O11" s="4"/>
      <c r="P11" s="4"/>
      <c r="Q11" s="4"/>
      <c r="S11" s="1358"/>
      <c r="T11" s="4"/>
    </row>
    <row r="12" spans="1:20" ht="12.75">
      <c r="A12" s="779">
        <v>640</v>
      </c>
      <c r="B12" s="564" t="s">
        <v>971</v>
      </c>
      <c r="C12" s="557" t="s">
        <v>972</v>
      </c>
      <c r="D12" s="226">
        <v>13.186</v>
      </c>
      <c r="E12" s="1384"/>
      <c r="F12" s="4"/>
      <c r="G12" s="4"/>
      <c r="H12" s="779">
        <v>886</v>
      </c>
      <c r="I12" s="568">
        <v>8482</v>
      </c>
      <c r="J12" s="569" t="s">
        <v>744</v>
      </c>
      <c r="K12" s="23">
        <v>514.44299999999998</v>
      </c>
      <c r="L12" s="933"/>
      <c r="M12" s="1987"/>
      <c r="N12" s="1332"/>
      <c r="O12" s="1332"/>
      <c r="P12" s="147"/>
      <c r="Q12" s="1701"/>
      <c r="S12" s="1358"/>
      <c r="T12" s="4"/>
    </row>
    <row r="13" spans="1:20" ht="13.5" thickBot="1">
      <c r="A13" s="780">
        <v>680</v>
      </c>
      <c r="B13" s="1356"/>
      <c r="C13" s="1357" t="s">
        <v>962</v>
      </c>
      <c r="D13" s="358">
        <v>196</v>
      </c>
      <c r="E13" s="35"/>
      <c r="F13" s="4"/>
      <c r="G13" s="4"/>
      <c r="H13" s="779">
        <v>884</v>
      </c>
      <c r="I13" s="564">
        <v>843</v>
      </c>
      <c r="J13" s="557" t="s">
        <v>1216</v>
      </c>
      <c r="K13" s="23">
        <v>277.67099999999999</v>
      </c>
      <c r="L13" s="101">
        <v>1394.4</v>
      </c>
      <c r="M13" s="1987"/>
      <c r="N13" s="1332"/>
      <c r="O13" s="1332"/>
      <c r="P13" s="147"/>
      <c r="Q13" s="1701"/>
      <c r="S13" s="1358"/>
      <c r="T13" s="4"/>
    </row>
    <row r="14" spans="1:20" ht="21.75" customHeight="1" thickBot="1">
      <c r="A14" s="565">
        <v>690</v>
      </c>
      <c r="B14" s="570"/>
      <c r="C14" s="571" t="s">
        <v>631</v>
      </c>
      <c r="D14" s="358">
        <f>SUM(D8:D13)</f>
        <v>487482.64</v>
      </c>
      <c r="E14" s="4"/>
      <c r="F14" s="4"/>
      <c r="G14" s="4"/>
      <c r="H14" s="554">
        <v>882</v>
      </c>
      <c r="I14" s="1422">
        <v>846</v>
      </c>
      <c r="J14" s="557" t="s">
        <v>1215</v>
      </c>
      <c r="K14" s="23">
        <v>2263.2260000000001</v>
      </c>
      <c r="L14" s="933"/>
      <c r="M14" s="1987"/>
      <c r="N14" s="1332"/>
      <c r="O14" s="1332"/>
      <c r="P14" s="147"/>
      <c r="Q14" s="1701"/>
      <c r="R14" s="1384"/>
      <c r="S14" s="1341"/>
      <c r="T14" s="4"/>
    </row>
    <row r="15" spans="1:20" ht="13.5" thickBot="1">
      <c r="A15" s="4"/>
      <c r="B15" s="4"/>
      <c r="C15" s="185"/>
      <c r="D15" s="4"/>
      <c r="E15" s="4"/>
      <c r="F15" s="4"/>
      <c r="G15" s="4"/>
      <c r="H15" s="565">
        <v>888</v>
      </c>
      <c r="I15" s="2093">
        <v>849</v>
      </c>
      <c r="J15" s="577" t="s">
        <v>1145</v>
      </c>
      <c r="K15" s="108">
        <v>1625.2439999999999</v>
      </c>
      <c r="L15" s="2075"/>
      <c r="M15" s="1987"/>
      <c r="N15" s="1522">
        <v>889</v>
      </c>
      <c r="O15" s="1522">
        <v>8491</v>
      </c>
      <c r="P15" s="2053" t="s">
        <v>1109</v>
      </c>
      <c r="Q15" s="1497">
        <v>1075.914</v>
      </c>
      <c r="R15" s="1384" t="str">
        <f>IF(SUM(Q15+Q16)&gt;K15,"däravrader 889+891&gt;rad888",IF(AND(K15&gt;1,Q15=""),"skriv belopp eller 0",""))</f>
        <v/>
      </c>
      <c r="S15" s="1332"/>
      <c r="T15" s="4"/>
    </row>
    <row r="16" spans="1:20" ht="16.5" thickBot="1">
      <c r="A16" s="74" t="s">
        <v>752</v>
      </c>
      <c r="B16" s="4"/>
      <c r="C16" s="4"/>
      <c r="D16" s="4"/>
      <c r="E16" s="4"/>
      <c r="F16" s="4"/>
      <c r="G16" s="4"/>
      <c r="H16" s="551">
        <v>890</v>
      </c>
      <c r="I16" s="566"/>
      <c r="J16" s="540" t="s">
        <v>9</v>
      </c>
      <c r="K16" s="1713">
        <f>RR!C14</f>
        <v>12474.058000000001</v>
      </c>
      <c r="L16" s="1717"/>
      <c r="M16" s="1680"/>
      <c r="N16" s="1523">
        <v>891</v>
      </c>
      <c r="O16" s="1523"/>
      <c r="P16" s="1352" t="s">
        <v>932</v>
      </c>
      <c r="Q16" s="1498">
        <v>0.26900000000000002</v>
      </c>
      <c r="R16" s="1384" t="str">
        <f>IF(AND(K15&gt;1,Q16=""),"skriv belopp eller 0","")</f>
        <v/>
      </c>
      <c r="T16" s="4"/>
    </row>
    <row r="17" spans="1:20" ht="16.5" thickBot="1">
      <c r="A17" s="74" t="s">
        <v>753</v>
      </c>
      <c r="B17" s="4"/>
      <c r="C17" s="4"/>
      <c r="D17" s="35"/>
      <c r="E17" s="4"/>
      <c r="F17" s="4"/>
      <c r="G17" s="4"/>
      <c r="H17" s="8"/>
      <c r="I17" s="1363" t="s">
        <v>1078</v>
      </c>
      <c r="J17" s="126"/>
      <c r="K17" s="1363">
        <f>(K16-SUM(K8:K15))*-1</f>
        <v>0</v>
      </c>
      <c r="L17" s="1718"/>
      <c r="M17" s="1253"/>
      <c r="N17" s="4"/>
      <c r="O17" s="4"/>
      <c r="P17" s="4"/>
      <c r="Q17" s="4"/>
      <c r="R17" s="4"/>
      <c r="T17" s="4"/>
    </row>
    <row r="18" spans="1:20" ht="16.5" thickBot="1">
      <c r="A18" s="603" t="s">
        <v>626</v>
      </c>
      <c r="B18" s="2067" t="s">
        <v>1184</v>
      </c>
      <c r="C18" s="810"/>
      <c r="D18" s="818"/>
      <c r="E18" s="4"/>
      <c r="F18" s="4"/>
      <c r="G18" s="4"/>
      <c r="H18" s="74" t="s">
        <v>633</v>
      </c>
      <c r="I18" s="172"/>
      <c r="J18" s="172"/>
      <c r="K18" s="172"/>
      <c r="L18" s="172"/>
      <c r="N18" s="2491"/>
      <c r="O18" s="2491"/>
      <c r="P18" s="2491"/>
      <c r="Q18" s="2492"/>
      <c r="R18" s="4"/>
      <c r="T18" s="4"/>
    </row>
    <row r="19" spans="1:20" ht="12.75">
      <c r="A19" s="605" t="s">
        <v>629</v>
      </c>
      <c r="B19" s="790"/>
      <c r="C19" s="613"/>
      <c r="D19" s="822"/>
      <c r="E19" s="4"/>
      <c r="F19" s="4"/>
      <c r="G19" s="4"/>
      <c r="H19" s="603" t="s">
        <v>626</v>
      </c>
      <c r="I19" s="2067" t="s">
        <v>1184</v>
      </c>
      <c r="J19" s="810"/>
      <c r="K19" s="1721" t="s">
        <v>628</v>
      </c>
      <c r="L19" s="1929" t="s">
        <v>743</v>
      </c>
      <c r="M19" s="1332"/>
      <c r="N19" s="2493"/>
      <c r="O19" s="2493"/>
      <c r="P19" s="2493"/>
      <c r="Q19" s="2492"/>
      <c r="S19" s="428"/>
      <c r="T19" s="4"/>
    </row>
    <row r="20" spans="1:20" s="182" customFormat="1" ht="15">
      <c r="A20" s="823"/>
      <c r="B20" s="793"/>
      <c r="C20" s="598"/>
      <c r="D20" s="824"/>
      <c r="E20" s="181"/>
      <c r="F20" s="181"/>
      <c r="G20" s="181"/>
      <c r="H20" s="605" t="s">
        <v>629</v>
      </c>
      <c r="I20" s="825"/>
      <c r="J20" s="811"/>
      <c r="K20" s="1722" t="s">
        <v>1220</v>
      </c>
      <c r="L20" s="1930" t="s">
        <v>1220</v>
      </c>
      <c r="M20" s="89"/>
      <c r="Q20" s="207"/>
      <c r="S20" s="89"/>
      <c r="T20" s="181"/>
    </row>
    <row r="21" spans="1:20" s="182" customFormat="1" ht="14.25" customHeight="1">
      <c r="A21" s="554">
        <v>711</v>
      </c>
      <c r="B21" s="671">
        <v>821</v>
      </c>
      <c r="C21" s="562" t="s">
        <v>723</v>
      </c>
      <c r="D21" s="361">
        <v>80510</v>
      </c>
      <c r="E21" s="181"/>
      <c r="F21" s="2006"/>
      <c r="G21" s="2007"/>
      <c r="H21" s="826"/>
      <c r="I21" s="827"/>
      <c r="J21" s="814"/>
      <c r="K21" s="1719"/>
      <c r="L21" s="828"/>
      <c r="M21" s="18"/>
      <c r="N21" s="185"/>
      <c r="O21" s="185"/>
      <c r="P21" s="185"/>
      <c r="Q21" s="172"/>
      <c r="S21" s="18"/>
      <c r="T21" s="181"/>
    </row>
    <row r="22" spans="1:20" ht="14.25" customHeight="1">
      <c r="A22" s="554">
        <v>713</v>
      </c>
      <c r="B22" s="671">
        <v>822</v>
      </c>
      <c r="C22" s="562" t="s">
        <v>724</v>
      </c>
      <c r="D22" s="361">
        <v>1136</v>
      </c>
      <c r="E22" s="4"/>
      <c r="F22" s="2008"/>
      <c r="G22" s="2007"/>
      <c r="H22" s="554">
        <v>900</v>
      </c>
      <c r="I22" s="568">
        <v>852</v>
      </c>
      <c r="J22" s="557" t="s">
        <v>788</v>
      </c>
      <c r="K22" s="452">
        <v>3603.248</v>
      </c>
      <c r="L22" s="100">
        <v>7029.759</v>
      </c>
      <c r="M22" s="1987"/>
      <c r="N22" s="1332"/>
      <c r="O22" s="147"/>
      <c r="P22" s="258"/>
      <c r="Q22" s="126"/>
      <c r="S22" s="1358"/>
      <c r="T22" s="4"/>
    </row>
    <row r="23" spans="1:20" ht="14.25" customHeight="1">
      <c r="A23" s="554">
        <v>715</v>
      </c>
      <c r="B23" s="671">
        <v>823</v>
      </c>
      <c r="C23" s="562" t="s">
        <v>725</v>
      </c>
      <c r="D23" s="361">
        <v>2845</v>
      </c>
      <c r="E23" s="201"/>
      <c r="F23" s="2008"/>
      <c r="G23" s="2007"/>
      <c r="H23" s="554">
        <v>910</v>
      </c>
      <c r="I23" s="564">
        <v>853</v>
      </c>
      <c r="J23" s="557" t="s">
        <v>1146</v>
      </c>
      <c r="K23" s="452">
        <v>1128.729</v>
      </c>
      <c r="L23" s="101">
        <v>1194.6980000000001</v>
      </c>
      <c r="M23" s="1987"/>
      <c r="N23" s="4"/>
      <c r="O23" s="4"/>
      <c r="P23" s="4"/>
      <c r="Q23" s="172"/>
      <c r="S23" s="1341"/>
      <c r="T23" s="4"/>
    </row>
    <row r="24" spans="1:20" ht="14.25" customHeight="1">
      <c r="A24" s="554">
        <v>717</v>
      </c>
      <c r="B24" s="671">
        <v>824</v>
      </c>
      <c r="C24" s="562" t="s">
        <v>726</v>
      </c>
      <c r="D24" s="361">
        <v>10564</v>
      </c>
      <c r="E24" s="201"/>
      <c r="F24" s="2008"/>
      <c r="G24" s="2007"/>
      <c r="H24" s="554">
        <v>920</v>
      </c>
      <c r="I24" s="815" t="s">
        <v>733</v>
      </c>
      <c r="J24" s="562" t="s">
        <v>1148</v>
      </c>
      <c r="K24" s="452">
        <v>163.57900000000001</v>
      </c>
      <c r="L24" s="933"/>
      <c r="M24" s="1987"/>
      <c r="N24" s="4"/>
      <c r="O24" s="4"/>
      <c r="P24" s="4"/>
      <c r="Q24" s="172"/>
      <c r="S24" s="1358"/>
      <c r="T24" s="4"/>
    </row>
    <row r="25" spans="1:20" ht="21" customHeight="1">
      <c r="A25" s="554">
        <v>719</v>
      </c>
      <c r="B25" s="671">
        <v>825</v>
      </c>
      <c r="C25" s="562" t="s">
        <v>727</v>
      </c>
      <c r="D25" s="361">
        <v>9337</v>
      </c>
      <c r="E25" s="201"/>
      <c r="F25" s="2494" t="s">
        <v>1214</v>
      </c>
      <c r="G25" s="2495"/>
      <c r="H25" s="554">
        <v>985</v>
      </c>
      <c r="I25" s="564">
        <v>8581</v>
      </c>
      <c r="J25" s="557" t="s">
        <v>754</v>
      </c>
      <c r="K25" s="452">
        <v>1.6819999999999999</v>
      </c>
      <c r="L25" s="933"/>
      <c r="M25" s="1987"/>
      <c r="N25" s="1332"/>
      <c r="O25" s="1332"/>
      <c r="P25" s="147"/>
      <c r="Q25" s="253"/>
      <c r="S25" s="1341"/>
      <c r="T25" s="4"/>
    </row>
    <row r="26" spans="1:20" ht="22.5" customHeight="1">
      <c r="A26" s="554">
        <v>785</v>
      </c>
      <c r="B26" s="671">
        <v>826</v>
      </c>
      <c r="C26" s="562" t="s">
        <v>728</v>
      </c>
      <c r="D26" s="361">
        <v>4662</v>
      </c>
      <c r="E26" s="2001"/>
      <c r="F26" s="2496"/>
      <c r="G26" s="2495"/>
      <c r="H26" s="554">
        <v>996</v>
      </c>
      <c r="I26" s="564">
        <v>8582</v>
      </c>
      <c r="J26" s="557" t="s">
        <v>755</v>
      </c>
      <c r="K26" s="452">
        <v>302.62900000000002</v>
      </c>
      <c r="L26" s="933"/>
      <c r="M26" s="1987"/>
      <c r="N26" s="1332"/>
      <c r="O26" s="1332"/>
      <c r="P26" s="147"/>
      <c r="Q26" s="253"/>
      <c r="S26" s="1341"/>
      <c r="T26" s="172"/>
    </row>
    <row r="27" spans="1:20" ht="15.75" customHeight="1">
      <c r="A27" s="554">
        <v>740</v>
      </c>
      <c r="B27" s="564">
        <v>829</v>
      </c>
      <c r="C27" s="562" t="s">
        <v>817</v>
      </c>
      <c r="D27" s="226">
        <v>21947.221000000001</v>
      </c>
      <c r="E27" s="2015"/>
      <c r="F27" s="2497"/>
      <c r="G27" s="2495"/>
      <c r="H27" s="554">
        <v>984</v>
      </c>
      <c r="I27" s="564">
        <v>851</v>
      </c>
      <c r="J27" s="557" t="s">
        <v>1149</v>
      </c>
      <c r="K27" s="452">
        <v>151.107</v>
      </c>
      <c r="L27" s="101">
        <v>196.553</v>
      </c>
      <c r="M27" s="1987"/>
      <c r="N27" s="1332"/>
      <c r="O27" s="1332"/>
      <c r="P27" s="147"/>
      <c r="Q27" s="253"/>
      <c r="S27" s="1341"/>
      <c r="T27" s="172"/>
    </row>
    <row r="28" spans="1:20" ht="20.25" customHeight="1" thickBot="1">
      <c r="A28" s="565">
        <v>750</v>
      </c>
      <c r="B28" s="566">
        <v>82</v>
      </c>
      <c r="C28" s="1353" t="s">
        <v>729</v>
      </c>
      <c r="D28" s="358">
        <f>SUM(D21:D27)</f>
        <v>131001.22100000001</v>
      </c>
      <c r="E28" s="1986"/>
      <c r="F28" s="2162"/>
      <c r="G28" s="2163"/>
      <c r="H28" s="2198">
        <v>992</v>
      </c>
      <c r="I28" s="2028">
        <v>856</v>
      </c>
      <c r="J28" s="557" t="s">
        <v>1150</v>
      </c>
      <c r="K28" s="452">
        <v>1389.2280000000001</v>
      </c>
      <c r="L28" s="933"/>
      <c r="M28" s="1987"/>
      <c r="N28" s="1332"/>
      <c r="O28" s="1332"/>
      <c r="P28" s="147"/>
      <c r="Q28" s="253"/>
      <c r="S28" s="1359"/>
      <c r="T28" s="172"/>
    </row>
    <row r="29" spans="1:20" ht="18" customHeight="1" thickBot="1">
      <c r="A29" s="4"/>
      <c r="B29" s="4"/>
      <c r="C29" s="4"/>
      <c r="D29" s="4"/>
      <c r="E29" s="2016"/>
      <c r="F29" s="2162"/>
      <c r="G29" s="2163"/>
      <c r="H29" s="1428">
        <v>998</v>
      </c>
      <c r="I29" s="1356">
        <v>859</v>
      </c>
      <c r="J29" s="1357" t="s">
        <v>1147</v>
      </c>
      <c r="K29" s="1720">
        <v>488.14499999999998</v>
      </c>
      <c r="L29" s="2133"/>
      <c r="M29" s="1987"/>
      <c r="N29" s="172"/>
      <c r="O29" s="172"/>
      <c r="P29" s="172"/>
      <c r="Q29" s="172"/>
      <c r="S29" s="1332"/>
      <c r="T29" s="172"/>
    </row>
    <row r="30" spans="1:20" ht="19.5" customHeight="1" thickBot="1">
      <c r="A30" s="4"/>
      <c r="B30" s="4"/>
      <c r="C30" s="4"/>
      <c r="D30" s="4"/>
      <c r="E30" s="2017"/>
      <c r="F30" s="2213"/>
      <c r="G30" s="2213"/>
      <c r="H30" s="565">
        <v>990</v>
      </c>
      <c r="I30" s="570"/>
      <c r="J30" s="571" t="s">
        <v>10</v>
      </c>
      <c r="K30" s="1487">
        <f>RR!C15</f>
        <v>7228.3469999999998</v>
      </c>
      <c r="L30" s="19"/>
      <c r="N30" s="4"/>
      <c r="O30" s="4"/>
      <c r="P30" s="4"/>
      <c r="Q30" s="4"/>
      <c r="R30" s="172"/>
      <c r="T30" s="172"/>
    </row>
    <row r="31" spans="1:20" ht="16.5" customHeight="1" thickBot="1">
      <c r="A31" s="74" t="s">
        <v>948</v>
      </c>
      <c r="B31" s="4"/>
      <c r="C31" s="4"/>
      <c r="D31" s="35"/>
      <c r="E31" s="201"/>
      <c r="F31" s="2213"/>
      <c r="G31" s="2213"/>
      <c r="H31" s="4"/>
      <c r="I31" s="1364" t="s">
        <v>839</v>
      </c>
      <c r="J31" s="179"/>
      <c r="K31" s="1697">
        <f>(K30-SUM(K22:K29))*-1</f>
        <v>0</v>
      </c>
      <c r="L31" s="1271"/>
      <c r="M31" s="1271"/>
      <c r="N31" s="4"/>
      <c r="O31" s="4"/>
      <c r="P31" s="4"/>
      <c r="Q31" s="4"/>
      <c r="R31" s="4"/>
      <c r="T31" s="4"/>
    </row>
    <row r="32" spans="1:20" ht="12.75">
      <c r="A32" s="603" t="s">
        <v>626</v>
      </c>
      <c r="B32" s="2067" t="s">
        <v>1184</v>
      </c>
      <c r="C32" s="810"/>
      <c r="D32" s="818"/>
      <c r="E32" s="201"/>
      <c r="F32" s="2213"/>
      <c r="G32" s="221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2.75">
      <c r="A33" s="605" t="s">
        <v>629</v>
      </c>
      <c r="B33" s="790"/>
      <c r="C33" s="613"/>
      <c r="D33" s="822"/>
      <c r="E33" s="4"/>
      <c r="F33" s="2213"/>
      <c r="G33" s="221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5">
      <c r="A34" s="823"/>
      <c r="B34" s="793"/>
      <c r="C34" s="598"/>
      <c r="D34" s="824"/>
      <c r="E34" s="4"/>
      <c r="F34" s="2213"/>
      <c r="G34" s="2213"/>
      <c r="H34" s="2213"/>
      <c r="I34" s="2213"/>
      <c r="J34" s="2213"/>
      <c r="K34" s="2213"/>
      <c r="L34" s="4"/>
      <c r="M34" s="4"/>
      <c r="R34" s="4"/>
      <c r="S34" s="4"/>
      <c r="T34" s="4"/>
    </row>
    <row r="35" spans="1:20" ht="12.75">
      <c r="A35" s="779">
        <v>760</v>
      </c>
      <c r="B35" s="568">
        <v>831</v>
      </c>
      <c r="C35" s="569" t="s">
        <v>718</v>
      </c>
      <c r="D35" s="361">
        <v>8363</v>
      </c>
      <c r="E35" s="4"/>
      <c r="F35" s="4"/>
      <c r="G35" s="4"/>
      <c r="H35" s="2213"/>
      <c r="I35" s="2213"/>
      <c r="J35" s="2213"/>
      <c r="K35" s="2213"/>
      <c r="L35" s="2074"/>
    </row>
    <row r="36" spans="1:20" ht="12.75">
      <c r="A36" s="779">
        <v>770</v>
      </c>
      <c r="B36" s="568">
        <v>834</v>
      </c>
      <c r="C36" s="569" t="s">
        <v>719</v>
      </c>
      <c r="D36" s="361">
        <v>14</v>
      </c>
      <c r="E36" s="4"/>
      <c r="F36" s="4"/>
      <c r="G36" s="4"/>
      <c r="H36" s="2213"/>
      <c r="I36" s="2213"/>
      <c r="J36" s="2213"/>
      <c r="K36" s="2213"/>
      <c r="L36" s="2074"/>
      <c r="N36" s="4"/>
      <c r="O36" s="4"/>
      <c r="P36" s="4"/>
      <c r="Q36" s="4"/>
    </row>
    <row r="37" spans="1:20" ht="12.75">
      <c r="A37" s="779">
        <v>780</v>
      </c>
      <c r="B37" s="568">
        <v>835</v>
      </c>
      <c r="C37" s="569" t="s">
        <v>720</v>
      </c>
      <c r="D37" s="362">
        <v>9278</v>
      </c>
      <c r="E37" s="4"/>
      <c r="F37" s="4"/>
      <c r="G37" s="4"/>
      <c r="H37" s="2213"/>
      <c r="I37" s="2213"/>
      <c r="J37" s="2213"/>
      <c r="K37" s="2213"/>
      <c r="L37" s="2074"/>
      <c r="M37" s="4"/>
      <c r="N37" s="4"/>
      <c r="O37" s="4"/>
      <c r="P37" s="4"/>
      <c r="Q37" s="4"/>
      <c r="R37" s="4"/>
      <c r="S37" s="4"/>
      <c r="T37" s="4"/>
    </row>
    <row r="38" spans="1:20" ht="12.75">
      <c r="A38" s="779">
        <v>786</v>
      </c>
      <c r="B38" s="568">
        <v>836</v>
      </c>
      <c r="C38" s="569" t="s">
        <v>721</v>
      </c>
      <c r="D38" s="362">
        <v>4662</v>
      </c>
      <c r="E38" s="4"/>
      <c r="F38" s="4"/>
      <c r="G38" s="4"/>
      <c r="H38" s="2213"/>
      <c r="I38" s="2213"/>
      <c r="J38" s="2213"/>
      <c r="K38" s="2213"/>
      <c r="L38" s="2074"/>
      <c r="M38" s="4"/>
      <c r="N38" s="4"/>
      <c r="O38" s="4"/>
      <c r="P38" s="4"/>
      <c r="Q38" s="4"/>
      <c r="R38" s="4"/>
      <c r="S38" s="4"/>
      <c r="T38" s="4"/>
    </row>
    <row r="39" spans="1:20" ht="13.5" thickBot="1">
      <c r="A39" s="780">
        <v>790</v>
      </c>
      <c r="B39" s="829"/>
      <c r="C39" s="1354" t="s">
        <v>722</v>
      </c>
      <c r="D39" s="359">
        <f>SUM(D35:D38)</f>
        <v>22317</v>
      </c>
      <c r="E39" s="3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3.5" thickBot="1">
      <c r="A40" s="232"/>
      <c r="B40" s="17"/>
      <c r="C40" s="18"/>
      <c r="D40" s="19"/>
      <c r="E40" s="3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3.5" thickBot="1">
      <c r="A41" s="787">
        <v>765</v>
      </c>
      <c r="B41" s="830">
        <v>828</v>
      </c>
      <c r="C41" s="1355" t="s">
        <v>786</v>
      </c>
      <c r="D41" s="233">
        <v>19211.654999999999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2.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2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2.75" hidden="1">
      <c r="A44" s="4"/>
      <c r="B44" s="4"/>
      <c r="C44" s="4"/>
      <c r="D44" s="4"/>
      <c r="E44" s="4"/>
      <c r="H44" s="4"/>
      <c r="I44" s="4"/>
      <c r="J44" s="4"/>
      <c r="K44" s="4"/>
      <c r="L44" s="4"/>
      <c r="M44" s="4"/>
      <c r="R44" s="4"/>
      <c r="S44" s="4"/>
      <c r="T44" s="4"/>
    </row>
    <row r="45" spans="1:20" ht="12.75" hidden="1" customHeight="1"/>
    <row r="46" spans="1:20" ht="0" hidden="1" customHeight="1"/>
  </sheetData>
  <sheetProtection password="CBFD" sheet="1" objects="1" scenarios="1"/>
  <mergeCells count="2">
    <mergeCell ref="N18:Q19"/>
    <mergeCell ref="F25:G27"/>
  </mergeCells>
  <conditionalFormatting sqref="D27 D41 K22:L28 K8:L15">
    <cfRule type="cellIs" dxfId="120" priority="19" stopIfTrue="1" operator="lessThan">
      <formula>-500</formula>
    </cfRule>
  </conditionalFormatting>
  <conditionalFormatting sqref="K29:L29">
    <cfRule type="cellIs" dxfId="119" priority="17" stopIfTrue="1" operator="lessThan">
      <formula>-500</formula>
    </cfRule>
  </conditionalFormatting>
  <conditionalFormatting sqref="I17">
    <cfRule type="expression" dxfId="118" priority="16" stopIfTrue="1">
      <formula>ABS(K17)&gt;100</formula>
    </cfRule>
  </conditionalFormatting>
  <conditionalFormatting sqref="K17:L17">
    <cfRule type="expression" dxfId="117" priority="15" stopIfTrue="1">
      <formula>ABS(K17)&gt;100</formula>
    </cfRule>
  </conditionalFormatting>
  <conditionalFormatting sqref="I31">
    <cfRule type="expression" dxfId="116" priority="14" stopIfTrue="1">
      <formula>ABS(K31)&gt;100</formula>
    </cfRule>
  </conditionalFormatting>
  <conditionalFormatting sqref="K31:L31">
    <cfRule type="expression" dxfId="115" priority="13" stopIfTrue="1">
      <formula>ABS(K31)&gt;100</formula>
    </cfRule>
  </conditionalFormatting>
  <conditionalFormatting sqref="Q8 Q15">
    <cfRule type="cellIs" dxfId="114" priority="12" stopIfTrue="1" operator="lessThan">
      <formula>-500</formula>
    </cfRule>
  </conditionalFormatting>
  <conditionalFormatting sqref="G29">
    <cfRule type="cellIs" dxfId="113" priority="11" stopIfTrue="1" operator="lessThan">
      <formula>0</formula>
    </cfRule>
  </conditionalFormatting>
  <conditionalFormatting sqref="F21">
    <cfRule type="expression" dxfId="112" priority="20">
      <formula>G27&gt;0</formula>
    </cfRule>
  </conditionalFormatting>
  <conditionalFormatting sqref="F25:G27">
    <cfRule type="expression" dxfId="111" priority="10">
      <formula>SUM(D27-G29)&lt;100</formula>
    </cfRule>
  </conditionalFormatting>
  <conditionalFormatting sqref="Q14">
    <cfRule type="cellIs" dxfId="110" priority="9" stopIfTrue="1" operator="lessThan">
      <formula>-500</formula>
    </cfRule>
  </conditionalFormatting>
  <conditionalFormatting sqref="Q16">
    <cfRule type="cellIs" dxfId="109" priority="8" stopIfTrue="1" operator="lessThan">
      <formula>-500</formula>
    </cfRule>
  </conditionalFormatting>
  <conditionalFormatting sqref="Q27">
    <cfRule type="cellIs" dxfId="108" priority="7" stopIfTrue="1" operator="lessThan">
      <formula>-500</formula>
    </cfRule>
  </conditionalFormatting>
  <conditionalFormatting sqref="Q26">
    <cfRule type="cellIs" dxfId="107" priority="6" stopIfTrue="1" operator="lessThan">
      <formula>-500</formula>
    </cfRule>
  </conditionalFormatting>
  <conditionalFormatting sqref="Q28">
    <cfRule type="cellIs" dxfId="106" priority="5" stopIfTrue="1" operator="lessThan">
      <formula>-500</formula>
    </cfRule>
  </conditionalFormatting>
  <conditionalFormatting sqref="Q13">
    <cfRule type="cellIs" dxfId="105" priority="4" stopIfTrue="1" operator="lessThan">
      <formula>-500</formula>
    </cfRule>
  </conditionalFormatting>
  <conditionalFormatting sqref="Q12">
    <cfRule type="cellIs" dxfId="104" priority="3" stopIfTrue="1" operator="lessThan">
      <formula>-500</formula>
    </cfRule>
  </conditionalFormatting>
  <conditionalFormatting sqref="Q25">
    <cfRule type="cellIs" dxfId="103" priority="2" stopIfTrue="1" operator="lessThan">
      <formula>-500</formula>
    </cfRule>
  </conditionalFormatting>
  <conditionalFormatting sqref="G28">
    <cfRule type="cellIs" dxfId="102" priority="1" stopIfTrue="1" operator="lessThan">
      <formula>0</formula>
    </cfRule>
  </conditionalFormatting>
  <dataValidations count="1">
    <dataValidation type="decimal" operator="lessThan" allowBlank="1" showInputMessage="1" showErrorMessage="1" error="Beloppet ska vara i 1000 tal kronor" sqref="K22:L29 D27 D11:D12 D41 G28:G29 Q8 K8:L15 Q25:Q28 Q12:Q16">
      <formula1>99999999</formula1>
    </dataValidation>
  </dataValidations>
  <pageMargins left="0.70866141732283472" right="0.70866141732283472" top="0.74803149606299213" bottom="0.15748031496062992" header="0.31496062992125984" footer="0.31496062992125984"/>
  <pageSetup paperSize="9" scale="80" orientation="landscape" r:id="rId1"/>
  <headerFooter>
    <oddHeader>&amp;L&amp;8Statistiska Centralbyrån
Offentlig ekonomi&amp;R&amp;P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tabColor rgb="FFFFFF00"/>
    <pageSetUpPr fitToPage="1"/>
  </sheetPr>
  <dimension ref="A1:M122"/>
  <sheetViews>
    <sheetView showGridLines="0" zoomScaleNormal="100" workbookViewId="0">
      <pane ySplit="1" topLeftCell="A2" activePane="bottomLeft" state="frozen"/>
      <selection activeCell="F36" sqref="F36"/>
      <selection pane="bottomLeft" activeCell="G79" sqref="G79"/>
    </sheetView>
  </sheetViews>
  <sheetFormatPr defaultColWidth="0" defaultRowHeight="12.75" zeroHeight="1"/>
  <cols>
    <col min="1" max="1" width="4" style="144" customWidth="1"/>
    <col min="2" max="2" width="33.7109375" style="144" customWidth="1"/>
    <col min="3" max="3" width="10.7109375" style="144" customWidth="1"/>
    <col min="4" max="4" width="11.42578125" style="144" customWidth="1"/>
    <col min="5" max="5" width="8.42578125" style="144" customWidth="1"/>
    <col min="6" max="6" width="9" style="144" customWidth="1"/>
    <col min="7" max="7" width="10" style="144" customWidth="1"/>
    <col min="8" max="8" width="10.28515625" style="144" customWidth="1"/>
    <col min="9" max="9" width="34" style="147" customWidth="1"/>
    <col min="10" max="10" width="39.5703125" style="144" customWidth="1"/>
    <col min="11" max="11" width="2.85546875" style="144" customWidth="1"/>
    <col min="12" max="12" width="4.140625" style="170" customWidth="1"/>
    <col min="13" max="13" width="3" style="170" customWidth="1"/>
    <col min="14" max="16384" width="9.140625" style="170" hidden="1"/>
  </cols>
  <sheetData>
    <row r="1" spans="1:13" s="234" customFormat="1" ht="20.25">
      <c r="A1" s="77" t="str">
        <f>"Investeringsredovisning "&amp;År&amp;", miljoner kr"</f>
        <v>Investeringsredovisning 2020, miljoner kr</v>
      </c>
      <c r="B1" s="94"/>
      <c r="C1" s="94"/>
      <c r="D1" s="94"/>
      <c r="E1" s="95"/>
      <c r="F1" s="95"/>
      <c r="G1" s="514" t="s">
        <v>459</v>
      </c>
      <c r="H1" s="515" t="str">
        <f>'Kn Information'!A2</f>
        <v>RIKSTOTAL</v>
      </c>
      <c r="I1" s="159"/>
      <c r="J1" s="96">
        <v>1</v>
      </c>
      <c r="K1" s="96"/>
      <c r="L1" s="96"/>
      <c r="M1" s="96"/>
    </row>
    <row r="2" spans="1:13" s="234" customFormat="1" ht="12.75" customHeight="1">
      <c r="A2" s="2213"/>
      <c r="B2" s="2213"/>
      <c r="C2" s="2213"/>
      <c r="D2" s="2213"/>
      <c r="E2" s="2213"/>
      <c r="F2" s="2213"/>
      <c r="G2" s="2213"/>
      <c r="H2" s="2213"/>
      <c r="I2" s="2213"/>
      <c r="J2" s="2213"/>
      <c r="K2" s="2213"/>
      <c r="L2" s="2213"/>
      <c r="M2" s="2213"/>
    </row>
    <row r="3" spans="1:13" s="234" customFormat="1" ht="12.75" customHeight="1" thickBot="1">
      <c r="A3" s="2213"/>
      <c r="B3" s="2213"/>
      <c r="C3" s="2213"/>
      <c r="D3" s="2213"/>
      <c r="E3" s="2213"/>
      <c r="F3" s="2213"/>
      <c r="G3" s="2213"/>
      <c r="H3" s="2213"/>
      <c r="I3" s="2213"/>
      <c r="J3" s="2213"/>
      <c r="K3" s="2213"/>
      <c r="L3" s="2213"/>
      <c r="M3" s="2213"/>
    </row>
    <row r="4" spans="1:13" s="234" customFormat="1" ht="43.5" customHeight="1">
      <c r="A4" s="831" t="s">
        <v>477</v>
      </c>
      <c r="B4" s="832"/>
      <c r="C4" s="2498" t="s">
        <v>1011</v>
      </c>
      <c r="D4" s="2498" t="s">
        <v>1012</v>
      </c>
      <c r="E4" s="2498" t="s">
        <v>1013</v>
      </c>
      <c r="F4" s="1727" t="s">
        <v>1014</v>
      </c>
      <c r="G4" s="1932" t="s">
        <v>1015</v>
      </c>
      <c r="H4" s="1933" t="s">
        <v>1016</v>
      </c>
      <c r="I4" s="68"/>
      <c r="J4" s="43"/>
      <c r="K4" s="235"/>
      <c r="L4" s="235"/>
    </row>
    <row r="5" spans="1:13" s="234" customFormat="1" ht="39.75" customHeight="1">
      <c r="A5" s="833"/>
      <c r="B5" s="834"/>
      <c r="C5" s="2499"/>
      <c r="D5" s="2499"/>
      <c r="E5" s="2499"/>
      <c r="F5" s="1728" t="s">
        <v>789</v>
      </c>
      <c r="G5" s="1729"/>
      <c r="H5" s="1726"/>
      <c r="I5" s="88"/>
      <c r="J5" s="1338"/>
      <c r="K5" s="235"/>
      <c r="L5" s="235"/>
    </row>
    <row r="6" spans="1:13" s="237" customFormat="1" ht="19.5" customHeight="1">
      <c r="A6" s="584" t="s">
        <v>482</v>
      </c>
      <c r="B6" s="585" t="s">
        <v>370</v>
      </c>
      <c r="C6" s="351">
        <v>544311.08100000001</v>
      </c>
      <c r="D6" s="351">
        <v>29508.677</v>
      </c>
      <c r="E6" s="351">
        <v>291651.46000000002</v>
      </c>
      <c r="F6" s="1730">
        <v>76816.539999999994</v>
      </c>
      <c r="G6" s="1731">
        <v>1370214.301</v>
      </c>
      <c r="H6" s="1291">
        <v>46657.972000000002</v>
      </c>
      <c r="I6" s="2152"/>
      <c r="J6" s="1338"/>
      <c r="K6" s="236"/>
      <c r="L6" s="236"/>
    </row>
    <row r="7" spans="1:13" s="237" customFormat="1" ht="19.5" customHeight="1">
      <c r="A7" s="586" t="s">
        <v>483</v>
      </c>
      <c r="B7" s="587" t="s">
        <v>921</v>
      </c>
      <c r="C7" s="242">
        <v>68896.013000000006</v>
      </c>
      <c r="D7" s="243">
        <v>7957.402</v>
      </c>
      <c r="E7" s="244">
        <v>11370.621999999999</v>
      </c>
      <c r="F7" s="1732">
        <v>1643.03</v>
      </c>
      <c r="G7" s="1816">
        <v>159773.80799999999</v>
      </c>
      <c r="H7" s="1858">
        <v>2194.395</v>
      </c>
      <c r="I7" s="1988"/>
      <c r="J7" s="2153" t="str">
        <f>IF(AND(I6&lt;1.5,I6&gt;0.5),"Kontrollera beloppet i kol E. OBS! Internbankens nyupplåning för vidareutlåning ska inte ingå här utan på rad 994, Övriga förändringar",IF(F7&gt;E7,"Rad 987: därav-Kol.F&gt;Kol.E",IF(SUM(C7+D7)&gt;G7,"Koncern kol G, borde vara större än kommunen, kol C+D","")))</f>
        <v/>
      </c>
      <c r="K7" s="236"/>
      <c r="L7" s="236"/>
    </row>
    <row r="8" spans="1:13" s="237" customFormat="1" ht="17.25" customHeight="1">
      <c r="A8" s="588" t="s">
        <v>484</v>
      </c>
      <c r="B8" s="587" t="s">
        <v>1045</v>
      </c>
      <c r="C8" s="242">
        <v>-4750.4520000000002</v>
      </c>
      <c r="D8" s="243">
        <v>-170.13499999999999</v>
      </c>
      <c r="E8" s="244">
        <v>-3254.1869999999999</v>
      </c>
      <c r="F8" s="1732">
        <v>-1430.152</v>
      </c>
      <c r="G8" s="1816">
        <v>-12356.105</v>
      </c>
      <c r="H8" s="1858">
        <v>-2304.5039999999999</v>
      </c>
      <c r="I8" s="1909"/>
      <c r="J8" s="2065" t="str">
        <f>IF(F8&lt;E8,"Rad 988: därav-kol.F&lt;Kol.E","")</f>
        <v/>
      </c>
      <c r="K8" s="236"/>
      <c r="L8" s="236"/>
    </row>
    <row r="9" spans="1:13" s="237" customFormat="1" ht="20.25" customHeight="1">
      <c r="A9" s="588" t="s">
        <v>485</v>
      </c>
      <c r="B9" s="587" t="s">
        <v>494</v>
      </c>
      <c r="C9" s="312">
        <v>2031.057</v>
      </c>
      <c r="D9" s="243">
        <v>202.953</v>
      </c>
      <c r="E9" s="244">
        <v>193.678</v>
      </c>
      <c r="F9" s="1732">
        <v>174.297</v>
      </c>
      <c r="G9" s="1816">
        <v>7256.8530000000001</v>
      </c>
      <c r="H9" s="1858">
        <v>156.38200000000001</v>
      </c>
      <c r="I9" s="1988"/>
      <c r="J9" s="2064" t="str">
        <f>IF(F9&gt;E9,"Rad 989: därav-kol.F&gt;kol.E","")</f>
        <v/>
      </c>
      <c r="K9" s="236"/>
      <c r="L9" s="236"/>
    </row>
    <row r="10" spans="1:13" s="237" customFormat="1" ht="21" customHeight="1">
      <c r="A10" s="588" t="s">
        <v>356</v>
      </c>
      <c r="B10" s="587" t="s">
        <v>1065</v>
      </c>
      <c r="C10" s="312">
        <v>-1079.0260000000001</v>
      </c>
      <c r="D10" s="243">
        <v>-215.655</v>
      </c>
      <c r="E10" s="244">
        <v>-80.647000000000006</v>
      </c>
      <c r="F10" s="1732">
        <v>-71.492999999999995</v>
      </c>
      <c r="G10" s="1816">
        <v>-2028.077</v>
      </c>
      <c r="H10" s="1858">
        <v>-45.546999999999997</v>
      </c>
      <c r="I10" s="1988"/>
      <c r="J10" s="2064" t="str">
        <f>IF(F10&lt;E10,"Rad 990: därav-kol.F&lt;Kol.E","")</f>
        <v/>
      </c>
      <c r="K10" s="236"/>
      <c r="L10" s="236"/>
    </row>
    <row r="11" spans="1:13" s="237" customFormat="1" ht="15" customHeight="1">
      <c r="A11" s="588" t="s">
        <v>357</v>
      </c>
      <c r="B11" s="587" t="s">
        <v>353</v>
      </c>
      <c r="C11" s="242">
        <v>-21119.345000000001</v>
      </c>
      <c r="D11" s="243">
        <v>-6265.6239999999998</v>
      </c>
      <c r="E11" s="1489">
        <v>-2.4870000000000001</v>
      </c>
      <c r="F11" s="1733">
        <v>0</v>
      </c>
      <c r="G11" s="1816">
        <v>-64520.24</v>
      </c>
      <c r="H11" s="1858">
        <v>-41.286999999999999</v>
      </c>
      <c r="I11" s="1909"/>
      <c r="J11" s="2087"/>
      <c r="K11" s="236"/>
      <c r="L11" s="236"/>
    </row>
    <row r="12" spans="1:13" s="237" customFormat="1" ht="15" customHeight="1">
      <c r="A12" s="588" t="s">
        <v>358</v>
      </c>
      <c r="B12" s="587" t="s">
        <v>153</v>
      </c>
      <c r="C12" s="245">
        <v>-1075.0709999999999</v>
      </c>
      <c r="D12" s="246">
        <v>334.36</v>
      </c>
      <c r="E12" s="54">
        <v>-168.423</v>
      </c>
      <c r="F12" s="1549">
        <v>-112.199</v>
      </c>
      <c r="G12" s="1816">
        <v>-3225.2809999999999</v>
      </c>
      <c r="H12" s="1858">
        <v>-176.84399999999999</v>
      </c>
      <c r="I12" s="2145"/>
      <c r="J12" s="2505"/>
      <c r="K12" s="2506"/>
      <c r="L12" s="2506"/>
      <c r="M12" s="2506"/>
    </row>
    <row r="13" spans="1:13" s="237" customFormat="1" ht="19.5" customHeight="1">
      <c r="A13" s="589" t="s">
        <v>359</v>
      </c>
      <c r="B13" s="587" t="s">
        <v>354</v>
      </c>
      <c r="C13" s="242">
        <v>-545.75599999999997</v>
      </c>
      <c r="D13" s="243">
        <v>266.51400000000001</v>
      </c>
      <c r="E13" s="244">
        <v>-78.34</v>
      </c>
      <c r="F13" s="1732">
        <v>0.54</v>
      </c>
      <c r="G13" s="1816">
        <v>-558.31899999999996</v>
      </c>
      <c r="H13" s="1858">
        <v>-38.841000000000001</v>
      </c>
      <c r="I13" s="2149"/>
      <c r="J13" s="2506"/>
      <c r="K13" s="2506"/>
      <c r="L13" s="2506"/>
      <c r="M13" s="2506"/>
    </row>
    <row r="14" spans="1:13" s="237" customFormat="1" ht="13.5" customHeight="1">
      <c r="A14" s="588" t="s">
        <v>360</v>
      </c>
      <c r="B14" s="587" t="s">
        <v>355</v>
      </c>
      <c r="C14" s="242">
        <v>547.03499999999997</v>
      </c>
      <c r="D14" s="243">
        <v>-101.22799999999999</v>
      </c>
      <c r="E14" s="244">
        <v>4702.0690000000004</v>
      </c>
      <c r="F14" s="1732">
        <v>40.457000000000001</v>
      </c>
      <c r="G14" s="1816">
        <v>-745.18100000000004</v>
      </c>
      <c r="H14" s="1858">
        <v>-405.70600000000002</v>
      </c>
      <c r="I14" s="2150"/>
      <c r="J14" s="2506"/>
      <c r="K14" s="2506"/>
      <c r="L14" s="2506"/>
      <c r="M14" s="2506"/>
    </row>
    <row r="15" spans="1:13" s="237" customFormat="1" ht="12" thickBot="1">
      <c r="A15" s="590" t="s">
        <v>361</v>
      </c>
      <c r="B15" s="591" t="s">
        <v>371</v>
      </c>
      <c r="C15" s="294">
        <f>BR!D10</f>
        <v>587215.53599999996</v>
      </c>
      <c r="D15" s="295">
        <f>BR!D11</f>
        <v>31517.263999999999</v>
      </c>
      <c r="E15" s="295">
        <f>BR!D17</f>
        <v>304333.75</v>
      </c>
      <c r="F15" s="1734">
        <f>BR!D13</f>
        <v>77061.02</v>
      </c>
      <c r="G15" s="1735">
        <f>BR!E12</f>
        <v>1453811.7590000001</v>
      </c>
      <c r="H15" s="1725">
        <f>BR!E17</f>
        <v>45996.02</v>
      </c>
      <c r="I15" s="1490"/>
      <c r="J15" s="2506"/>
      <c r="K15" s="2506"/>
      <c r="L15" s="2506"/>
      <c r="M15" s="2506"/>
    </row>
    <row r="16" spans="1:13" s="237" customFormat="1" ht="37.5" customHeight="1">
      <c r="A16" s="60"/>
      <c r="B16" s="59"/>
      <c r="C16" s="141"/>
      <c r="D16" s="141"/>
      <c r="E16" s="141"/>
      <c r="F16" s="141"/>
      <c r="G16" s="1817"/>
      <c r="H16" s="1818"/>
      <c r="I16" s="2213"/>
      <c r="J16" s="2213"/>
      <c r="K16" s="2213"/>
      <c r="L16" s="2213"/>
    </row>
    <row r="17" spans="1:12" ht="12.75" customHeight="1">
      <c r="A17" s="281"/>
      <c r="B17" s="201"/>
      <c r="C17" s="43"/>
      <c r="D17" s="43"/>
      <c r="E17" s="43"/>
      <c r="F17" s="43"/>
      <c r="G17" s="1815"/>
      <c r="H17" s="1815"/>
      <c r="I17" s="45"/>
      <c r="J17" s="45"/>
      <c r="K17" s="4"/>
      <c r="L17" s="171"/>
    </row>
    <row r="18" spans="1:12" ht="25.5" customHeight="1">
      <c r="A18" s="1512" t="s">
        <v>1198</v>
      </c>
      <c r="B18" s="1511"/>
      <c r="C18" s="1511"/>
      <c r="D18" s="1511"/>
      <c r="E18" s="1511"/>
      <c r="F18" s="1511"/>
      <c r="G18" s="1511"/>
      <c r="H18" s="1511"/>
      <c r="I18" s="1511"/>
      <c r="J18" s="1511"/>
      <c r="K18" s="2148"/>
      <c r="L18" s="2148"/>
    </row>
    <row r="19" spans="1:12" s="239" customFormat="1" ht="22.5" customHeight="1" thickBot="1">
      <c r="A19" s="1483" t="s">
        <v>1185</v>
      </c>
      <c r="B19" s="238"/>
      <c r="C19" s="61"/>
      <c r="D19" s="62"/>
      <c r="E19" s="63"/>
      <c r="F19" s="63"/>
      <c r="G19" s="63"/>
      <c r="H19" s="63"/>
      <c r="I19" s="160"/>
      <c r="J19" s="158"/>
      <c r="K19" s="64"/>
      <c r="L19" s="238"/>
    </row>
    <row r="20" spans="1:12" ht="14.25" customHeight="1">
      <c r="A20" s="835" t="s">
        <v>626</v>
      </c>
      <c r="B20" s="836" t="s">
        <v>15</v>
      </c>
      <c r="C20" s="1484" t="s">
        <v>926</v>
      </c>
      <c r="D20" s="837" t="s">
        <v>172</v>
      </c>
      <c r="E20" s="838"/>
      <c r="F20" s="838"/>
      <c r="G20" s="1871"/>
      <c r="H20" s="1872"/>
      <c r="I20" s="39"/>
      <c r="J20" s="39"/>
      <c r="K20" s="44"/>
      <c r="L20" s="4"/>
    </row>
    <row r="21" spans="1:12" ht="27.75" customHeight="1">
      <c r="A21" s="839" t="s">
        <v>629</v>
      </c>
      <c r="B21" s="791"/>
      <c r="C21" s="1485" t="s">
        <v>927</v>
      </c>
      <c r="D21" s="1482" t="s">
        <v>995</v>
      </c>
      <c r="E21" s="1482" t="s">
        <v>924</v>
      </c>
      <c r="F21" s="1859" t="s">
        <v>925</v>
      </c>
      <c r="G21" s="1873"/>
      <c r="H21" s="1874"/>
      <c r="I21" s="8"/>
      <c r="J21" s="65"/>
      <c r="K21" s="44"/>
      <c r="L21" s="4"/>
    </row>
    <row r="22" spans="1:12">
      <c r="A22" s="839"/>
      <c r="B22" s="841"/>
      <c r="C22" s="842"/>
      <c r="D22" s="840" t="s">
        <v>996</v>
      </c>
      <c r="E22" s="891" t="s">
        <v>173</v>
      </c>
      <c r="F22" s="1860" t="s">
        <v>174</v>
      </c>
      <c r="G22" s="1875"/>
      <c r="H22" s="1876"/>
      <c r="I22" s="8"/>
      <c r="J22" s="65"/>
      <c r="K22" s="44"/>
      <c r="L22" s="4"/>
    </row>
    <row r="23" spans="1:12" ht="36" customHeight="1">
      <c r="A23" s="843"/>
      <c r="B23" s="844"/>
      <c r="C23" s="845"/>
      <c r="D23" s="1599" t="s">
        <v>999</v>
      </c>
      <c r="E23" s="1600" t="s">
        <v>997</v>
      </c>
      <c r="F23" s="1861" t="s">
        <v>998</v>
      </c>
      <c r="G23" s="1877"/>
      <c r="H23" s="1536"/>
      <c r="I23" s="8"/>
      <c r="J23" s="8"/>
      <c r="K23" s="44"/>
      <c r="L23" s="4"/>
    </row>
    <row r="24" spans="1:12">
      <c r="A24" s="846"/>
      <c r="B24" s="847" t="s">
        <v>16</v>
      </c>
      <c r="C24" s="848"/>
      <c r="D24" s="848"/>
      <c r="E24" s="848"/>
      <c r="F24" s="1862"/>
      <c r="G24" s="1878"/>
      <c r="H24" s="1879"/>
      <c r="I24" s="161"/>
      <c r="J24" s="162"/>
      <c r="K24" s="163"/>
      <c r="L24" s="163"/>
    </row>
    <row r="25" spans="1:12">
      <c r="A25" s="1961" t="s">
        <v>216</v>
      </c>
      <c r="B25" s="596" t="s">
        <v>17</v>
      </c>
      <c r="C25" s="247">
        <v>43.411000000000001</v>
      </c>
      <c r="D25" s="247">
        <v>28.494</v>
      </c>
      <c r="E25" s="247">
        <v>6.7709999999999999</v>
      </c>
      <c r="F25" s="1863">
        <v>6.2320000000000002</v>
      </c>
      <c r="G25" s="1893"/>
      <c r="H25" s="1880"/>
      <c r="I25" s="309"/>
      <c r="J25" s="309"/>
      <c r="K25" s="310"/>
      <c r="L25" s="179"/>
    </row>
    <row r="26" spans="1:12" ht="18.75">
      <c r="A26" s="849" t="s">
        <v>217</v>
      </c>
      <c r="B26" s="599" t="s">
        <v>1069</v>
      </c>
      <c r="C26" s="20">
        <v>6941.3609999999999</v>
      </c>
      <c r="D26" s="20">
        <v>4982.7269999999999</v>
      </c>
      <c r="E26" s="20">
        <v>85.402000000000001</v>
      </c>
      <c r="F26" s="452">
        <v>1461.386</v>
      </c>
      <c r="G26" s="1893"/>
      <c r="H26" s="1880"/>
      <c r="I26" s="309"/>
      <c r="J26" s="309"/>
      <c r="K26" s="310"/>
      <c r="L26" s="179"/>
    </row>
    <row r="27" spans="1:12">
      <c r="A27" s="588" t="s">
        <v>347</v>
      </c>
      <c r="B27" s="557" t="s">
        <v>175</v>
      </c>
      <c r="C27" s="20">
        <v>121.845</v>
      </c>
      <c r="D27" s="20">
        <v>86.805999999999997</v>
      </c>
      <c r="E27" s="20">
        <v>6.5620000000000003</v>
      </c>
      <c r="F27" s="452">
        <v>16.161000000000001</v>
      </c>
      <c r="G27" s="1893"/>
      <c r="H27" s="1880"/>
      <c r="I27" s="309"/>
      <c r="J27" s="309"/>
      <c r="K27" s="310"/>
      <c r="L27" s="179"/>
    </row>
    <row r="28" spans="1:12">
      <c r="A28" s="588" t="s">
        <v>220</v>
      </c>
      <c r="B28" s="557" t="s">
        <v>856</v>
      </c>
      <c r="C28" s="20">
        <v>15750.419</v>
      </c>
      <c r="D28" s="20">
        <v>14298.473</v>
      </c>
      <c r="E28" s="20">
        <v>214.221</v>
      </c>
      <c r="F28" s="452">
        <v>373.596</v>
      </c>
      <c r="G28" s="1893"/>
      <c r="H28" s="1880"/>
      <c r="I28" s="309"/>
      <c r="J28" s="309"/>
      <c r="K28" s="310"/>
      <c r="L28" s="179"/>
    </row>
    <row r="29" spans="1:12">
      <c r="A29" s="588" t="s">
        <v>221</v>
      </c>
      <c r="B29" s="557" t="s">
        <v>18</v>
      </c>
      <c r="C29" s="20">
        <v>2074.5509999999999</v>
      </c>
      <c r="D29" s="20">
        <v>1679.6579999999999</v>
      </c>
      <c r="E29" s="20">
        <v>140.06100000000001</v>
      </c>
      <c r="F29" s="452">
        <v>18.105</v>
      </c>
      <c r="G29" s="1893"/>
      <c r="H29" s="1880"/>
      <c r="I29" s="309"/>
      <c r="J29" s="309"/>
      <c r="K29" s="310"/>
      <c r="L29" s="179"/>
    </row>
    <row r="30" spans="1:12">
      <c r="A30" s="588" t="s">
        <v>348</v>
      </c>
      <c r="B30" s="557" t="s">
        <v>177</v>
      </c>
      <c r="C30" s="20">
        <v>143.821</v>
      </c>
      <c r="D30" s="20">
        <v>118.685</v>
      </c>
      <c r="E30" s="20">
        <v>19.248999999999999</v>
      </c>
      <c r="F30" s="452">
        <v>0.86099999999999999</v>
      </c>
      <c r="G30" s="1893"/>
      <c r="H30" s="1880"/>
      <c r="I30" s="309"/>
      <c r="J30" s="309"/>
      <c r="K30" s="310"/>
      <c r="L30" s="179"/>
    </row>
    <row r="31" spans="1:12">
      <c r="A31" s="588" t="s">
        <v>225</v>
      </c>
      <c r="B31" s="557" t="s">
        <v>19</v>
      </c>
      <c r="C31" s="20">
        <v>366.137</v>
      </c>
      <c r="D31" s="20">
        <v>151.40799999999999</v>
      </c>
      <c r="E31" s="20">
        <v>183.971</v>
      </c>
      <c r="F31" s="452">
        <v>4.2750000000000004</v>
      </c>
      <c r="G31" s="1893"/>
      <c r="H31" s="1880"/>
      <c r="I31" s="309"/>
      <c r="J31" s="309"/>
      <c r="K31" s="310"/>
      <c r="L31" s="179"/>
    </row>
    <row r="32" spans="1:12">
      <c r="A32" s="588" t="s">
        <v>226</v>
      </c>
      <c r="B32" s="557" t="s">
        <v>178</v>
      </c>
      <c r="C32" s="20">
        <v>83.888000000000005</v>
      </c>
      <c r="D32" s="20">
        <v>28.259</v>
      </c>
      <c r="E32" s="20">
        <v>3.9089999999999998</v>
      </c>
      <c r="F32" s="452">
        <v>49.408999999999999</v>
      </c>
      <c r="G32" s="1893"/>
      <c r="H32" s="1880"/>
      <c r="I32" s="309"/>
      <c r="J32" s="309"/>
      <c r="K32" s="310"/>
      <c r="L32" s="179"/>
    </row>
    <row r="33" spans="1:12">
      <c r="A33" s="595" t="s">
        <v>227</v>
      </c>
      <c r="B33" s="596" t="s">
        <v>179</v>
      </c>
      <c r="C33" s="365">
        <f>SUM(C26:C32)</f>
        <v>25482.021999999997</v>
      </c>
      <c r="D33" s="365">
        <f>SUM(D26:D32)</f>
        <v>21346.016</v>
      </c>
      <c r="E33" s="365">
        <f>SUM(E26:E32)</f>
        <v>653.375</v>
      </c>
      <c r="F33" s="1864">
        <f>SUM(F26:F32)</f>
        <v>1923.7930000000003</v>
      </c>
      <c r="G33" s="1893"/>
      <c r="H33" s="1880"/>
      <c r="I33" s="309"/>
      <c r="J33" s="309"/>
      <c r="K33" s="311"/>
      <c r="L33" s="179"/>
    </row>
    <row r="34" spans="1:12">
      <c r="A34" s="597" t="s">
        <v>237</v>
      </c>
      <c r="B34" s="598" t="s">
        <v>180</v>
      </c>
      <c r="C34" s="248">
        <v>6401.7579999999998</v>
      </c>
      <c r="D34" s="248">
        <v>5374.2420000000002</v>
      </c>
      <c r="E34" s="248">
        <v>471.16699999999997</v>
      </c>
      <c r="F34" s="1865">
        <v>191.29499999999999</v>
      </c>
      <c r="G34" s="1893"/>
      <c r="H34" s="1880"/>
      <c r="I34" s="309"/>
      <c r="J34" s="309"/>
      <c r="K34" s="310"/>
      <c r="L34" s="179"/>
    </row>
    <row r="35" spans="1:12" ht="18.75">
      <c r="A35" s="850" t="s">
        <v>243</v>
      </c>
      <c r="B35" s="1254" t="s">
        <v>763</v>
      </c>
      <c r="C35" s="247">
        <v>5987.732</v>
      </c>
      <c r="D35" s="247">
        <v>5402.5129999999999</v>
      </c>
      <c r="E35" s="247">
        <v>312.34699999999998</v>
      </c>
      <c r="F35" s="1863">
        <v>64.155000000000001</v>
      </c>
      <c r="G35" s="1893"/>
      <c r="H35" s="1880"/>
      <c r="I35" s="309"/>
      <c r="J35" s="309"/>
      <c r="K35" s="310"/>
      <c r="L35" s="179"/>
    </row>
    <row r="36" spans="1:12">
      <c r="A36" s="592"/>
      <c r="B36" s="593" t="s">
        <v>181</v>
      </c>
      <c r="C36" s="851"/>
      <c r="D36" s="851"/>
      <c r="E36" s="851"/>
      <c r="F36" s="1866"/>
      <c r="G36" s="1893"/>
      <c r="H36" s="1880"/>
      <c r="I36" s="309"/>
      <c r="J36" s="309"/>
      <c r="K36" s="310"/>
      <c r="L36" s="179"/>
    </row>
    <row r="37" spans="1:12">
      <c r="A37" s="586" t="s">
        <v>395</v>
      </c>
      <c r="B37" s="594" t="s">
        <v>751</v>
      </c>
      <c r="C37" s="20">
        <v>10802.266</v>
      </c>
      <c r="D37" s="20">
        <v>9120.741</v>
      </c>
      <c r="E37" s="20">
        <v>987.69799999999998</v>
      </c>
      <c r="F37" s="452">
        <v>328.47699999999998</v>
      </c>
      <c r="G37" s="1893"/>
      <c r="H37" s="1880"/>
      <c r="I37" s="309"/>
      <c r="J37" s="309"/>
      <c r="K37" s="310"/>
      <c r="L37" s="179"/>
    </row>
    <row r="38" spans="1:12">
      <c r="A38" s="588" t="s">
        <v>349</v>
      </c>
      <c r="B38" s="557" t="s">
        <v>182</v>
      </c>
      <c r="C38" s="20">
        <v>1848.9159999999999</v>
      </c>
      <c r="D38" s="20">
        <v>1410.2760000000001</v>
      </c>
      <c r="E38" s="20">
        <v>322.10300000000001</v>
      </c>
      <c r="F38" s="452">
        <v>26.920999999999999</v>
      </c>
      <c r="G38" s="1893"/>
      <c r="H38" s="1880"/>
      <c r="I38" s="309"/>
      <c r="J38" s="309"/>
      <c r="K38" s="310"/>
      <c r="L38" s="179"/>
    </row>
    <row r="39" spans="1:12">
      <c r="A39" s="586" t="s">
        <v>350</v>
      </c>
      <c r="B39" s="557" t="s">
        <v>20</v>
      </c>
      <c r="C39" s="20">
        <v>108.239</v>
      </c>
      <c r="D39" s="20">
        <v>57.698</v>
      </c>
      <c r="E39" s="20">
        <v>34.195</v>
      </c>
      <c r="F39" s="452">
        <v>12.981999999999999</v>
      </c>
      <c r="G39" s="1893"/>
      <c r="H39" s="1880"/>
      <c r="I39" s="309"/>
      <c r="J39" s="309"/>
      <c r="K39" s="310"/>
      <c r="L39" s="310"/>
    </row>
    <row r="40" spans="1:12">
      <c r="A40" s="595" t="s">
        <v>252</v>
      </c>
      <c r="B40" s="596" t="s">
        <v>21</v>
      </c>
      <c r="C40" s="365">
        <f>SUM(C37:C39)</f>
        <v>12759.420999999998</v>
      </c>
      <c r="D40" s="365">
        <f>SUM(D37:D39)</f>
        <v>10588.715</v>
      </c>
      <c r="E40" s="365">
        <f>SUM(E37:E39)</f>
        <v>1343.9959999999999</v>
      </c>
      <c r="F40" s="1864">
        <f>SUM(F37:F39)</f>
        <v>368.38</v>
      </c>
      <c r="G40" s="1893"/>
      <c r="H40" s="1880"/>
      <c r="I40" s="309"/>
      <c r="J40" s="309"/>
      <c r="K40" s="310"/>
      <c r="L40" s="310"/>
    </row>
    <row r="41" spans="1:12">
      <c r="A41" s="597" t="s">
        <v>253</v>
      </c>
      <c r="B41" s="598" t="s">
        <v>183</v>
      </c>
      <c r="C41" s="365">
        <f>C35+C40</f>
        <v>18747.152999999998</v>
      </c>
      <c r="D41" s="365">
        <f>D35+D40</f>
        <v>15991.227999999999</v>
      </c>
      <c r="E41" s="365">
        <f>E35+E40</f>
        <v>1656.3429999999998</v>
      </c>
      <c r="F41" s="1867">
        <f>F35+F40</f>
        <v>432.53499999999997</v>
      </c>
      <c r="G41" s="1893"/>
      <c r="H41" s="1880"/>
      <c r="I41" s="309"/>
      <c r="J41" s="309"/>
      <c r="K41" s="310"/>
      <c r="L41" s="310"/>
    </row>
    <row r="42" spans="1:12" ht="18.75">
      <c r="A42" s="584" t="s">
        <v>254</v>
      </c>
      <c r="B42" s="599" t="s">
        <v>184</v>
      </c>
      <c r="C42" s="20">
        <v>10.554</v>
      </c>
      <c r="D42" s="20">
        <v>8.5619999999999994</v>
      </c>
      <c r="E42" s="20">
        <v>1.2629999999999999</v>
      </c>
      <c r="F42" s="452">
        <v>0.02</v>
      </c>
      <c r="G42" s="1893"/>
      <c r="H42" s="1880"/>
      <c r="I42" s="309"/>
      <c r="J42" s="309"/>
      <c r="K42" s="310"/>
      <c r="L42" s="310"/>
    </row>
    <row r="43" spans="1:12">
      <c r="A43" s="600" t="s">
        <v>255</v>
      </c>
      <c r="B43" s="557" t="s">
        <v>100</v>
      </c>
      <c r="C43" s="20">
        <v>77.971000000000004</v>
      </c>
      <c r="D43" s="20">
        <v>38.006</v>
      </c>
      <c r="E43" s="20">
        <v>31.234999999999999</v>
      </c>
      <c r="F43" s="452">
        <v>0</v>
      </c>
      <c r="G43" s="1893"/>
      <c r="H43" s="1880"/>
      <c r="I43" s="309"/>
      <c r="J43" s="309"/>
      <c r="K43" s="310"/>
      <c r="L43" s="179"/>
    </row>
    <row r="44" spans="1:12">
      <c r="A44" s="588" t="s">
        <v>437</v>
      </c>
      <c r="B44" s="601" t="s">
        <v>489</v>
      </c>
      <c r="C44" s="490">
        <v>2942.6030000000001</v>
      </c>
      <c r="D44" s="20">
        <v>1923.615</v>
      </c>
      <c r="E44" s="20">
        <v>434.42200000000003</v>
      </c>
      <c r="F44" s="452">
        <v>429.54199999999997</v>
      </c>
      <c r="G44" s="1893"/>
      <c r="H44" s="1880"/>
      <c r="I44" s="309"/>
      <c r="J44" s="309"/>
      <c r="K44" s="310"/>
      <c r="L44" s="179"/>
    </row>
    <row r="45" spans="1:12" ht="18.75">
      <c r="A45" s="588" t="s">
        <v>501</v>
      </c>
      <c r="B45" s="594" t="s">
        <v>502</v>
      </c>
      <c r="C45" s="490">
        <v>926.71299999999997</v>
      </c>
      <c r="D45" s="20">
        <v>691.274</v>
      </c>
      <c r="E45" s="20">
        <v>72.95</v>
      </c>
      <c r="F45" s="452">
        <v>36.677999999999997</v>
      </c>
      <c r="G45" s="1893"/>
      <c r="H45" s="1880"/>
      <c r="I45" s="309"/>
      <c r="J45" s="309"/>
      <c r="K45" s="310"/>
      <c r="L45" s="179"/>
    </row>
    <row r="46" spans="1:12">
      <c r="A46" s="588" t="s">
        <v>351</v>
      </c>
      <c r="B46" s="557" t="s">
        <v>185</v>
      </c>
      <c r="C46" s="20">
        <v>295.37200000000001</v>
      </c>
      <c r="D46" s="20">
        <v>133.80099999999999</v>
      </c>
      <c r="E46" s="20">
        <v>38.908999999999999</v>
      </c>
      <c r="F46" s="452">
        <v>71.236000000000004</v>
      </c>
      <c r="G46" s="1893"/>
      <c r="H46" s="1880"/>
      <c r="I46" s="309"/>
      <c r="J46" s="309"/>
      <c r="K46" s="310"/>
      <c r="L46" s="179"/>
    </row>
    <row r="47" spans="1:12">
      <c r="A47" s="595" t="s">
        <v>352</v>
      </c>
      <c r="B47" s="852" t="s">
        <v>186</v>
      </c>
      <c r="C47" s="365">
        <f>SUM(C42:C46)</f>
        <v>4253.2130000000006</v>
      </c>
      <c r="D47" s="365">
        <f>SUM(D42:D46)</f>
        <v>2795.2579999999998</v>
      </c>
      <c r="E47" s="365">
        <f>SUM(E42:E46)</f>
        <v>578.779</v>
      </c>
      <c r="F47" s="1864">
        <f>SUM(F42:F46)</f>
        <v>537.476</v>
      </c>
      <c r="G47" s="1893"/>
      <c r="H47" s="1880"/>
      <c r="I47" s="309"/>
      <c r="J47" s="309"/>
      <c r="K47" s="311"/>
      <c r="L47" s="179"/>
    </row>
    <row r="48" spans="1:12">
      <c r="A48" s="597" t="s">
        <v>260</v>
      </c>
      <c r="B48" s="598" t="s">
        <v>187</v>
      </c>
      <c r="C48" s="248">
        <v>46.631</v>
      </c>
      <c r="D48" s="248">
        <v>29.286000000000001</v>
      </c>
      <c r="E48" s="248">
        <v>14.467000000000001</v>
      </c>
      <c r="F48" s="1865">
        <v>0.77900000000000003</v>
      </c>
      <c r="G48" s="1893"/>
      <c r="H48" s="1880"/>
      <c r="I48" s="309"/>
      <c r="J48" s="309"/>
      <c r="K48" s="310"/>
      <c r="L48" s="179"/>
    </row>
    <row r="49" spans="1:12">
      <c r="A49" s="850" t="s">
        <v>261</v>
      </c>
      <c r="B49" s="596" t="s">
        <v>22</v>
      </c>
      <c r="C49" s="365">
        <f>SUM(C25,C33,C34,C41,C47,C48)</f>
        <v>54974.188000000002</v>
      </c>
      <c r="D49" s="365">
        <f>SUM(D25,D33,D34,D41,D47,D48)</f>
        <v>45564.523999999998</v>
      </c>
      <c r="E49" s="365">
        <f>SUM(E25,E33,E34,E41,E47,E48)</f>
        <v>3380.902</v>
      </c>
      <c r="F49" s="1868">
        <f>SUM(F25,F33,F34,F41,F47,F48)</f>
        <v>3092.11</v>
      </c>
      <c r="G49" s="1893"/>
      <c r="H49" s="1880"/>
      <c r="I49" s="309"/>
      <c r="J49" s="309"/>
      <c r="K49" s="310"/>
      <c r="L49" s="179"/>
    </row>
    <row r="50" spans="1:12" ht="27.75">
      <c r="A50" s="849" t="s">
        <v>262</v>
      </c>
      <c r="B50" s="594" t="s">
        <v>1213</v>
      </c>
      <c r="C50" s="20">
        <v>2265.1419999999998</v>
      </c>
      <c r="D50" s="20">
        <v>1934.992</v>
      </c>
      <c r="E50" s="20">
        <v>10.507999999999999</v>
      </c>
      <c r="F50" s="452">
        <v>65.567999999999998</v>
      </c>
      <c r="G50" s="1893"/>
      <c r="H50" s="1880"/>
      <c r="I50" s="309"/>
      <c r="J50" s="309"/>
      <c r="K50" s="310"/>
      <c r="L50" s="179"/>
    </row>
    <row r="51" spans="1:12">
      <c r="A51" s="600" t="s">
        <v>263</v>
      </c>
      <c r="B51" s="569" t="s">
        <v>23</v>
      </c>
      <c r="C51" s="20">
        <v>1293.473</v>
      </c>
      <c r="D51" s="20">
        <v>1223.894</v>
      </c>
      <c r="E51" s="20">
        <v>18.559000000000001</v>
      </c>
      <c r="F51" s="452">
        <v>13.009</v>
      </c>
      <c r="G51" s="1893"/>
      <c r="H51" s="1880"/>
      <c r="I51" s="309"/>
      <c r="J51" s="309"/>
      <c r="K51" s="310"/>
      <c r="L51" s="179"/>
    </row>
    <row r="52" spans="1:12">
      <c r="A52" s="600" t="s">
        <v>264</v>
      </c>
      <c r="B52" s="569" t="s">
        <v>24</v>
      </c>
      <c r="C52" s="20">
        <v>612.23900000000003</v>
      </c>
      <c r="D52" s="20">
        <v>428.03699999999998</v>
      </c>
      <c r="E52" s="20">
        <v>19.681999999999999</v>
      </c>
      <c r="F52" s="452">
        <v>113.364</v>
      </c>
      <c r="G52" s="1893"/>
      <c r="H52" s="1880"/>
      <c r="I52" s="309"/>
      <c r="J52" s="309"/>
      <c r="K52" s="310"/>
      <c r="L52" s="179"/>
    </row>
    <row r="53" spans="1:12">
      <c r="A53" s="600" t="s">
        <v>265</v>
      </c>
      <c r="B53" s="569" t="s">
        <v>25</v>
      </c>
      <c r="C53" s="20">
        <v>2686.2359999999999</v>
      </c>
      <c r="D53" s="20">
        <v>2433.598</v>
      </c>
      <c r="E53" s="20">
        <v>2.6920000000000002</v>
      </c>
      <c r="F53" s="452">
        <v>214.43</v>
      </c>
      <c r="G53" s="1893"/>
      <c r="H53" s="1880"/>
      <c r="I53" s="309"/>
      <c r="J53" s="309"/>
      <c r="K53" s="310"/>
      <c r="L53" s="179"/>
    </row>
    <row r="54" spans="1:12">
      <c r="A54" s="853" t="s">
        <v>266</v>
      </c>
      <c r="B54" s="854" t="s">
        <v>26</v>
      </c>
      <c r="C54" s="365">
        <f>SUM(C50:C53)</f>
        <v>6857.0899999999992</v>
      </c>
      <c r="D54" s="365">
        <f>SUM(D50:D53)</f>
        <v>6020.5209999999997</v>
      </c>
      <c r="E54" s="365">
        <f>SUM(E50:E53)</f>
        <v>51.440999999999995</v>
      </c>
      <c r="F54" s="1864">
        <f>SUM(F50:F53)</f>
        <v>406.37099999999998</v>
      </c>
      <c r="G54" s="1893"/>
      <c r="H54" s="1880"/>
      <c r="I54" s="309"/>
      <c r="J54" s="309"/>
      <c r="K54" s="311"/>
      <c r="L54" s="179"/>
    </row>
    <row r="55" spans="1:12" ht="18.75">
      <c r="A55" s="584" t="s">
        <v>267</v>
      </c>
      <c r="B55" s="855" t="s">
        <v>188</v>
      </c>
      <c r="C55" s="20">
        <v>34.441000000000003</v>
      </c>
      <c r="D55" s="20">
        <v>27.632000000000001</v>
      </c>
      <c r="E55" s="20">
        <v>4.5590000000000002</v>
      </c>
      <c r="F55" s="452">
        <v>0.51400000000000001</v>
      </c>
      <c r="G55" s="1893"/>
      <c r="H55" s="1880"/>
      <c r="I55" s="309"/>
      <c r="J55" s="309"/>
      <c r="K55" s="310"/>
      <c r="L55" s="179"/>
    </row>
    <row r="56" spans="1:12">
      <c r="A56" s="600" t="s">
        <v>268</v>
      </c>
      <c r="B56" s="608" t="s">
        <v>855</v>
      </c>
      <c r="C56" s="20">
        <v>71.429000000000002</v>
      </c>
      <c r="D56" s="20">
        <v>61.121000000000002</v>
      </c>
      <c r="E56" s="20">
        <v>3.9319999999999999</v>
      </c>
      <c r="F56" s="452">
        <v>0.98</v>
      </c>
      <c r="G56" s="1893"/>
      <c r="H56" s="1880"/>
      <c r="I56" s="309"/>
      <c r="J56" s="309"/>
      <c r="K56" s="310"/>
      <c r="L56" s="179"/>
    </row>
    <row r="57" spans="1:12">
      <c r="A57" s="600" t="s">
        <v>269</v>
      </c>
      <c r="B57" s="856" t="s">
        <v>27</v>
      </c>
      <c r="C57" s="20">
        <v>7.0270000000000001</v>
      </c>
      <c r="D57" s="20">
        <v>3.24</v>
      </c>
      <c r="E57" s="20">
        <v>3.2320000000000002</v>
      </c>
      <c r="F57" s="452">
        <v>5.0000000000000001E-3</v>
      </c>
      <c r="G57" s="1893"/>
      <c r="H57" s="1880"/>
      <c r="I57" s="309"/>
      <c r="J57" s="309"/>
      <c r="K57" s="310"/>
      <c r="L57" s="179"/>
    </row>
    <row r="58" spans="1:12">
      <c r="A58" s="853" t="s">
        <v>270</v>
      </c>
      <c r="B58" s="598" t="s">
        <v>28</v>
      </c>
      <c r="C58" s="365">
        <f>SUM(C55:C57)</f>
        <v>112.89700000000001</v>
      </c>
      <c r="D58" s="365">
        <f>SUM(D55:D57)</f>
        <v>91.992999999999995</v>
      </c>
      <c r="E58" s="365">
        <f>SUM(E55:E57)</f>
        <v>11.722999999999999</v>
      </c>
      <c r="F58" s="1864">
        <f>SUM(F55:F57)</f>
        <v>1.4989999999999999</v>
      </c>
      <c r="G58" s="1893"/>
      <c r="H58" s="1880"/>
      <c r="I58" s="309"/>
      <c r="J58" s="309"/>
      <c r="K58" s="311"/>
      <c r="L58" s="179"/>
    </row>
    <row r="59" spans="1:12" ht="18.75">
      <c r="A59" s="584" t="s">
        <v>271</v>
      </c>
      <c r="B59" s="599" t="s">
        <v>189</v>
      </c>
      <c r="C59" s="20">
        <v>174.11199999999999</v>
      </c>
      <c r="D59" s="20">
        <v>130.27799999999999</v>
      </c>
      <c r="E59" s="20">
        <v>20.343</v>
      </c>
      <c r="F59" s="452">
        <v>0</v>
      </c>
      <c r="G59" s="1893"/>
      <c r="H59" s="1880"/>
      <c r="I59" s="309"/>
      <c r="J59" s="309"/>
      <c r="K59" s="310"/>
      <c r="L59" s="179"/>
    </row>
    <row r="60" spans="1:12">
      <c r="A60" s="600" t="s">
        <v>272</v>
      </c>
      <c r="B60" s="569" t="s">
        <v>29</v>
      </c>
      <c r="C60" s="20">
        <v>6.1340000000000003</v>
      </c>
      <c r="D60" s="20">
        <v>5.8220000000000001</v>
      </c>
      <c r="E60" s="20">
        <v>0.41199999999999998</v>
      </c>
      <c r="F60" s="452">
        <v>0</v>
      </c>
      <c r="G60" s="1893"/>
      <c r="H60" s="1880"/>
      <c r="I60" s="309"/>
      <c r="J60" s="309"/>
      <c r="K60" s="310"/>
      <c r="L60" s="179"/>
    </row>
    <row r="61" spans="1:12">
      <c r="A61" s="600" t="s">
        <v>273</v>
      </c>
      <c r="B61" s="569" t="s">
        <v>30</v>
      </c>
      <c r="C61" s="20">
        <v>8922.2109999999993</v>
      </c>
      <c r="D61" s="20">
        <v>7505.6220000000003</v>
      </c>
      <c r="E61" s="20">
        <v>213.20599999999999</v>
      </c>
      <c r="F61" s="452">
        <v>189.59899999999999</v>
      </c>
      <c r="G61" s="1893"/>
      <c r="H61" s="1880"/>
      <c r="I61" s="309"/>
      <c r="J61" s="309"/>
      <c r="K61" s="310"/>
      <c r="L61" s="179"/>
    </row>
    <row r="62" spans="1:12">
      <c r="A62" s="600" t="s">
        <v>274</v>
      </c>
      <c r="B62" s="569" t="s">
        <v>31</v>
      </c>
      <c r="C62" s="20">
        <v>480.58600000000001</v>
      </c>
      <c r="D62" s="20">
        <v>295.786</v>
      </c>
      <c r="E62" s="20">
        <v>129.71199999999999</v>
      </c>
      <c r="F62" s="452">
        <v>16.286000000000001</v>
      </c>
      <c r="G62" s="1893"/>
      <c r="H62" s="1880"/>
      <c r="I62" s="309"/>
      <c r="J62" s="309"/>
      <c r="K62" s="310"/>
      <c r="L62" s="179"/>
    </row>
    <row r="63" spans="1:12">
      <c r="A63" s="853" t="s">
        <v>275</v>
      </c>
      <c r="B63" s="598" t="s">
        <v>190</v>
      </c>
      <c r="C63" s="365">
        <f>SUM(C59:C62)</f>
        <v>9583.0429999999978</v>
      </c>
      <c r="D63" s="365">
        <f>SUM(D59:D62)</f>
        <v>7937.5080000000007</v>
      </c>
      <c r="E63" s="365">
        <f>SUM(E59:E62)</f>
        <v>363.673</v>
      </c>
      <c r="F63" s="1864">
        <f>SUM(F59:F62)</f>
        <v>205.88499999999999</v>
      </c>
      <c r="G63" s="1893"/>
      <c r="H63" s="1880"/>
      <c r="I63" s="309"/>
      <c r="J63" s="309"/>
      <c r="K63" s="311"/>
      <c r="L63" s="179"/>
    </row>
    <row r="64" spans="1:12">
      <c r="A64" s="850" t="s">
        <v>276</v>
      </c>
      <c r="B64" s="596" t="s">
        <v>32</v>
      </c>
      <c r="C64" s="365">
        <f>SUM(C54,C58,C63)</f>
        <v>16553.03</v>
      </c>
      <c r="D64" s="365">
        <f>SUM(D54,D58,D63)</f>
        <v>14050.022000000001</v>
      </c>
      <c r="E64" s="365">
        <f>SUM(E54,E58,E63)</f>
        <v>426.83699999999999</v>
      </c>
      <c r="F64" s="1868">
        <f>SUM(F54,F58,F63)</f>
        <v>613.755</v>
      </c>
      <c r="G64" s="1893"/>
      <c r="H64" s="1880"/>
      <c r="I64" s="309"/>
      <c r="J64" s="309"/>
      <c r="K64" s="310"/>
      <c r="L64" s="179"/>
    </row>
    <row r="65" spans="1:13" ht="13.5" thickBot="1">
      <c r="A65" s="857" t="s">
        <v>279</v>
      </c>
      <c r="B65" s="858" t="s">
        <v>34</v>
      </c>
      <c r="C65" s="249">
        <v>5440.4489999999996</v>
      </c>
      <c r="D65" s="249">
        <v>2424.54</v>
      </c>
      <c r="E65" s="249">
        <v>2363.86</v>
      </c>
      <c r="F65" s="1869">
        <v>125.42</v>
      </c>
      <c r="G65" s="1893"/>
      <c r="H65" s="1880"/>
      <c r="I65" s="309"/>
      <c r="J65" s="309"/>
      <c r="K65" s="310"/>
      <c r="L65" s="179"/>
    </row>
    <row r="66" spans="1:13" ht="27" customHeight="1" thickBot="1">
      <c r="A66" s="859" t="s">
        <v>280</v>
      </c>
      <c r="B66" s="676" t="s">
        <v>35</v>
      </c>
      <c r="C66" s="369">
        <f>SUM(C49,C64,C65)</f>
        <v>76967.666999999987</v>
      </c>
      <c r="D66" s="369">
        <f>SUM(D49,D64,D65)</f>
        <v>62039.086000000003</v>
      </c>
      <c r="E66" s="369">
        <f>SUM(E49,E64,E65)</f>
        <v>6171.5990000000002</v>
      </c>
      <c r="F66" s="1870">
        <f>SUM(F49,F64,F65)</f>
        <v>3831.2850000000003</v>
      </c>
      <c r="G66" s="1893"/>
      <c r="H66" s="1880"/>
      <c r="I66" s="1230"/>
      <c r="J66" s="1470"/>
      <c r="K66" s="1238"/>
      <c r="L66" s="179"/>
    </row>
    <row r="67" spans="1:13" ht="10.5" customHeight="1">
      <c r="A67" s="300"/>
      <c r="B67" s="18"/>
      <c r="C67" s="72"/>
      <c r="D67" s="72"/>
      <c r="E67" s="72"/>
      <c r="F67" s="72"/>
      <c r="G67" s="2213"/>
      <c r="H67" s="2213"/>
      <c r="I67" s="2213"/>
      <c r="J67" s="2213"/>
      <c r="K67" s="2213"/>
      <c r="L67" s="4"/>
    </row>
    <row r="68" spans="1:13" ht="25.5" customHeight="1">
      <c r="A68" s="300"/>
      <c r="B68" s="18"/>
      <c r="C68" s="72"/>
      <c r="D68" s="72"/>
      <c r="E68" s="72"/>
      <c r="F68" s="72"/>
      <c r="G68" s="2213"/>
      <c r="H68" s="2213"/>
      <c r="I68" s="2213"/>
      <c r="J68" s="2213"/>
      <c r="K68" s="2213"/>
      <c r="L68" s="1882"/>
    </row>
    <row r="69" spans="1:13" ht="31.5" customHeight="1">
      <c r="A69" s="300"/>
      <c r="B69" s="18"/>
      <c r="C69" s="72"/>
      <c r="D69" s="72"/>
      <c r="E69" s="72"/>
      <c r="F69" s="72"/>
      <c r="G69" s="2213"/>
      <c r="H69" s="2213"/>
      <c r="I69" s="2213"/>
      <c r="J69" s="2213"/>
      <c r="K69" s="2213"/>
      <c r="L69" s="1882"/>
      <c r="M69" s="1250"/>
    </row>
    <row r="70" spans="1:13" ht="28.5" customHeight="1">
      <c r="A70" s="2500" t="s">
        <v>1186</v>
      </c>
      <c r="B70" s="2501"/>
      <c r="C70" s="2502"/>
      <c r="D70" s="2502"/>
      <c r="E70" s="2502"/>
      <c r="F70" s="2502"/>
      <c r="G70" s="72"/>
      <c r="H70" s="1314"/>
      <c r="I70" s="1857"/>
      <c r="J70" s="1857"/>
      <c r="K70" s="1857"/>
      <c r="L70" s="1857"/>
      <c r="M70" s="1250"/>
    </row>
    <row r="71" spans="1:13">
      <c r="A71" s="1741" t="s">
        <v>1021</v>
      </c>
      <c r="B71" s="1372"/>
      <c r="C71" s="142"/>
      <c r="D71" s="69"/>
      <c r="F71" s="70"/>
      <c r="G71" s="71"/>
      <c r="H71" s="240"/>
      <c r="I71" s="1857"/>
      <c r="J71" s="1857"/>
      <c r="K71" s="1857"/>
      <c r="L71" s="1857"/>
      <c r="M71" s="1250"/>
    </row>
    <row r="72" spans="1:13" ht="32.25" customHeight="1" thickBot="1">
      <c r="A72" s="1736" t="s">
        <v>1062</v>
      </c>
      <c r="B72" s="88"/>
      <c r="C72" s="1338"/>
      <c r="D72" s="39"/>
      <c r="E72" s="1248"/>
      <c r="F72" s="1249"/>
      <c r="G72" s="1249"/>
      <c r="H72" s="1249"/>
      <c r="I72" s="1881"/>
      <c r="J72" s="1881"/>
      <c r="K72" s="1881"/>
      <c r="L72" s="1881"/>
      <c r="M72" s="1250"/>
    </row>
    <row r="73" spans="1:13" ht="27.75">
      <c r="A73" s="1738" t="s">
        <v>1017</v>
      </c>
      <c r="B73" s="1739" t="s">
        <v>1018</v>
      </c>
      <c r="C73" s="1761"/>
      <c r="D73" s="146"/>
      <c r="E73" s="1249"/>
      <c r="F73" s="1249"/>
      <c r="G73" s="1912"/>
      <c r="H73" s="1249"/>
      <c r="I73" s="1912"/>
      <c r="J73" s="286"/>
      <c r="K73" s="286"/>
      <c r="L73" s="286"/>
      <c r="M73" s="1250"/>
    </row>
    <row r="74" spans="1:13" ht="15" customHeight="1">
      <c r="A74" s="1957" t="s">
        <v>423</v>
      </c>
      <c r="B74" s="1934" t="s">
        <v>1019</v>
      </c>
      <c r="C74" s="223">
        <v>2131.3359999999998</v>
      </c>
      <c r="D74" s="1924"/>
      <c r="E74" s="1249"/>
      <c r="F74" s="1249"/>
      <c r="G74" s="1883"/>
      <c r="H74" s="174"/>
      <c r="I74" s="174"/>
      <c r="J74" s="174"/>
      <c r="K74" s="174"/>
      <c r="L74" s="174"/>
      <c r="M74" s="1250"/>
    </row>
    <row r="75" spans="1:13" ht="13.5" thickBot="1">
      <c r="A75" s="1958">
        <v>705</v>
      </c>
      <c r="B75" s="1935" t="s">
        <v>1020</v>
      </c>
      <c r="C75" s="227">
        <v>10409.909</v>
      </c>
      <c r="D75" s="1924"/>
      <c r="E75" s="1249"/>
      <c r="F75" s="1249"/>
      <c r="G75" s="174"/>
      <c r="H75" s="285"/>
      <c r="I75" s="174"/>
      <c r="J75" s="174"/>
      <c r="K75" s="174"/>
      <c r="L75" s="174"/>
      <c r="M75" s="1250"/>
    </row>
    <row r="76" spans="1:13" ht="13.5" thickBot="1">
      <c r="A76" s="1374"/>
      <c r="B76" s="1373"/>
      <c r="C76" s="148"/>
      <c r="D76" s="1488"/>
      <c r="E76" s="1249"/>
      <c r="F76" s="1249"/>
      <c r="G76" s="1249"/>
      <c r="H76" s="1249"/>
      <c r="I76" s="1913"/>
      <c r="J76" s="1913"/>
      <c r="K76" s="1913"/>
      <c r="L76" s="1913"/>
      <c r="M76" s="1250"/>
    </row>
    <row r="77" spans="1:13" ht="29.25" customHeight="1">
      <c r="A77" s="1740" t="s">
        <v>477</v>
      </c>
      <c r="B77" s="2262" t="s">
        <v>1207</v>
      </c>
      <c r="C77" s="1914"/>
      <c r="D77" s="1488"/>
      <c r="E77" s="1249"/>
      <c r="F77" s="1249"/>
      <c r="G77" s="2213"/>
      <c r="H77" s="2213"/>
      <c r="I77" s="2213"/>
      <c r="J77" s="2213"/>
      <c r="K77" s="1913"/>
      <c r="L77" s="1913"/>
      <c r="M77" s="1250"/>
    </row>
    <row r="78" spans="1:13" ht="15" customHeight="1">
      <c r="A78" s="1959">
        <v>710</v>
      </c>
      <c r="B78" s="1161" t="s">
        <v>1068</v>
      </c>
      <c r="C78" s="223">
        <v>6021.1880000000001</v>
      </c>
      <c r="D78" s="1924"/>
      <c r="E78" s="1249"/>
      <c r="F78" s="1249"/>
      <c r="G78" s="2213"/>
      <c r="H78" s="2213"/>
      <c r="I78" s="2213"/>
      <c r="J78" s="2213"/>
      <c r="K78" s="1913"/>
      <c r="L78" s="1913"/>
      <c r="M78" s="1250"/>
    </row>
    <row r="79" spans="1:13" ht="15" customHeight="1">
      <c r="A79" s="1936" t="s">
        <v>1022</v>
      </c>
      <c r="B79" s="1155" t="s">
        <v>1049</v>
      </c>
      <c r="C79" s="223">
        <v>1801.742</v>
      </c>
      <c r="D79" s="1924"/>
      <c r="E79" s="1249"/>
      <c r="F79" s="1249"/>
      <c r="G79" s="2213"/>
      <c r="H79" s="2213"/>
      <c r="I79" s="2213"/>
      <c r="J79" s="2213"/>
      <c r="K79" s="1913"/>
      <c r="L79" s="1913"/>
      <c r="M79" s="1250"/>
    </row>
    <row r="80" spans="1:13" ht="15" customHeight="1">
      <c r="A80" s="1936" t="s">
        <v>1023</v>
      </c>
      <c r="B80" s="1155" t="s">
        <v>1050</v>
      </c>
      <c r="C80" s="223">
        <v>67.668000000000006</v>
      </c>
      <c r="D80" s="1924"/>
      <c r="E80" s="1249"/>
      <c r="F80" s="1249"/>
      <c r="G80" s="2213"/>
      <c r="H80" s="2213"/>
      <c r="I80" s="2213"/>
      <c r="J80" s="2213"/>
      <c r="K80" s="1913"/>
      <c r="L80" s="1913"/>
      <c r="M80" s="1250"/>
    </row>
    <row r="81" spans="1:13" ht="15" customHeight="1">
      <c r="A81" s="1936" t="s">
        <v>1024</v>
      </c>
      <c r="B81" s="1155" t="s">
        <v>1203</v>
      </c>
      <c r="C81" s="223">
        <v>3540.346</v>
      </c>
      <c r="D81" s="1924"/>
      <c r="E81" s="1249"/>
      <c r="F81" s="1249"/>
      <c r="G81" s="2213"/>
      <c r="H81" s="2213"/>
      <c r="I81" s="2213"/>
      <c r="J81" s="2213"/>
      <c r="K81" s="1913"/>
      <c r="L81" s="1913"/>
      <c r="M81" s="1250"/>
    </row>
    <row r="82" spans="1:13" ht="15" customHeight="1" thickBot="1">
      <c r="A82" s="2128" t="s">
        <v>1028</v>
      </c>
      <c r="B82" s="1698" t="s">
        <v>1204</v>
      </c>
      <c r="C82" s="1910">
        <f>C78-C79-C80-C81</f>
        <v>611.43200000000024</v>
      </c>
      <c r="D82" s="1688"/>
      <c r="E82" s="1249"/>
      <c r="F82" s="1249"/>
      <c r="G82" s="2213"/>
      <c r="H82" s="2213"/>
      <c r="I82" s="2213"/>
      <c r="J82" s="2213"/>
      <c r="K82" s="1913"/>
      <c r="L82" s="1913"/>
      <c r="M82" s="1250"/>
    </row>
    <row r="83" spans="1:13">
      <c r="A83" s="1374"/>
      <c r="B83" s="1373"/>
      <c r="C83" s="148"/>
      <c r="D83" s="1488"/>
      <c r="E83" s="1249"/>
      <c r="F83" s="1249"/>
      <c r="G83" s="2213"/>
      <c r="H83" s="2213"/>
      <c r="I83" s="2213"/>
      <c r="J83" s="2213"/>
      <c r="K83" s="1913"/>
      <c r="L83" s="1913"/>
      <c r="M83" s="1250"/>
    </row>
    <row r="84" spans="1:13" ht="19.5" customHeight="1">
      <c r="A84" s="2500" t="s">
        <v>1187</v>
      </c>
      <c r="B84" s="2503"/>
      <c r="C84" s="2504"/>
      <c r="D84" s="2504"/>
      <c r="E84" s="2504"/>
      <c r="F84" s="2504"/>
      <c r="G84" s="2504"/>
      <c r="H84" s="2504"/>
      <c r="I84" s="2504"/>
      <c r="J84" s="2504"/>
      <c r="K84" s="2504"/>
      <c r="L84" s="1913"/>
      <c r="M84" s="1250"/>
    </row>
    <row r="85" spans="1:13">
      <c r="A85" s="2504"/>
      <c r="B85" s="2504"/>
      <c r="C85" s="2504"/>
      <c r="D85" s="2504"/>
      <c r="E85" s="2504"/>
      <c r="F85" s="2504"/>
      <c r="G85" s="2504"/>
      <c r="H85" s="2504"/>
      <c r="I85" s="2504"/>
      <c r="J85" s="2504"/>
      <c r="K85" s="2504"/>
      <c r="L85" s="1913"/>
      <c r="M85" s="1250"/>
    </row>
    <row r="86" spans="1:13">
      <c r="A86" s="1750" t="s">
        <v>1063</v>
      </c>
      <c r="B86" s="1755"/>
      <c r="C86" s="1756"/>
      <c r="D86" s="1757"/>
      <c r="E86" s="1757"/>
      <c r="F86" s="1747"/>
      <c r="G86" s="1758"/>
      <c r="H86" s="1759"/>
      <c r="I86" s="1760"/>
      <c r="J86" s="1248"/>
      <c r="K86" s="1248"/>
      <c r="L86" s="1248"/>
      <c r="M86" s="1250"/>
    </row>
    <row r="87" spans="1:13">
      <c r="A87" s="1750" t="s">
        <v>1025</v>
      </c>
      <c r="B87" s="1755"/>
      <c r="C87" s="1756"/>
      <c r="D87" s="1757"/>
      <c r="E87" s="1757"/>
      <c r="F87" s="1747"/>
      <c r="G87" s="1758"/>
      <c r="H87" s="1759"/>
      <c r="I87" s="1760"/>
      <c r="J87" s="1248"/>
      <c r="K87" s="1248"/>
      <c r="L87" s="1248"/>
      <c r="M87" s="1250"/>
    </row>
    <row r="88" spans="1:13" ht="21.75" customHeight="1" thickBot="1">
      <c r="A88" s="1750" t="s">
        <v>1093</v>
      </c>
      <c r="B88" s="1755"/>
      <c r="C88" s="1756"/>
      <c r="D88" s="1757"/>
      <c r="E88" s="1757"/>
      <c r="F88" s="1747"/>
      <c r="G88" s="1758"/>
      <c r="H88" s="1759"/>
      <c r="I88" s="1760"/>
      <c r="J88" s="1248"/>
      <c r="K88" s="1248"/>
      <c r="L88" s="1248"/>
      <c r="M88" s="1250"/>
    </row>
    <row r="89" spans="1:13" ht="21.75" customHeight="1">
      <c r="A89" s="1743" t="s">
        <v>477</v>
      </c>
      <c r="B89" s="1749" t="s">
        <v>1026</v>
      </c>
      <c r="C89" s="1938" t="s">
        <v>1027</v>
      </c>
      <c r="D89" s="1939" t="s">
        <v>1027</v>
      </c>
      <c r="E89" s="1249"/>
      <c r="F89" s="1249"/>
      <c r="G89" s="1912"/>
      <c r="H89" s="1249"/>
      <c r="I89" s="1912"/>
      <c r="J89" s="286"/>
      <c r="K89" s="286"/>
      <c r="L89" s="286"/>
      <c r="M89" s="1250"/>
    </row>
    <row r="90" spans="1:13">
      <c r="A90" s="1742"/>
      <c r="B90" s="1751"/>
      <c r="C90" s="2018" t="s">
        <v>926</v>
      </c>
      <c r="D90" s="1940" t="s">
        <v>926</v>
      </c>
      <c r="E90" s="1249"/>
      <c r="F90" s="1249"/>
      <c r="G90" s="1884"/>
      <c r="H90" s="174"/>
      <c r="I90" s="174"/>
      <c r="J90" s="174"/>
      <c r="K90" s="174"/>
      <c r="L90" s="174"/>
      <c r="M90" s="1250"/>
    </row>
    <row r="91" spans="1:13">
      <c r="A91" s="1742"/>
      <c r="B91" s="1744"/>
      <c r="C91" s="2019" t="s">
        <v>1094</v>
      </c>
      <c r="D91" s="1941" t="s">
        <v>844</v>
      </c>
      <c r="E91" s="1249"/>
      <c r="F91" s="1249"/>
      <c r="G91" s="174"/>
      <c r="H91" s="174"/>
      <c r="I91" s="174"/>
      <c r="J91" s="174"/>
      <c r="K91" s="174"/>
      <c r="L91" s="174"/>
      <c r="M91" s="1250"/>
    </row>
    <row r="92" spans="1:13" ht="39.75" customHeight="1">
      <c r="A92" s="1742"/>
      <c r="B92" s="1751"/>
      <c r="C92" s="2020" t="s">
        <v>1095</v>
      </c>
      <c r="D92" s="2005" t="s">
        <v>1038</v>
      </c>
      <c r="E92" s="1249"/>
      <c r="F92" s="1249"/>
      <c r="G92" s="1249"/>
      <c r="H92" s="1249"/>
      <c r="I92" s="1913"/>
      <c r="J92" s="1913"/>
      <c r="K92" s="1913"/>
      <c r="L92" s="1913"/>
      <c r="M92" s="1250"/>
    </row>
    <row r="93" spans="1:13">
      <c r="A93" s="1742"/>
      <c r="B93" s="1745"/>
      <c r="C93" s="1942"/>
      <c r="D93" s="1943"/>
      <c r="E93" s="1925"/>
      <c r="F93" s="1249"/>
      <c r="G93" s="1249"/>
      <c r="H93" s="1249"/>
      <c r="I93" s="1913"/>
      <c r="J93" s="1913"/>
      <c r="K93" s="1913"/>
      <c r="L93" s="1913"/>
      <c r="M93" s="1250"/>
    </row>
    <row r="94" spans="1:13">
      <c r="A94" s="1959" t="s">
        <v>1030</v>
      </c>
      <c r="B94" s="2263" t="s">
        <v>1029</v>
      </c>
      <c r="C94" s="1752">
        <v>36820.478999999999</v>
      </c>
      <c r="D94" s="1737">
        <v>337.048</v>
      </c>
      <c r="E94" s="2021"/>
      <c r="F94" s="1249"/>
      <c r="G94" s="1249"/>
      <c r="H94" s="1249"/>
      <c r="I94" s="1913"/>
      <c r="J94" s="1913"/>
      <c r="K94" s="1913"/>
      <c r="L94" s="1913"/>
      <c r="M94" s="1250"/>
    </row>
    <row r="95" spans="1:13">
      <c r="A95" s="1959" t="s">
        <v>1032</v>
      </c>
      <c r="B95" s="2263" t="s">
        <v>1031</v>
      </c>
      <c r="C95" s="1752">
        <v>16383.55</v>
      </c>
      <c r="D95" s="1737">
        <v>257.32499999999999</v>
      </c>
      <c r="E95" s="2021"/>
      <c r="F95" s="1249"/>
      <c r="G95" s="1249"/>
      <c r="H95" s="1249"/>
      <c r="I95" s="1913"/>
      <c r="J95" s="1913"/>
      <c r="K95" s="1913"/>
      <c r="L95" s="1913"/>
      <c r="M95" s="1250"/>
    </row>
    <row r="96" spans="1:13">
      <c r="A96" s="1959" t="s">
        <v>1034</v>
      </c>
      <c r="B96" s="2263" t="s">
        <v>1033</v>
      </c>
      <c r="C96" s="1752">
        <v>2044.5519999999999</v>
      </c>
      <c r="D96" s="1737">
        <v>73.238</v>
      </c>
      <c r="E96" s="2021"/>
      <c r="F96" s="1249"/>
      <c r="G96" s="2213"/>
      <c r="H96" s="2213"/>
      <c r="I96" s="2213"/>
      <c r="J96" s="2213"/>
      <c r="K96" s="1913"/>
      <c r="L96" s="1913"/>
      <c r="M96" s="1250"/>
    </row>
    <row r="97" spans="1:13" ht="13.5" thickBot="1">
      <c r="A97" s="1960" t="s">
        <v>1036</v>
      </c>
      <c r="B97" s="1751" t="s">
        <v>1035</v>
      </c>
      <c r="C97" s="1753">
        <v>5412.4769999999999</v>
      </c>
      <c r="D97" s="1754">
        <v>60.182000000000002</v>
      </c>
      <c r="E97" s="2021"/>
      <c r="F97" s="1249"/>
      <c r="G97" s="2213"/>
      <c r="H97" s="2213"/>
      <c r="I97" s="2213"/>
      <c r="J97" s="2213"/>
      <c r="K97" s="1708"/>
      <c r="L97" s="1708"/>
      <c r="M97" s="1250"/>
    </row>
    <row r="98" spans="1:13" ht="13.5" thickBot="1">
      <c r="A98" s="1962" t="s">
        <v>1054</v>
      </c>
      <c r="B98" s="1937" t="s">
        <v>1037</v>
      </c>
      <c r="C98" s="1748">
        <f>SUM(C94:C97)</f>
        <v>60661.057999999997</v>
      </c>
      <c r="D98" s="1746">
        <f>SUM(D94:D97)</f>
        <v>727.79300000000012</v>
      </c>
      <c r="E98" s="2022" t="str">
        <f>IF(C98&gt;0.2*SUM(BR!E9+BR!E12),"Kontrollera invest.utgifterna.","")</f>
        <v/>
      </c>
      <c r="F98" s="1249"/>
      <c r="G98" s="2213"/>
      <c r="H98" s="2213"/>
      <c r="I98" s="2213"/>
      <c r="J98" s="2213"/>
      <c r="K98" s="1708"/>
      <c r="L98" s="1708"/>
      <c r="M98" s="1250"/>
    </row>
    <row r="99" spans="1:13">
      <c r="A99" s="1374"/>
      <c r="B99" s="1373"/>
      <c r="C99" s="148"/>
      <c r="D99" s="67"/>
      <c r="E99" s="1249"/>
      <c r="F99" s="1249"/>
      <c r="G99" s="1911" t="s">
        <v>459</v>
      </c>
      <c r="H99" s="1249"/>
      <c r="I99" s="1913"/>
      <c r="J99" s="1913"/>
      <c r="K99" s="1913"/>
      <c r="L99" s="1913"/>
      <c r="M99" s="1250"/>
    </row>
    <row r="100" spans="1:13">
      <c r="A100" s="1374"/>
      <c r="B100" s="1373"/>
      <c r="C100" s="148"/>
      <c r="D100" s="67"/>
      <c r="E100" s="1249"/>
      <c r="F100" s="1249"/>
      <c r="G100" s="1249"/>
      <c r="H100" s="1249"/>
      <c r="I100" s="1913"/>
      <c r="J100" s="1913"/>
      <c r="K100" s="1913"/>
      <c r="L100" s="1913"/>
      <c r="M100" s="1250"/>
    </row>
    <row r="101" spans="1:13">
      <c r="A101" s="1374"/>
      <c r="B101" s="1373"/>
      <c r="C101" s="148"/>
      <c r="D101" s="67"/>
      <c r="E101" s="1249"/>
      <c r="F101" s="1249"/>
      <c r="G101" s="1249"/>
      <c r="H101" s="1249"/>
      <c r="I101" s="1913"/>
      <c r="J101" s="1913"/>
      <c r="K101" s="1913"/>
      <c r="L101" s="1913"/>
      <c r="M101" s="1250"/>
    </row>
    <row r="102" spans="1:13">
      <c r="A102" s="1374"/>
      <c r="B102" s="1373"/>
      <c r="C102" s="148"/>
      <c r="D102" s="67"/>
      <c r="E102" s="1249"/>
      <c r="F102" s="1249"/>
      <c r="G102" s="1249"/>
      <c r="H102" s="1249"/>
      <c r="I102" s="1913"/>
      <c r="J102" s="1913"/>
      <c r="K102" s="1913"/>
      <c r="L102" s="1913"/>
      <c r="M102" s="1250"/>
    </row>
    <row r="103" spans="1:13">
      <c r="A103" s="1374"/>
      <c r="B103" s="1373"/>
      <c r="C103" s="148"/>
      <c r="D103" s="67"/>
      <c r="E103" s="1249"/>
      <c r="F103" s="1249"/>
      <c r="G103" s="1249"/>
      <c r="H103" s="1249"/>
      <c r="I103" s="1913"/>
      <c r="J103" s="1913"/>
      <c r="K103" s="1913"/>
      <c r="L103" s="1913"/>
      <c r="M103" s="1250"/>
    </row>
    <row r="104" spans="1:13">
      <c r="A104" s="1374"/>
      <c r="B104" s="1373"/>
      <c r="C104" s="148"/>
      <c r="D104" s="67"/>
      <c r="E104" s="1249"/>
      <c r="F104" s="1249"/>
      <c r="G104" s="1249"/>
      <c r="H104" s="1249"/>
      <c r="I104" s="1250"/>
      <c r="J104" s="1250"/>
      <c r="K104" s="1250"/>
      <c r="L104" s="1250"/>
      <c r="M104" s="1250"/>
    </row>
    <row r="105" spans="1:13" ht="14.25" hidden="1" customHeight="1">
      <c r="A105" s="1374"/>
      <c r="B105" s="1373"/>
      <c r="C105" s="148"/>
      <c r="D105" s="67"/>
      <c r="E105" s="1249"/>
      <c r="F105" s="1249"/>
      <c r="G105" s="1249"/>
      <c r="H105" s="1249"/>
      <c r="J105" s="170"/>
      <c r="K105" s="170"/>
    </row>
    <row r="106" spans="1:13" ht="14.25" hidden="1" customHeight="1">
      <c r="A106" s="1374"/>
      <c r="B106" s="1373"/>
      <c r="C106" s="148"/>
      <c r="D106" s="67"/>
      <c r="E106" s="1249"/>
      <c r="F106" s="1249"/>
      <c r="G106" s="1249"/>
      <c r="H106" s="1249"/>
      <c r="I106" s="146"/>
      <c r="J106" s="146"/>
      <c r="K106" s="147"/>
    </row>
    <row r="107" spans="1:13" ht="14.25" hidden="1" customHeight="1">
      <c r="A107" s="4"/>
      <c r="B107" s="4"/>
      <c r="C107" s="4"/>
      <c r="D107" s="4"/>
      <c r="E107" s="4"/>
      <c r="F107" s="4"/>
      <c r="G107" s="4"/>
      <c r="H107" s="4"/>
      <c r="J107" s="145"/>
      <c r="K107" s="147"/>
    </row>
    <row r="108" spans="1:13" ht="14.25" hidden="1" customHeight="1">
      <c r="A108" s="170"/>
      <c r="B108" s="170"/>
      <c r="C108" s="170"/>
      <c r="D108" s="170"/>
      <c r="E108" s="170"/>
      <c r="F108" s="170"/>
      <c r="G108" s="170"/>
      <c r="H108" s="170"/>
      <c r="I108" s="146"/>
      <c r="J108" s="146"/>
      <c r="K108" s="147"/>
    </row>
    <row r="109" spans="1:13" ht="14.25" hidden="1" customHeight="1">
      <c r="A109" s="241"/>
      <c r="B109" s="145"/>
      <c r="C109" s="146"/>
      <c r="D109" s="146"/>
      <c r="E109" s="146"/>
      <c r="F109" s="146"/>
      <c r="G109" s="146"/>
      <c r="H109" s="146"/>
      <c r="I109" s="146"/>
      <c r="J109" s="146"/>
      <c r="K109" s="147"/>
    </row>
    <row r="110" spans="1:13" ht="14.25" hidden="1" customHeight="1">
      <c r="A110" s="241"/>
      <c r="B110" s="145"/>
      <c r="C110" s="146"/>
      <c r="D110" s="146"/>
      <c r="E110" s="146"/>
      <c r="F110" s="146"/>
      <c r="G110" s="146"/>
      <c r="H110" s="146"/>
      <c r="I110" s="146"/>
      <c r="J110" s="146"/>
      <c r="K110" s="147"/>
    </row>
    <row r="111" spans="1:13" ht="14.25" hidden="1" customHeight="1">
      <c r="A111" s="241"/>
      <c r="B111" s="145"/>
      <c r="C111" s="146"/>
      <c r="D111" s="146"/>
      <c r="E111" s="146"/>
      <c r="F111" s="146"/>
      <c r="G111" s="146"/>
      <c r="H111" s="146"/>
      <c r="J111" s="145"/>
      <c r="K111" s="147"/>
    </row>
    <row r="112" spans="1:13" ht="14.25" hidden="1" customHeight="1">
      <c r="A112" s="241"/>
      <c r="B112" s="145"/>
      <c r="C112" s="146"/>
      <c r="D112" s="146"/>
      <c r="E112" s="146"/>
      <c r="F112" s="146"/>
      <c r="G112" s="146"/>
      <c r="H112" s="146"/>
      <c r="J112" s="170"/>
      <c r="K112" s="170"/>
    </row>
    <row r="113" spans="1:11" ht="14.25" hidden="1" customHeight="1">
      <c r="A113" s="147"/>
      <c r="B113" s="145"/>
      <c r="C113" s="145"/>
      <c r="D113" s="145"/>
      <c r="E113" s="145"/>
      <c r="F113" s="145"/>
      <c r="G113" s="146"/>
      <c r="H113" s="146"/>
      <c r="J113" s="170"/>
      <c r="K113" s="170"/>
    </row>
    <row r="114" spans="1:11" ht="14.25" hidden="1" customHeight="1">
      <c r="A114" s="145"/>
      <c r="B114" s="145"/>
      <c r="C114" s="145"/>
      <c r="D114" s="145"/>
      <c r="E114" s="145"/>
      <c r="F114" s="145"/>
      <c r="G114" s="145"/>
      <c r="H114" s="145"/>
      <c r="J114" s="170"/>
      <c r="K114" s="170"/>
    </row>
    <row r="115" spans="1:11">
      <c r="A115" s="170"/>
      <c r="B115" s="170"/>
      <c r="C115" s="170"/>
      <c r="D115" s="170"/>
      <c r="E115" s="170"/>
      <c r="F115" s="170"/>
      <c r="G115" s="170"/>
      <c r="H115" s="170"/>
    </row>
    <row r="116" spans="1:11">
      <c r="A116" s="170"/>
      <c r="B116" s="170"/>
      <c r="C116" s="170"/>
      <c r="D116" s="170"/>
      <c r="E116" s="170"/>
      <c r="F116" s="170"/>
      <c r="G116" s="170"/>
      <c r="H116" s="170"/>
    </row>
    <row r="117" spans="1:11">
      <c r="A117" s="170"/>
      <c r="B117" s="170"/>
      <c r="C117" s="170"/>
      <c r="D117" s="170"/>
      <c r="E117" s="170"/>
      <c r="F117" s="170"/>
      <c r="G117" s="170"/>
      <c r="H117" s="170"/>
    </row>
    <row r="118" spans="1:11"/>
    <row r="119" spans="1:11"/>
    <row r="120" spans="1:11" hidden="1"/>
    <row r="121" spans="1:11" hidden="1"/>
    <row r="122" spans="1:11" hidden="1"/>
  </sheetData>
  <customSheetViews>
    <customSheetView guid="{97D6DB71-3F4C-4C5F-8C5B-51E3EBF78932}" showPageBreaks="1" showGridLines="0" fitToPage="1" hiddenRows="1" hiddenColumns="1" topLeftCell="A34">
      <selection activeCell="B37" sqref="B37"/>
      <pageMargins left="0.70866141732283472" right="0.70866141732283472" top="0.74803149606299213" bottom="0.35433070866141736" header="0.31496062992125984" footer="0.31496062992125984"/>
      <pageSetup paperSize="9" scale="70" orientation="portrait" r:id="rId1"/>
      <headerFooter>
        <oddHeader>&amp;L&amp;8Statistiska Centralbyrå
Offentlig ekonomi&amp;R&amp;P</oddHeader>
      </headerFooter>
    </customSheetView>
    <customSheetView guid="{99FBDEB7-DD08-4F57-81F4-3C180403E153}" showGridLines="0" fitToPage="1" hiddenRows="1" hiddenColumns="1" topLeftCell="A22">
      <selection activeCell="B37" sqref="B37"/>
      <pageMargins left="0.70866141732283472" right="0.70866141732283472" top="0.74803149606299213" bottom="0.35433070866141736" header="0.31496062992125984" footer="0.31496062992125984"/>
      <pageSetup paperSize="9" scale="73" orientation="portrait" r:id="rId2"/>
      <headerFooter>
        <oddHeader>&amp;L&amp;8Statistiska Centralbyrå
Offentlig ekonomi&amp;R&amp;P</oddHeader>
      </headerFooter>
    </customSheetView>
    <customSheetView guid="{27C9E95B-0E2B-454F-B637-1CECC9579A10}" showGridLines="0" fitToPage="1" hiddenRows="1" hiddenColumns="1" showRuler="0" topLeftCell="A46">
      <selection activeCell="C16" sqref="C16"/>
      <pageMargins left="0.70866141732283472" right="0.70866141732283472" top="0.74803149606299213" bottom="0.35433070866141736" header="0.31496062992125984" footer="0.31496062992125984"/>
      <pageSetup paperSize="9" scale="73" orientation="portrait" r:id="rId3"/>
      <headerFooter alignWithMargins="0">
        <oddHeader>&amp;L&amp;8Statistiska Centralbyrå
Offentlig ekonomi&amp;R&amp;P</oddHeader>
      </headerFooter>
    </customSheetView>
  </customSheetViews>
  <mergeCells count="6">
    <mergeCell ref="E4:E5"/>
    <mergeCell ref="D4:D5"/>
    <mergeCell ref="C4:C5"/>
    <mergeCell ref="A70:F70"/>
    <mergeCell ref="A84:K85"/>
    <mergeCell ref="J12:M15"/>
  </mergeCells>
  <phoneticPr fontId="87" type="noConversion"/>
  <conditionalFormatting sqref="C74:C77 C34:F35 C37:F39 C42:F46 C48:F48 C50:F53 C55:F57 C59:F62 C65:F65 C86:C106 D98 C83 C25:H25 H65 H59:H62 H55:H57 H50:H53 H48 H42:H46 H37:H39 H34:H35 C26:F32 H26:H32 G26:G65">
    <cfRule type="cellIs" dxfId="101" priority="10" stopIfTrue="1" operator="lessThan">
      <formula>-500</formula>
    </cfRule>
  </conditionalFormatting>
  <conditionalFormatting sqref="D8:F8 D10:F11">
    <cfRule type="cellIs" dxfId="100" priority="12" stopIfTrue="1" operator="greaterThan">
      <formula>1</formula>
    </cfRule>
  </conditionalFormatting>
  <conditionalFormatting sqref="D7:F7 D9:F9">
    <cfRule type="cellIs" dxfId="99" priority="13" stopIfTrue="1" operator="lessThan">
      <formula>-1</formula>
    </cfRule>
  </conditionalFormatting>
  <conditionalFormatting sqref="C78:C82">
    <cfRule type="cellIs" dxfId="98" priority="7" stopIfTrue="1" operator="lessThan">
      <formula>-10</formula>
    </cfRule>
  </conditionalFormatting>
  <conditionalFormatting sqref="C8 C10:C11">
    <cfRule type="cellIs" dxfId="97" priority="4" stopIfTrue="1" operator="greaterThan">
      <formula>1</formula>
    </cfRule>
  </conditionalFormatting>
  <conditionalFormatting sqref="C7 C9">
    <cfRule type="cellIs" dxfId="96" priority="5" stopIfTrue="1" operator="lessThan">
      <formula>-1</formula>
    </cfRule>
  </conditionalFormatting>
  <dataValidations count="3">
    <dataValidation type="decimal" operator="lessThan" allowBlank="1" showInputMessage="1" showErrorMessage="1" error="Beloppet ska vara i 1000 tal kronor" sqref="H37:H39 H42:H46 H50:H53 H55:H57 H59:H62 H25:H32 H65 C12:H14 D98 C98:C106 C76 C86:C88 H48 C59:F62 C55:F57 C50:F53 H34:H35 C42:F46 C37:F39 C34:F35 C48:F48 C65:F65 C25:F32 C9:H9 C82:C83 G7:H7 C6:F7">
      <formula1>99999999</formula1>
    </dataValidation>
    <dataValidation type="decimal" operator="lessThanOrEqual" allowBlank="1" showInputMessage="1" showErrorMessage="1" error="Minustecken måste anges" sqref="C10:H11 C8:H8">
      <formula1>0</formula1>
    </dataValidation>
    <dataValidation type="decimal" allowBlank="1" showInputMessage="1" showErrorMessage="1" error="Beloppet ska vara utan minustecken och i tusental kronor" sqref="C78:C81 C74:C75 C94:D97">
      <formula1>0</formula1>
      <formula2>99999999</formula2>
    </dataValidation>
  </dataValidations>
  <pageMargins left="0.70866141732283472" right="0.70866141732283472" top="0.74803149606299213" bottom="0.35433070866141736" header="0.31496062992125984" footer="0.31496062992125984"/>
  <pageSetup paperSize="9" scale="64" orientation="portrait" r:id="rId4"/>
  <headerFooter>
    <oddHeader>&amp;L&amp;8Statistiska Centralbyrå
Offentlig ekonomi&amp;R&amp;P</oddHeader>
  </headerFooter>
  <ignoredErrors>
    <ignoredError sqref="A6:A15 A25:A66 A74:A82 A94:A98" numberStoredAsText="1"/>
  </ignoredError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tabColor rgb="FFFFFF00"/>
  </sheetPr>
  <dimension ref="A1:AH304"/>
  <sheetViews>
    <sheetView showGridLines="0" zoomScaleNormal="100" workbookViewId="0">
      <pane xSplit="2" ySplit="10" topLeftCell="C11" activePane="bottomRight" state="frozen"/>
      <selection activeCell="F36" sqref="F36"/>
      <selection pane="topRight" activeCell="F36" sqref="F36"/>
      <selection pane="bottomLeft" activeCell="F36" sqref="F36"/>
      <selection pane="bottomRight" activeCell="C11" sqref="C11"/>
    </sheetView>
  </sheetViews>
  <sheetFormatPr defaultColWidth="0" defaultRowHeight="12.75" zeroHeight="1"/>
  <cols>
    <col min="1" max="1" width="3.85546875" style="204" customWidth="1"/>
    <col min="2" max="2" width="30.140625" style="204" customWidth="1"/>
    <col min="3" max="3" width="10.140625" style="204" customWidth="1"/>
    <col min="4" max="4" width="9.7109375" style="204" customWidth="1"/>
    <col min="5" max="5" width="8.7109375" style="204" customWidth="1"/>
    <col min="6" max="6" width="9.7109375" style="204" customWidth="1"/>
    <col min="7" max="7" width="11.140625" style="204" customWidth="1"/>
    <col min="8" max="8" width="9.7109375" style="204" customWidth="1"/>
    <col min="9" max="10" width="8.7109375" style="204" customWidth="1"/>
    <col min="11" max="11" width="1.28515625" style="204" customWidth="1"/>
    <col min="12" max="14" width="8.7109375" style="204" customWidth="1"/>
    <col min="15" max="15" width="9.42578125" style="204" customWidth="1"/>
    <col min="16" max="16" width="10" style="204" customWidth="1"/>
    <col min="17" max="17" width="3.7109375" style="204" customWidth="1"/>
    <col min="18" max="19" width="8.7109375" style="204" customWidth="1"/>
    <col min="20" max="20" width="10.85546875" style="204" customWidth="1"/>
    <col min="21" max="21" width="2.28515625" style="204" customWidth="1"/>
    <col min="22" max="22" width="8.7109375" style="204" customWidth="1"/>
    <col min="23" max="23" width="10.5703125" style="204" customWidth="1"/>
    <col min="24" max="24" width="2.28515625" style="204" customWidth="1"/>
    <col min="25" max="25" width="11.7109375" style="204" customWidth="1"/>
    <col min="26" max="26" width="9.140625" style="204" customWidth="1"/>
    <col min="27" max="27" width="8.7109375" style="204" customWidth="1"/>
    <col min="28" max="28" width="8.7109375" style="144" customWidth="1"/>
    <col min="29" max="29" width="7.28515625" style="144" customWidth="1"/>
    <col min="30" max="30" width="1" style="170" customWidth="1"/>
    <col min="31" max="31" width="6.85546875" style="419" hidden="1" customWidth="1"/>
    <col min="32" max="32" width="10.42578125" style="170" customWidth="1"/>
    <col min="33" max="33" width="10.140625" style="170" customWidth="1"/>
    <col min="34" max="34" width="0.140625" style="170" customWidth="1"/>
    <col min="35" max="36" width="9.140625" style="170" customWidth="1"/>
    <col min="37" max="16384" width="0" style="170" hidden="1"/>
  </cols>
  <sheetData>
    <row r="1" spans="1:34" ht="21.75" customHeight="1">
      <c r="A1" s="169"/>
      <c r="B1" s="78"/>
      <c r="C1" s="77" t="str">
        <f>"Driftredovisning "&amp;År&amp;", miljoner kr"</f>
        <v>Driftredovisning 2020, miljoner kr</v>
      </c>
      <c r="D1" s="78"/>
      <c r="E1" s="78"/>
      <c r="F1" s="169"/>
      <c r="G1" s="169"/>
      <c r="H1" s="169"/>
      <c r="I1" s="514" t="s">
        <v>459</v>
      </c>
      <c r="J1" s="515" t="str">
        <f>'Kn Information'!A2</f>
        <v>RIKSTOTAL</v>
      </c>
      <c r="K1" s="196"/>
      <c r="L1" s="169"/>
      <c r="M1" s="169"/>
      <c r="N1" s="169"/>
      <c r="O1" s="169"/>
      <c r="P1" s="169"/>
      <c r="Q1" s="169"/>
      <c r="R1" s="77" t="str">
        <f>"Driftredovisning "&amp;År&amp;", miljoner kr"</f>
        <v>Driftredovisning 2020, miljoner kr</v>
      </c>
      <c r="S1" s="169"/>
      <c r="T1" s="169"/>
      <c r="U1" s="169"/>
      <c r="V1" s="169"/>
      <c r="W1" s="169"/>
      <c r="X1" s="169"/>
      <c r="Y1" s="514" t="s">
        <v>459</v>
      </c>
      <c r="Z1" s="515" t="str">
        <f>'Kn Information'!A2</f>
        <v>RIKSTOTAL</v>
      </c>
      <c r="AA1" s="169"/>
      <c r="AB1" s="416"/>
      <c r="AC1" s="416"/>
      <c r="AD1" s="169"/>
      <c r="AE1" s="416"/>
      <c r="AF1" s="169"/>
      <c r="AG1" s="169"/>
    </row>
    <row r="2" spans="1:34" ht="12.75" customHeight="1">
      <c r="A2" s="2213"/>
      <c r="B2" s="2213"/>
      <c r="C2" s="2213"/>
      <c r="D2" s="2213"/>
      <c r="E2" s="2213"/>
      <c r="F2" s="2213"/>
      <c r="G2" s="2213"/>
      <c r="H2" s="2213"/>
      <c r="I2" s="2213"/>
      <c r="J2" s="2213"/>
      <c r="K2" s="2213"/>
      <c r="L2" s="2213"/>
      <c r="M2" s="2213"/>
      <c r="N2" s="2213"/>
      <c r="O2" s="2213"/>
      <c r="P2" s="2213"/>
      <c r="Q2" s="2213"/>
      <c r="R2" s="2213"/>
      <c r="S2" s="2213"/>
      <c r="T2" s="2213"/>
      <c r="U2" s="2213"/>
      <c r="V2" s="2213"/>
      <c r="W2" s="2213"/>
      <c r="X2" s="2213"/>
      <c r="Y2" s="4"/>
      <c r="Z2" s="2213"/>
      <c r="AA2" s="2213"/>
      <c r="AB2" s="2213"/>
      <c r="AC2" s="2213"/>
      <c r="AD2" s="2213"/>
      <c r="AE2" s="2213"/>
      <c r="AF2" s="2213"/>
      <c r="AG2" s="2213"/>
    </row>
    <row r="3" spans="1:34" s="199" customFormat="1" ht="12.75" customHeight="1" thickBot="1">
      <c r="A3" s="2213"/>
      <c r="B3" s="2213"/>
      <c r="C3" s="2213"/>
      <c r="D3" s="2213"/>
      <c r="E3" s="2213"/>
      <c r="F3" s="2213"/>
      <c r="G3" s="2213"/>
      <c r="H3" s="2213"/>
      <c r="I3" s="2213"/>
      <c r="J3" s="2213"/>
      <c r="K3" s="2213"/>
      <c r="L3" s="2213"/>
      <c r="M3" s="2213"/>
      <c r="N3" s="2213"/>
      <c r="O3" s="2213"/>
      <c r="P3" s="2213"/>
      <c r="Q3" s="2213"/>
      <c r="R3" s="2213"/>
      <c r="S3" s="2213"/>
      <c r="T3" s="2213"/>
      <c r="U3" s="2213"/>
      <c r="V3" s="2213"/>
      <c r="W3" s="2213"/>
      <c r="X3" s="2213"/>
      <c r="Y3" s="198" t="s">
        <v>144</v>
      </c>
      <c r="Z3" s="2213"/>
      <c r="AA3" s="2213"/>
      <c r="AB3" s="2213"/>
      <c r="AC3" s="2213"/>
      <c r="AD3" s="2213"/>
      <c r="AE3" s="2213"/>
      <c r="AF3" s="2213"/>
      <c r="AG3" s="2213"/>
    </row>
    <row r="4" spans="1:34" s="182" customFormat="1" ht="43.5" customHeight="1">
      <c r="A4" s="860" t="s">
        <v>203</v>
      </c>
      <c r="B4" s="861" t="s">
        <v>15</v>
      </c>
      <c r="C4" s="2543" t="s">
        <v>36</v>
      </c>
      <c r="D4" s="2544"/>
      <c r="E4" s="2545" t="s">
        <v>37</v>
      </c>
      <c r="F4" s="2546"/>
      <c r="G4" s="2546"/>
      <c r="H4" s="2547"/>
      <c r="I4" s="2549" t="s">
        <v>38</v>
      </c>
      <c r="J4" s="2550"/>
      <c r="K4" s="39"/>
      <c r="L4" s="2509" t="s">
        <v>145</v>
      </c>
      <c r="M4" s="2548"/>
      <c r="N4" s="2548"/>
      <c r="O4" s="2544"/>
      <c r="P4" s="934"/>
      <c r="Q4" s="73"/>
      <c r="R4" s="2509" t="s">
        <v>39</v>
      </c>
      <c r="S4" s="2510"/>
      <c r="T4" s="2511"/>
      <c r="U4" s="110"/>
      <c r="V4" s="1894" t="s">
        <v>147</v>
      </c>
      <c r="W4" s="954"/>
      <c r="X4" s="39"/>
      <c r="Y4" s="1602" t="s">
        <v>958</v>
      </c>
      <c r="Z4" s="2512" t="s">
        <v>986</v>
      </c>
      <c r="AA4" s="2513"/>
      <c r="AB4" s="2514"/>
      <c r="AC4" s="2264" t="str">
        <f>"Förändring kostnader för eget åtagande "&amp;År-1&amp;"-"&amp;År&amp;" procent"</f>
        <v>Förändring kostnader för eget åtagande 2019-2020 procent</v>
      </c>
      <c r="AD4" s="2213"/>
      <c r="AE4" s="1210" t="str">
        <f>"Köp av verksamhet som andel av "</f>
        <v xml:space="preserve">Köp av verksamhet som andel av </v>
      </c>
      <c r="AF4" s="2324" t="s">
        <v>963</v>
      </c>
      <c r="AG4" s="2314" t="s">
        <v>964</v>
      </c>
      <c r="AH4" s="1955" t="s">
        <v>1039</v>
      </c>
    </row>
    <row r="5" spans="1:34" ht="47.25" customHeight="1">
      <c r="A5" s="1308"/>
      <c r="B5" s="1309"/>
      <c r="C5" s="1292" t="s">
        <v>194</v>
      </c>
      <c r="D5" s="890" t="s">
        <v>498</v>
      </c>
      <c r="E5" s="1385" t="s">
        <v>858</v>
      </c>
      <c r="F5" s="890" t="s">
        <v>790</v>
      </c>
      <c r="G5" s="891" t="s">
        <v>202</v>
      </c>
      <c r="H5" s="892" t="s">
        <v>779</v>
      </c>
      <c r="I5" s="893" t="s">
        <v>465</v>
      </c>
      <c r="J5" s="894" t="s">
        <v>499</v>
      </c>
      <c r="K5" s="39"/>
      <c r="L5" s="935" t="s">
        <v>537</v>
      </c>
      <c r="M5" s="936" t="s">
        <v>466</v>
      </c>
      <c r="N5" s="2532" t="s">
        <v>1091</v>
      </c>
      <c r="O5" s="2533"/>
      <c r="P5" s="937" t="s">
        <v>475</v>
      </c>
      <c r="Q5" s="48"/>
      <c r="R5" s="952" t="s">
        <v>699</v>
      </c>
      <c r="S5" s="892" t="s">
        <v>468</v>
      </c>
      <c r="T5" s="953" t="s">
        <v>469</v>
      </c>
      <c r="U5" s="33"/>
      <c r="V5" s="938"/>
      <c r="W5" s="955" t="s">
        <v>476</v>
      </c>
      <c r="X5" s="39"/>
      <c r="Y5" s="2524" t="s">
        <v>1143</v>
      </c>
      <c r="Z5" s="896" t="str">
        <f>"Netto-kostnader "&amp;År&amp;""</f>
        <v>Netto-kostnader 2020</v>
      </c>
      <c r="AA5" s="896" t="str">
        <f>"Kostnader för eget åtagande "&amp;År&amp;""</f>
        <v>Kostnader för eget åtagande 2020</v>
      </c>
      <c r="AB5" s="896" t="str">
        <f>"Kostnader för eget åtagande "&amp;År-1&amp;""</f>
        <v>Kostnader för eget åtagande 2019</v>
      </c>
      <c r="AC5" s="2265"/>
      <c r="AD5" s="2213"/>
      <c r="AE5" s="2295" t="str">
        <f>"verksamhetens kostnad för eget åtagande "&amp;År&amp;" procent"</f>
        <v>verksamhetens kostnad för eget åtagande 2020 procent</v>
      </c>
      <c r="AF5" s="2541" t="s">
        <v>965</v>
      </c>
      <c r="AG5" s="2539" t="s">
        <v>966</v>
      </c>
      <c r="AH5" s="2537" t="s">
        <v>1040</v>
      </c>
    </row>
    <row r="6" spans="1:34" ht="56.25" customHeight="1" thickBot="1">
      <c r="A6" s="863"/>
      <c r="B6" s="2070" t="s">
        <v>1184</v>
      </c>
      <c r="C6" s="2156" t="s">
        <v>1170</v>
      </c>
      <c r="D6" s="2157"/>
      <c r="E6" s="2338" t="s">
        <v>1212</v>
      </c>
      <c r="F6" s="1375" t="s">
        <v>818</v>
      </c>
      <c r="G6" s="1430" t="s">
        <v>823</v>
      </c>
      <c r="H6" s="1375" t="s">
        <v>45</v>
      </c>
      <c r="I6" s="1376" t="s">
        <v>46</v>
      </c>
      <c r="J6" s="1377"/>
      <c r="K6" s="39"/>
      <c r="L6" s="1310"/>
      <c r="M6" s="1311"/>
      <c r="N6" s="1293" t="s">
        <v>859</v>
      </c>
      <c r="O6" s="1603" t="s">
        <v>860</v>
      </c>
      <c r="P6" s="939"/>
      <c r="Q6" s="73"/>
      <c r="R6" s="2090" t="s">
        <v>854</v>
      </c>
      <c r="S6" s="1604" t="s">
        <v>47</v>
      </c>
      <c r="T6" s="1378" t="s">
        <v>791</v>
      </c>
      <c r="U6" s="33"/>
      <c r="V6" s="863"/>
      <c r="W6" s="939"/>
      <c r="X6" s="39"/>
      <c r="Y6" s="2525"/>
      <c r="Z6" s="1641"/>
      <c r="AA6" s="1642"/>
      <c r="AB6" s="1643"/>
      <c r="AC6" s="2266"/>
      <c r="AD6" s="2213"/>
      <c r="AE6" s="2296"/>
      <c r="AF6" s="2542"/>
      <c r="AG6" s="2540"/>
      <c r="AH6" s="2538"/>
    </row>
    <row r="7" spans="1:34" ht="9.75" hidden="1" customHeight="1">
      <c r="A7" s="863"/>
      <c r="B7" s="1513"/>
      <c r="C7" s="1433"/>
      <c r="D7" s="1434"/>
      <c r="E7" s="1438"/>
      <c r="F7" s="1439"/>
      <c r="G7" s="1440"/>
      <c r="H7" s="1441"/>
      <c r="I7" s="1442"/>
      <c r="J7" s="1443"/>
      <c r="K7" s="33"/>
      <c r="L7" s="1296"/>
      <c r="M7" s="1297"/>
      <c r="N7" s="1294"/>
      <c r="O7" s="864"/>
      <c r="P7" s="940"/>
      <c r="Q7" s="48"/>
      <c r="R7" s="1464"/>
      <c r="S7" s="1465"/>
      <c r="T7" s="1466"/>
      <c r="U7" s="33"/>
      <c r="V7" s="938"/>
      <c r="W7" s="940"/>
      <c r="X7" s="33"/>
      <c r="Y7" s="1286"/>
      <c r="Z7" s="970"/>
      <c r="AA7" s="972"/>
      <c r="AB7" s="971"/>
      <c r="AC7" s="2265"/>
      <c r="AD7" s="2213"/>
      <c r="AE7" s="2296"/>
      <c r="AF7" s="2325"/>
      <c r="AG7" s="1601"/>
      <c r="AH7" s="1842"/>
    </row>
    <row r="8" spans="1:34" ht="12.75" hidden="1" customHeight="1">
      <c r="A8" s="865"/>
      <c r="B8" s="1435"/>
      <c r="C8" s="1436"/>
      <c r="D8" s="1437"/>
      <c r="E8" s="1444"/>
      <c r="F8" s="1445"/>
      <c r="G8" s="1446"/>
      <c r="H8" s="1447"/>
      <c r="I8" s="1448"/>
      <c r="J8" s="1449"/>
      <c r="K8" s="33"/>
      <c r="L8" s="938"/>
      <c r="M8" s="898"/>
      <c r="N8" s="1294"/>
      <c r="O8" s="864"/>
      <c r="P8" s="940"/>
      <c r="Q8" s="48"/>
      <c r="R8" s="1464"/>
      <c r="S8" s="1465"/>
      <c r="T8" s="1466"/>
      <c r="U8" s="33"/>
      <c r="V8" s="941"/>
      <c r="W8" s="940"/>
      <c r="X8" s="33"/>
      <c r="Y8" s="1286"/>
      <c r="Z8" s="973"/>
      <c r="AA8" s="974"/>
      <c r="AB8" s="897"/>
      <c r="AC8" s="2265"/>
      <c r="AD8" s="2213"/>
      <c r="AE8" s="2297"/>
      <c r="AF8" s="2325"/>
      <c r="AG8" s="1601"/>
      <c r="AH8" s="1842"/>
    </row>
    <row r="9" spans="1:34" ht="10.5" hidden="1" customHeight="1">
      <c r="A9" s="863"/>
      <c r="B9" s="1450"/>
      <c r="C9" s="1451"/>
      <c r="D9" s="1452"/>
      <c r="E9" s="1453"/>
      <c r="F9" s="1454"/>
      <c r="G9" s="1446"/>
      <c r="H9" s="1447"/>
      <c r="I9" s="1455"/>
      <c r="J9" s="1456"/>
      <c r="K9" s="11"/>
      <c r="L9" s="941"/>
      <c r="M9" s="898"/>
      <c r="N9" s="1203"/>
      <c r="O9" s="1211"/>
      <c r="P9" s="940"/>
      <c r="Q9" s="48"/>
      <c r="R9" s="1467"/>
      <c r="S9" s="1468"/>
      <c r="T9" s="1456"/>
      <c r="U9" s="11"/>
      <c r="V9" s="941"/>
      <c r="W9" s="956"/>
      <c r="X9" s="11"/>
      <c r="Y9" s="1286"/>
      <c r="Z9" s="973"/>
      <c r="AA9" s="973"/>
      <c r="AB9" s="897"/>
      <c r="AC9" s="2265"/>
      <c r="AD9" s="2213"/>
      <c r="AE9" s="2298"/>
      <c r="AF9" s="2325"/>
      <c r="AG9" s="1601"/>
      <c r="AH9" s="1842"/>
    </row>
    <row r="10" spans="1:34" ht="12" hidden="1" customHeight="1">
      <c r="A10" s="866"/>
      <c r="B10" s="1457"/>
      <c r="C10" s="1458"/>
      <c r="D10" s="1459"/>
      <c r="E10" s="1460"/>
      <c r="F10" s="1459"/>
      <c r="G10" s="1461"/>
      <c r="H10" s="1462"/>
      <c r="I10" s="1458"/>
      <c r="J10" s="1463"/>
      <c r="K10" s="11"/>
      <c r="L10" s="942"/>
      <c r="M10" s="899"/>
      <c r="N10" s="1059"/>
      <c r="O10" s="1295"/>
      <c r="P10" s="943"/>
      <c r="Q10" s="202"/>
      <c r="R10" s="1469"/>
      <c r="S10" s="1459"/>
      <c r="T10" s="1463"/>
      <c r="U10" s="111"/>
      <c r="V10" s="942"/>
      <c r="W10" s="957"/>
      <c r="X10" s="11"/>
      <c r="Y10" s="1654"/>
      <c r="Z10" s="1638"/>
      <c r="AA10" s="1639"/>
      <c r="AB10" s="1640"/>
      <c r="AC10" s="2267"/>
      <c r="AD10" s="2213"/>
      <c r="AE10" s="2299"/>
      <c r="AF10" s="2325"/>
      <c r="AG10" s="1601"/>
      <c r="AH10" s="1843"/>
    </row>
    <row r="11" spans="1:34" ht="39" customHeight="1" thickBot="1">
      <c r="A11" s="867"/>
      <c r="B11" s="868" t="s">
        <v>16</v>
      </c>
      <c r="C11" s="900"/>
      <c r="D11" s="901"/>
      <c r="E11" s="900"/>
      <c r="F11" s="902"/>
      <c r="G11" s="903"/>
      <c r="H11" s="904"/>
      <c r="I11" s="900"/>
      <c r="J11" s="905"/>
      <c r="K11" s="203"/>
      <c r="L11" s="944"/>
      <c r="M11" s="902"/>
      <c r="N11" s="901"/>
      <c r="O11" s="945"/>
      <c r="P11" s="905"/>
      <c r="Q11" s="203"/>
      <c r="R11" s="944"/>
      <c r="S11" s="902"/>
      <c r="T11" s="905"/>
      <c r="U11" s="203"/>
      <c r="V11" s="958"/>
      <c r="W11" s="959"/>
      <c r="X11" s="37"/>
      <c r="Y11" s="1653" t="s">
        <v>50</v>
      </c>
      <c r="Z11" s="2529"/>
      <c r="AA11" s="2527"/>
      <c r="AB11" s="2527"/>
      <c r="AC11" s="2528"/>
      <c r="AD11" s="2213"/>
      <c r="AE11" s="2300"/>
      <c r="AF11" s="2325"/>
      <c r="AG11" s="1601"/>
      <c r="AH11" s="1844"/>
    </row>
    <row r="12" spans="1:34" ht="11.25" customHeight="1">
      <c r="A12" s="869"/>
      <c r="B12" s="870" t="s">
        <v>48</v>
      </c>
      <c r="C12" s="906"/>
      <c r="D12" s="907"/>
      <c r="E12" s="906"/>
      <c r="F12" s="908"/>
      <c r="G12" s="909"/>
      <c r="H12" s="910"/>
      <c r="I12" s="906"/>
      <c r="J12" s="911"/>
      <c r="K12" s="203"/>
      <c r="L12" s="946"/>
      <c r="M12" s="908"/>
      <c r="N12" s="907"/>
      <c r="O12" s="947"/>
      <c r="P12" s="911"/>
      <c r="Q12" s="203"/>
      <c r="R12" s="946"/>
      <c r="S12" s="908"/>
      <c r="T12" s="911"/>
      <c r="U12" s="203"/>
      <c r="V12" s="960"/>
      <c r="W12" s="961"/>
      <c r="X12" s="30"/>
      <c r="Y12" s="980"/>
      <c r="Z12" s="975"/>
      <c r="AA12" s="975"/>
      <c r="AB12" s="976"/>
      <c r="AC12" s="2268"/>
      <c r="AD12" s="2213"/>
      <c r="AE12" s="2300"/>
      <c r="AF12" s="2325"/>
      <c r="AG12" s="1601"/>
      <c r="AH12" s="1845"/>
    </row>
    <row r="13" spans="1:34">
      <c r="A13" s="2104" t="s">
        <v>212</v>
      </c>
      <c r="B13" s="871" t="s">
        <v>49</v>
      </c>
      <c r="C13" s="20">
        <v>2042.875</v>
      </c>
      <c r="D13" s="21">
        <v>681.84</v>
      </c>
      <c r="E13" s="22">
        <v>48.534999999999997</v>
      </c>
      <c r="F13" s="20">
        <v>28.943999999999999</v>
      </c>
      <c r="G13" s="20">
        <v>255.21899999999999</v>
      </c>
      <c r="H13" s="21">
        <v>54.131999999999998</v>
      </c>
      <c r="I13" s="20">
        <v>16.718</v>
      </c>
      <c r="J13" s="100">
        <v>14.632</v>
      </c>
      <c r="K13" s="31"/>
      <c r="L13" s="103">
        <v>100.23399999999999</v>
      </c>
      <c r="M13" s="20">
        <v>181.53200000000001</v>
      </c>
      <c r="N13" s="21">
        <v>17.968</v>
      </c>
      <c r="O13" s="443">
        <v>118.90600000000001</v>
      </c>
      <c r="P13" s="370">
        <f>SUM(C13:O13)</f>
        <v>3561.5349999999999</v>
      </c>
      <c r="Q13" s="49"/>
      <c r="R13" s="103">
        <v>3.0950000000000002</v>
      </c>
      <c r="S13" s="20">
        <v>1.054</v>
      </c>
      <c r="T13" s="100">
        <v>96.662999999999997</v>
      </c>
      <c r="U13" s="50"/>
      <c r="V13" s="113">
        <v>80.144000000000005</v>
      </c>
      <c r="W13" s="405">
        <f>SUM(R13:V13)</f>
        <v>180.95600000000002</v>
      </c>
      <c r="X13" s="57"/>
      <c r="Y13" s="1632">
        <v>3469.6509999999998</v>
      </c>
      <c r="Z13" s="1633"/>
      <c r="AA13" s="1634"/>
      <c r="AB13" s="1635"/>
      <c r="AC13" s="2269"/>
      <c r="AD13" s="2213"/>
      <c r="AE13" s="2301"/>
      <c r="AF13" s="2326">
        <v>3380.59</v>
      </c>
      <c r="AG13" s="2315">
        <v>3398.3409999999999</v>
      </c>
      <c r="AH13" s="1846">
        <f>W13-V13-(IF(AND(Motpart!$Y$9="",Motpart!$Z$9=""),0,IF(AND(Motpart!$Y$9=0,Motpart!$Z$9=0),0,((T13/$T$17)*(Motpart!$Y$9+Motpart!$Z$9)))))</f>
        <v>58.860881598381759</v>
      </c>
    </row>
    <row r="14" spans="1:34">
      <c r="A14" s="2104" t="s">
        <v>213</v>
      </c>
      <c r="B14" s="872" t="s">
        <v>51</v>
      </c>
      <c r="C14" s="23">
        <v>8.4979999999999993</v>
      </c>
      <c r="D14" s="21">
        <v>3.2</v>
      </c>
      <c r="E14" s="25">
        <v>1.1850000000000001</v>
      </c>
      <c r="F14" s="23">
        <v>0.186</v>
      </c>
      <c r="G14" s="23">
        <v>1.651</v>
      </c>
      <c r="H14" s="24">
        <v>484.541</v>
      </c>
      <c r="I14" s="23">
        <v>0.193</v>
      </c>
      <c r="J14" s="101">
        <v>0.97399999999999998</v>
      </c>
      <c r="K14" s="31"/>
      <c r="L14" s="104">
        <v>0.14699999999999999</v>
      </c>
      <c r="M14" s="23">
        <v>2.8340000000000001</v>
      </c>
      <c r="N14" s="21">
        <v>0.32400000000000001</v>
      </c>
      <c r="O14" s="371">
        <v>0.41699999999999998</v>
      </c>
      <c r="P14" s="370">
        <f>SUM(C14:O14)</f>
        <v>504.15</v>
      </c>
      <c r="Q14" s="49"/>
      <c r="R14" s="104">
        <v>5.8999999999999997E-2</v>
      </c>
      <c r="S14" s="23">
        <v>1E-3</v>
      </c>
      <c r="T14" s="101">
        <v>1.4E-2</v>
      </c>
      <c r="U14" s="50"/>
      <c r="V14" s="114">
        <v>1.766</v>
      </c>
      <c r="W14" s="405">
        <f>SUM(R14:V14)</f>
        <v>1.84</v>
      </c>
      <c r="X14" s="57"/>
      <c r="Y14" s="1508">
        <v>502.38600000000002</v>
      </c>
      <c r="Z14" s="1636"/>
      <c r="AA14" s="1637"/>
      <c r="AB14" s="1637"/>
      <c r="AC14" s="2270"/>
      <c r="AD14" s="2213"/>
      <c r="AE14" s="2301"/>
      <c r="AF14" s="2326">
        <v>502.31099999999998</v>
      </c>
      <c r="AG14" s="2315">
        <v>17.658999999999999</v>
      </c>
      <c r="AH14" s="1846">
        <f>W14-V14-(IF(AND(Motpart!$Y$9="",Motpart!$Z$9=""),0,IF(AND(Motpart!$Y$9=0,Motpart!$Z$9=0),0,((T14/$T$17)*(Motpart!$Y$9+Motpart!$Z$9)))))</f>
        <v>6.7924090317674296E-2</v>
      </c>
    </row>
    <row r="15" spans="1:34">
      <c r="A15" s="2104" t="s">
        <v>214</v>
      </c>
      <c r="B15" s="872" t="s">
        <v>52</v>
      </c>
      <c r="C15" s="23">
        <v>127.75</v>
      </c>
      <c r="D15" s="21">
        <v>40.567999999999998</v>
      </c>
      <c r="E15" s="25">
        <v>3.2069999999999999</v>
      </c>
      <c r="F15" s="23">
        <v>3.3730000000000002</v>
      </c>
      <c r="G15" s="23">
        <v>251.05199999999999</v>
      </c>
      <c r="H15" s="24">
        <v>1.9E-2</v>
      </c>
      <c r="I15" s="23">
        <v>3.0270000000000001</v>
      </c>
      <c r="J15" s="101">
        <v>7.8E-2</v>
      </c>
      <c r="K15" s="31"/>
      <c r="L15" s="104">
        <v>2.8959999999999999</v>
      </c>
      <c r="M15" s="23">
        <v>8.4610000000000003</v>
      </c>
      <c r="N15" s="21">
        <v>1.4710000000000001</v>
      </c>
      <c r="O15" s="371">
        <v>15.718</v>
      </c>
      <c r="P15" s="370">
        <f>SUM(C15:O15)</f>
        <v>457.61999999999995</v>
      </c>
      <c r="Q15" s="49"/>
      <c r="R15" s="104">
        <v>5.19</v>
      </c>
      <c r="S15" s="23">
        <v>0</v>
      </c>
      <c r="T15" s="101">
        <v>11.241</v>
      </c>
      <c r="U15" s="50"/>
      <c r="V15" s="114">
        <v>2.2389999999999999</v>
      </c>
      <c r="W15" s="405">
        <f>SUM(R15:V15)</f>
        <v>18.670000000000002</v>
      </c>
      <c r="X15" s="57"/>
      <c r="Y15" s="1508">
        <v>454.065</v>
      </c>
      <c r="Z15" s="1636"/>
      <c r="AA15" s="1637"/>
      <c r="AB15" s="1637"/>
      <c r="AC15" s="2270"/>
      <c r="AD15" s="2213"/>
      <c r="AE15" s="2301"/>
      <c r="AF15" s="2326">
        <v>438.94799999999998</v>
      </c>
      <c r="AG15" s="2315">
        <v>451.98899999999998</v>
      </c>
      <c r="AH15" s="1846">
        <f>W15-V15-(IF(AND(Motpart!$Y$9="",Motpart!$Z$9=""),0,IF(AND(Motpart!$Y$9=0,Motpart!$Z$9=0),0,((T15/$T$17)*(Motpart!$Y$9+Motpart!$Z$9)))))</f>
        <v>11.552478518641148</v>
      </c>
    </row>
    <row r="16" spans="1:34">
      <c r="A16" s="2104" t="s">
        <v>215</v>
      </c>
      <c r="B16" s="872" t="s">
        <v>53</v>
      </c>
      <c r="C16" s="23">
        <v>1179.826</v>
      </c>
      <c r="D16" s="21">
        <v>418.28100000000001</v>
      </c>
      <c r="E16" s="25">
        <v>19.449000000000002</v>
      </c>
      <c r="F16" s="23">
        <v>189.899</v>
      </c>
      <c r="G16" s="23">
        <v>532.27099999999996</v>
      </c>
      <c r="H16" s="24">
        <v>71.686000000000007</v>
      </c>
      <c r="I16" s="23">
        <v>16.175000000000001</v>
      </c>
      <c r="J16" s="101">
        <v>8.6829999999999998</v>
      </c>
      <c r="K16" s="31"/>
      <c r="L16" s="104">
        <v>37.377000000000002</v>
      </c>
      <c r="M16" s="23">
        <v>217.65199999999999</v>
      </c>
      <c r="N16" s="21">
        <v>12.736000000000001</v>
      </c>
      <c r="O16" s="371">
        <v>76.033000000000001</v>
      </c>
      <c r="P16" s="370">
        <f>SUM(C16:O16)</f>
        <v>2780.0679999999998</v>
      </c>
      <c r="Q16" s="49"/>
      <c r="R16" s="104">
        <v>25.707000000000001</v>
      </c>
      <c r="S16" s="23">
        <v>0.18</v>
      </c>
      <c r="T16" s="101">
        <v>278.673</v>
      </c>
      <c r="U16" s="50"/>
      <c r="V16" s="114">
        <v>116.94499999999999</v>
      </c>
      <c r="W16" s="405">
        <f>SUM(R16:V16)</f>
        <v>421.505</v>
      </c>
      <c r="X16" s="57"/>
      <c r="Y16" s="1508">
        <v>2508.4110000000001</v>
      </c>
      <c r="Z16" s="1636"/>
      <c r="AA16" s="1637"/>
      <c r="AB16" s="1637"/>
      <c r="AC16" s="2270"/>
      <c r="AD16" s="2213"/>
      <c r="AE16" s="2301"/>
      <c r="AF16" s="2326">
        <v>2358.556</v>
      </c>
      <c r="AG16" s="2315">
        <v>2401.5329999999999</v>
      </c>
      <c r="AH16" s="1846">
        <f>W16-V16-(IF(AND(Motpart!$Y$9="",Motpart!$Z$9=""),0,IF(AND(Motpart!$Y$9=0,Motpart!$Z$9=0),0,((T16/$T$17)*(Motpart!$Y$9+Motpart!$Z$9)))))</f>
        <v>183.6177157926594</v>
      </c>
    </row>
    <row r="17" spans="1:34" ht="12.75" customHeight="1" thickBot="1">
      <c r="A17" s="2119" t="s">
        <v>216</v>
      </c>
      <c r="B17" s="872" t="s">
        <v>54</v>
      </c>
      <c r="C17" s="363">
        <f>SUM(C13:C16)</f>
        <v>3358.9490000000001</v>
      </c>
      <c r="D17" s="26">
        <f t="shared" ref="D17:O17" si="0">SUM(D13:D16)</f>
        <v>1143.8890000000001</v>
      </c>
      <c r="E17" s="373">
        <f t="shared" si="0"/>
        <v>72.376000000000005</v>
      </c>
      <c r="F17" s="363">
        <f t="shared" si="0"/>
        <v>222.40199999999999</v>
      </c>
      <c r="G17" s="363">
        <f t="shared" si="0"/>
        <v>1040.193</v>
      </c>
      <c r="H17" s="26">
        <f t="shared" si="0"/>
        <v>610.37800000000004</v>
      </c>
      <c r="I17" s="363">
        <f t="shared" si="0"/>
        <v>36.113</v>
      </c>
      <c r="J17" s="105">
        <f t="shared" si="0"/>
        <v>24.366999999999997</v>
      </c>
      <c r="K17" s="148"/>
      <c r="L17" s="372">
        <f>SUM(L13:L16)</f>
        <v>140.654</v>
      </c>
      <c r="M17" s="363">
        <f t="shared" si="0"/>
        <v>410.47900000000004</v>
      </c>
      <c r="N17" s="26">
        <f t="shared" si="0"/>
        <v>32.499000000000002</v>
      </c>
      <c r="O17" s="26">
        <f t="shared" si="0"/>
        <v>211.07400000000001</v>
      </c>
      <c r="P17" s="105">
        <f>SUM(P6:P16)</f>
        <v>7303.3729999999996</v>
      </c>
      <c r="Q17" s="49"/>
      <c r="R17" s="372">
        <f>SUM(R13:R16)</f>
        <v>34.051000000000002</v>
      </c>
      <c r="S17" s="363">
        <f>SUM(S13:S16)</f>
        <v>1.2349999999999999</v>
      </c>
      <c r="T17" s="105">
        <f>SUM(T13:T16)</f>
        <v>386.59100000000001</v>
      </c>
      <c r="U17" s="49"/>
      <c r="V17" s="117">
        <f>SUM(V13:V16)</f>
        <v>201.09399999999999</v>
      </c>
      <c r="W17" s="118">
        <f>SUM(W13:W16)</f>
        <v>622.971</v>
      </c>
      <c r="X17" s="57"/>
      <c r="Y17" s="982">
        <v>6934.5129999999999</v>
      </c>
      <c r="Z17" s="983">
        <f>(P17-W17)*1000/invanare</f>
        <v>643.62772230676558</v>
      </c>
      <c r="AA17" s="983">
        <f>Y17*1000/invanare</f>
        <v>668.11021365131251</v>
      </c>
      <c r="AB17" s="983">
        <v>737.31600000000003</v>
      </c>
      <c r="AC17" s="2271">
        <f>IF(ISERROR((AA17-AB17)/AB17)," ",((AA17-AB17)/AB17))</f>
        <v>-9.3861772087798889E-2</v>
      </c>
      <c r="AD17" s="2213"/>
      <c r="AE17" s="2302"/>
      <c r="AF17" s="2327">
        <v>6680.4070000000002</v>
      </c>
      <c r="AG17" s="2316">
        <v>6269.5219999999999</v>
      </c>
      <c r="AH17" s="1846">
        <f>W17-V17-SUM(Motpart!Y9:Z9)</f>
        <v>254.09899999999999</v>
      </c>
    </row>
    <row r="18" spans="1:34" ht="37.5" customHeight="1" thickBot="1">
      <c r="A18" s="2120"/>
      <c r="B18" s="873" t="s">
        <v>55</v>
      </c>
      <c r="C18" s="912"/>
      <c r="D18" s="913"/>
      <c r="E18" s="912"/>
      <c r="F18" s="914"/>
      <c r="G18" s="914"/>
      <c r="H18" s="913"/>
      <c r="I18" s="914"/>
      <c r="J18" s="915"/>
      <c r="K18" s="31"/>
      <c r="L18" s="948"/>
      <c r="M18" s="914"/>
      <c r="N18" s="913"/>
      <c r="O18" s="913"/>
      <c r="P18" s="915"/>
      <c r="Q18" s="50"/>
      <c r="R18" s="948"/>
      <c r="S18" s="914"/>
      <c r="T18" s="915"/>
      <c r="U18" s="50"/>
      <c r="V18" s="962"/>
      <c r="W18" s="963"/>
      <c r="X18" s="31"/>
      <c r="Y18" s="1653" t="s">
        <v>984</v>
      </c>
      <c r="Z18" s="2529"/>
      <c r="AA18" s="2527"/>
      <c r="AB18" s="2527"/>
      <c r="AC18" s="2528"/>
      <c r="AD18" s="2213"/>
      <c r="AE18" s="2303"/>
      <c r="AF18" s="2328"/>
      <c r="AG18" s="2317"/>
      <c r="AH18" s="1847"/>
    </row>
    <row r="19" spans="1:34">
      <c r="A19" s="2104" t="s">
        <v>217</v>
      </c>
      <c r="B19" s="874" t="s">
        <v>56</v>
      </c>
      <c r="C19" s="20">
        <v>4155.8919999999998</v>
      </c>
      <c r="D19" s="21">
        <v>1634.856</v>
      </c>
      <c r="E19" s="20">
        <v>1088.106</v>
      </c>
      <c r="F19" s="20">
        <v>190.36699999999999</v>
      </c>
      <c r="G19" s="20">
        <v>2197.8719999999998</v>
      </c>
      <c r="H19" s="21">
        <v>164.42400000000001</v>
      </c>
      <c r="I19" s="20">
        <v>840.19299999999998</v>
      </c>
      <c r="J19" s="100">
        <v>1172.866</v>
      </c>
      <c r="K19" s="31"/>
      <c r="L19" s="103">
        <v>423.12700000000001</v>
      </c>
      <c r="M19" s="20">
        <v>1463.8150000000001</v>
      </c>
      <c r="N19" s="21">
        <v>103.596</v>
      </c>
      <c r="O19" s="371">
        <v>335.08100000000002</v>
      </c>
      <c r="P19" s="370">
        <f>SUM(C19:O19)</f>
        <v>13770.195</v>
      </c>
      <c r="Q19" s="49"/>
      <c r="R19" s="103">
        <v>3233.241</v>
      </c>
      <c r="S19" s="20">
        <v>317.09399999999999</v>
      </c>
      <c r="T19" s="100">
        <v>2141.8919999999998</v>
      </c>
      <c r="U19" s="50"/>
      <c r="V19" s="113">
        <v>2603.5700000000002</v>
      </c>
      <c r="W19" s="405">
        <f t="shared" ref="W19:W29" si="1">SUM(R19:V19)</f>
        <v>8295.7970000000005</v>
      </c>
      <c r="X19" s="57"/>
      <c r="Y19" s="982">
        <v>11110.647999999999</v>
      </c>
      <c r="Z19" s="1646"/>
      <c r="AA19" s="1647"/>
      <c r="AB19" s="1648"/>
      <c r="AC19" s="2272"/>
      <c r="AD19" s="2213"/>
      <c r="AE19" s="2303"/>
      <c r="AF19" s="2326">
        <v>5474.3869999999997</v>
      </c>
      <c r="AG19" s="2315">
        <v>10811.832</v>
      </c>
      <c r="AH19" s="1846">
        <f>W19-V19-(IF(AND(Motpart!$Y$10="",Motpart!$Z$10=""),0,IF(AND(Motpart!$Y$10=0,Motpart!$Z$10=0),0,((T19/$T$30)*(Motpart!$Y$10+Motpart!$Z$10)))))</f>
        <v>5579.3763804192768</v>
      </c>
    </row>
    <row r="20" spans="1:34">
      <c r="A20" s="2104" t="s">
        <v>218</v>
      </c>
      <c r="B20" s="872" t="s">
        <v>57</v>
      </c>
      <c r="C20" s="20">
        <v>570.68600000000004</v>
      </c>
      <c r="D20" s="21">
        <v>226.06800000000001</v>
      </c>
      <c r="E20" s="20">
        <v>43.357999999999997</v>
      </c>
      <c r="F20" s="20">
        <v>105.27200000000001</v>
      </c>
      <c r="G20" s="20">
        <v>542.71900000000005</v>
      </c>
      <c r="H20" s="21">
        <v>839.00400000000002</v>
      </c>
      <c r="I20" s="20">
        <v>35.706000000000003</v>
      </c>
      <c r="J20" s="100">
        <v>29.273</v>
      </c>
      <c r="K20" s="31"/>
      <c r="L20" s="104">
        <v>34.895000000000003</v>
      </c>
      <c r="M20" s="23">
        <v>79.542000000000002</v>
      </c>
      <c r="N20" s="21">
        <v>11.052</v>
      </c>
      <c r="O20" s="371">
        <v>48.523000000000003</v>
      </c>
      <c r="P20" s="370">
        <f t="shared" ref="P20:P29" si="2">SUM(C20:O20)</f>
        <v>2566.0980000000004</v>
      </c>
      <c r="Q20" s="49"/>
      <c r="R20" s="104">
        <v>5.0780000000000003</v>
      </c>
      <c r="S20" s="23">
        <v>3.718</v>
      </c>
      <c r="T20" s="101">
        <v>401.404</v>
      </c>
      <c r="U20" s="50"/>
      <c r="V20" s="114">
        <v>41.982999999999997</v>
      </c>
      <c r="W20" s="405">
        <f t="shared" si="1"/>
        <v>452.18299999999999</v>
      </c>
      <c r="X20" s="57"/>
      <c r="Y20" s="1002">
        <v>2505.3890000000001</v>
      </c>
      <c r="Z20" s="1646"/>
      <c r="AA20" s="1647"/>
      <c r="AB20" s="1648"/>
      <c r="AC20" s="2272"/>
      <c r="AD20" s="2213"/>
      <c r="AE20" s="2303"/>
      <c r="AF20" s="2326">
        <v>2113.9250000000002</v>
      </c>
      <c r="AG20" s="2315">
        <v>1579.85</v>
      </c>
      <c r="AH20" s="1846">
        <f>W20-V20-(IF(AND(Motpart!$Y$10="",Motpart!$Z$10=""),0,IF(AND(Motpart!$Y$10=0,Motpart!$Z$10=0),0,((T20/$T$30)*(Motpart!$Y$10+Motpart!$Z$10)))))</f>
        <v>389.05108581469977</v>
      </c>
    </row>
    <row r="21" spans="1:34">
      <c r="A21" s="2104" t="s">
        <v>665</v>
      </c>
      <c r="B21" s="872" t="s">
        <v>58</v>
      </c>
      <c r="C21" s="20">
        <v>118.21</v>
      </c>
      <c r="D21" s="21">
        <v>46.512999999999998</v>
      </c>
      <c r="E21" s="20">
        <v>3.4769999999999999</v>
      </c>
      <c r="F21" s="20">
        <v>8.9459999999999997</v>
      </c>
      <c r="G21" s="20">
        <v>26.417000000000002</v>
      </c>
      <c r="H21" s="21">
        <v>2.7810000000000001</v>
      </c>
      <c r="I21" s="20">
        <v>9.1020000000000003</v>
      </c>
      <c r="J21" s="100">
        <v>0.19800000000000001</v>
      </c>
      <c r="K21" s="31"/>
      <c r="L21" s="104">
        <v>4.5209999999999999</v>
      </c>
      <c r="M21" s="23">
        <v>22.670999999999999</v>
      </c>
      <c r="N21" s="21">
        <v>2.3069999999999999</v>
      </c>
      <c r="O21" s="371">
        <v>6.8330000000000002</v>
      </c>
      <c r="P21" s="370">
        <f t="shared" si="2"/>
        <v>251.97599999999997</v>
      </c>
      <c r="Q21" s="49"/>
      <c r="R21" s="104">
        <v>1.6319999999999999</v>
      </c>
      <c r="S21" s="23">
        <v>6.0000000000000001E-3</v>
      </c>
      <c r="T21" s="101">
        <v>80.941000000000003</v>
      </c>
      <c r="U21" s="50"/>
      <c r="V21" s="114">
        <v>9.2249999999999996</v>
      </c>
      <c r="W21" s="405">
        <f t="shared" si="1"/>
        <v>91.804000000000002</v>
      </c>
      <c r="X21" s="57"/>
      <c r="Y21" s="1002">
        <v>238.92099999999999</v>
      </c>
      <c r="Z21" s="1646"/>
      <c r="AA21" s="1647"/>
      <c r="AB21" s="1648"/>
      <c r="AC21" s="2272"/>
      <c r="AD21" s="2213"/>
      <c r="AE21" s="2303"/>
      <c r="AF21" s="2326">
        <v>160.17500000000001</v>
      </c>
      <c r="AG21" s="2315">
        <v>231.02199999999999</v>
      </c>
      <c r="AH21" s="1846">
        <f>W21-V21-(IF(AND(Motpart!$Y$10="",Motpart!$Z$10=""),0,IF(AND(Motpart!$Y$10=0,Motpart!$Z$10=0),0,((T21/$T$30)*(Motpart!$Y$10+Motpart!$Z$10)))))</f>
        <v>78.31443297258528</v>
      </c>
    </row>
    <row r="22" spans="1:34">
      <c r="A22" s="2104" t="s">
        <v>219</v>
      </c>
      <c r="B22" s="872" t="s">
        <v>59</v>
      </c>
      <c r="C22" s="20">
        <v>158.45500000000001</v>
      </c>
      <c r="D22" s="21">
        <v>62.018000000000001</v>
      </c>
      <c r="E22" s="20">
        <v>50.024000000000001</v>
      </c>
      <c r="F22" s="20">
        <v>137.96799999999999</v>
      </c>
      <c r="G22" s="20">
        <v>157.40299999999999</v>
      </c>
      <c r="H22" s="21">
        <v>246.19200000000001</v>
      </c>
      <c r="I22" s="20">
        <v>12.071</v>
      </c>
      <c r="J22" s="100">
        <v>38.755000000000003</v>
      </c>
      <c r="K22" s="31"/>
      <c r="L22" s="104">
        <v>27.856000000000002</v>
      </c>
      <c r="M22" s="23">
        <v>34.893000000000001</v>
      </c>
      <c r="N22" s="21">
        <v>2.7050000000000001</v>
      </c>
      <c r="O22" s="371">
        <v>19.192</v>
      </c>
      <c r="P22" s="370">
        <f t="shared" si="2"/>
        <v>947.53200000000015</v>
      </c>
      <c r="Q22" s="49"/>
      <c r="R22" s="104">
        <v>37.442</v>
      </c>
      <c r="S22" s="23">
        <v>18.948</v>
      </c>
      <c r="T22" s="101">
        <v>83.846999999999994</v>
      </c>
      <c r="U22" s="50"/>
      <c r="V22" s="114">
        <v>15.081</v>
      </c>
      <c r="W22" s="405">
        <f t="shared" si="1"/>
        <v>155.31799999999998</v>
      </c>
      <c r="X22" s="57"/>
      <c r="Y22" s="1002">
        <v>927.28399999999999</v>
      </c>
      <c r="Z22" s="1649"/>
      <c r="AA22" s="1647"/>
      <c r="AB22" s="1648"/>
      <c r="AC22" s="2272"/>
      <c r="AD22" s="2213"/>
      <c r="AE22" s="2303"/>
      <c r="AF22" s="2326">
        <v>792.221</v>
      </c>
      <c r="AG22" s="2315">
        <v>548.30399999999997</v>
      </c>
      <c r="AH22" s="1846">
        <f>W22-V22-(IF(AND(Motpart!$Y$10="",Motpart!$Z$10=""),0,IF(AND(Motpart!$Y$10=0,Motpart!$Z$10=0),0,((T22/$T$30)*(Motpart!$Y$10+Motpart!$Z$10)))))</f>
        <v>135.81932352518942</v>
      </c>
    </row>
    <row r="23" spans="1:34">
      <c r="A23" s="2104" t="s">
        <v>220</v>
      </c>
      <c r="B23" s="880" t="s">
        <v>856</v>
      </c>
      <c r="C23" s="20">
        <v>1905.646</v>
      </c>
      <c r="D23" s="21">
        <v>785.61500000000001</v>
      </c>
      <c r="E23" s="20">
        <v>3901.9609999999998</v>
      </c>
      <c r="F23" s="20">
        <v>2787.3330000000001</v>
      </c>
      <c r="G23" s="20">
        <v>1593.9659999999999</v>
      </c>
      <c r="H23" s="21">
        <v>725.46100000000001</v>
      </c>
      <c r="I23" s="20">
        <v>112.913</v>
      </c>
      <c r="J23" s="100">
        <v>5772.54</v>
      </c>
      <c r="K23" s="31"/>
      <c r="L23" s="104">
        <v>288.15800000000002</v>
      </c>
      <c r="M23" s="23">
        <v>2182.777</v>
      </c>
      <c r="N23" s="21">
        <v>71.656000000000006</v>
      </c>
      <c r="O23" s="371">
        <v>479.37200000000001</v>
      </c>
      <c r="P23" s="370">
        <f t="shared" si="2"/>
        <v>20607.398000000001</v>
      </c>
      <c r="Q23" s="49"/>
      <c r="R23" s="104">
        <v>3788.1869999999999</v>
      </c>
      <c r="S23" s="23">
        <v>25.527999999999999</v>
      </c>
      <c r="T23" s="101">
        <v>2481.7629999999999</v>
      </c>
      <c r="U23" s="50"/>
      <c r="V23" s="114">
        <v>2814.2379999999998</v>
      </c>
      <c r="W23" s="405">
        <f t="shared" si="1"/>
        <v>9109.7159999999985</v>
      </c>
      <c r="X23" s="57"/>
      <c r="Y23" s="1002">
        <v>17690.448</v>
      </c>
      <c r="Z23" s="1649"/>
      <c r="AA23" s="1647"/>
      <c r="AB23" s="1648"/>
      <c r="AC23" s="2272"/>
      <c r="AD23" s="2213"/>
      <c r="AE23" s="2303"/>
      <c r="AF23" s="2326">
        <v>11497.665000000001</v>
      </c>
      <c r="AG23" s="2315">
        <v>14280.346</v>
      </c>
      <c r="AH23" s="1846">
        <f>W23-V23-(IF(AND(Motpart!$Y$10="",Motpart!$Z$10=""),0,IF(AND(Motpart!$Y$10=0,Motpart!$Z$10=0),0,((T23/$T$30)*(Motpart!$Y$10+Motpart!$Z$10)))))</f>
        <v>6164.7204771171846</v>
      </c>
    </row>
    <row r="24" spans="1:34">
      <c r="A24" s="2104" t="s">
        <v>221</v>
      </c>
      <c r="B24" s="872" t="s">
        <v>18</v>
      </c>
      <c r="C24" s="20">
        <v>1052.48</v>
      </c>
      <c r="D24" s="21">
        <v>416.822</v>
      </c>
      <c r="E24" s="20">
        <v>747.41800000000001</v>
      </c>
      <c r="F24" s="20">
        <v>1149.836</v>
      </c>
      <c r="G24" s="20">
        <v>547.54300000000001</v>
      </c>
      <c r="H24" s="21">
        <v>18.260000000000002</v>
      </c>
      <c r="I24" s="20">
        <v>33.965000000000003</v>
      </c>
      <c r="J24" s="100">
        <v>1035.4839999999999</v>
      </c>
      <c r="K24" s="31"/>
      <c r="L24" s="104">
        <v>93.793999999999997</v>
      </c>
      <c r="M24" s="23">
        <v>1324.8389999999999</v>
      </c>
      <c r="N24" s="21">
        <v>20.448</v>
      </c>
      <c r="O24" s="371">
        <v>139.17599999999999</v>
      </c>
      <c r="P24" s="370">
        <f t="shared" si="2"/>
        <v>6580.0650000000014</v>
      </c>
      <c r="Q24" s="49"/>
      <c r="R24" s="104">
        <v>18.54</v>
      </c>
      <c r="S24" s="23">
        <v>5.1890000000000001</v>
      </c>
      <c r="T24" s="101">
        <v>512.00599999999997</v>
      </c>
      <c r="U24" s="50"/>
      <c r="V24" s="114">
        <v>906.51599999999996</v>
      </c>
      <c r="W24" s="405">
        <f t="shared" si="1"/>
        <v>1442.251</v>
      </c>
      <c r="X24" s="57"/>
      <c r="Y24" s="1002">
        <v>5654.3090000000002</v>
      </c>
      <c r="Z24" s="1649"/>
      <c r="AA24" s="1647"/>
      <c r="AB24" s="1648"/>
      <c r="AC24" s="2272"/>
      <c r="AD24" s="2213"/>
      <c r="AE24" s="2303"/>
      <c r="AF24" s="2326">
        <v>5137.8069999999998</v>
      </c>
      <c r="AG24" s="2315">
        <v>4505.4440000000004</v>
      </c>
      <c r="AH24" s="1846">
        <f>W24-V24-(IF(AND(Motpart!$Y$10="",Motpart!$Z$10=""),0,IF(AND(Motpart!$Y$10=0,Motpart!$Z$10=0),0,((T24/$T$30)*(Motpart!$Y$10+Motpart!$Z$10)))))</f>
        <v>508.75875921426092</v>
      </c>
    </row>
    <row r="25" spans="1:34">
      <c r="A25" s="2104" t="s">
        <v>222</v>
      </c>
      <c r="B25" s="872" t="s">
        <v>61</v>
      </c>
      <c r="C25" s="20">
        <v>1362.627</v>
      </c>
      <c r="D25" s="21">
        <v>540.73099999999999</v>
      </c>
      <c r="E25" s="20">
        <v>34.610999999999997</v>
      </c>
      <c r="F25" s="20">
        <v>137.80799999999999</v>
      </c>
      <c r="G25" s="20">
        <v>172.82400000000001</v>
      </c>
      <c r="H25" s="21">
        <v>11.438000000000001</v>
      </c>
      <c r="I25" s="20">
        <v>35.44</v>
      </c>
      <c r="J25" s="100">
        <v>12.978</v>
      </c>
      <c r="K25" s="31"/>
      <c r="L25" s="104">
        <v>62.640999999999998</v>
      </c>
      <c r="M25" s="23">
        <v>212.18</v>
      </c>
      <c r="N25" s="21">
        <v>14.744999999999999</v>
      </c>
      <c r="O25" s="371">
        <v>78.093000000000004</v>
      </c>
      <c r="P25" s="370">
        <f t="shared" si="2"/>
        <v>2676.116</v>
      </c>
      <c r="Q25" s="49"/>
      <c r="R25" s="104">
        <v>931.76599999999996</v>
      </c>
      <c r="S25" s="23">
        <v>1.462</v>
      </c>
      <c r="T25" s="101">
        <v>189.18899999999999</v>
      </c>
      <c r="U25" s="50"/>
      <c r="V25" s="114">
        <v>264.036</v>
      </c>
      <c r="W25" s="405">
        <f t="shared" si="1"/>
        <v>1386.453</v>
      </c>
      <c r="X25" s="57"/>
      <c r="Y25" s="1002">
        <v>2392.2759999999998</v>
      </c>
      <c r="Z25" s="1633"/>
      <c r="AA25" s="1647"/>
      <c r="AB25" s="1648"/>
      <c r="AC25" s="2272"/>
      <c r="AD25" s="2213"/>
      <c r="AE25" s="2303"/>
      <c r="AF25" s="2326">
        <v>1289.6500000000001</v>
      </c>
      <c r="AG25" s="2315">
        <v>2262.8270000000002</v>
      </c>
      <c r="AH25" s="1846">
        <f>W25-V25-(IF(AND(Motpart!$Y$10="",Motpart!$Z$10=""),0,IF(AND(Motpart!$Y$10=0,Motpart!$Z$10=0),0,((T25/$T$30)*(Motpart!$Y$10+Motpart!$Z$10)))))</f>
        <v>1112.4491324007663</v>
      </c>
    </row>
    <row r="26" spans="1:34">
      <c r="A26" s="2104" t="s">
        <v>223</v>
      </c>
      <c r="B26" s="872" t="s">
        <v>62</v>
      </c>
      <c r="C26" s="20">
        <v>558.99400000000003</v>
      </c>
      <c r="D26" s="21">
        <v>221.54900000000001</v>
      </c>
      <c r="E26" s="20">
        <v>203.94499999999999</v>
      </c>
      <c r="F26" s="20">
        <v>53.905999999999999</v>
      </c>
      <c r="G26" s="20">
        <v>491.464</v>
      </c>
      <c r="H26" s="21">
        <v>59.311</v>
      </c>
      <c r="I26" s="20">
        <v>17.526</v>
      </c>
      <c r="J26" s="100">
        <v>60.847999999999999</v>
      </c>
      <c r="K26" s="31"/>
      <c r="L26" s="104">
        <v>24.481000000000002</v>
      </c>
      <c r="M26" s="23">
        <v>153.821</v>
      </c>
      <c r="N26" s="21">
        <v>5.95</v>
      </c>
      <c r="O26" s="371">
        <v>58.820999999999998</v>
      </c>
      <c r="P26" s="370">
        <f t="shared" si="2"/>
        <v>1910.6159999999998</v>
      </c>
      <c r="Q26" s="49"/>
      <c r="R26" s="104">
        <v>65.863</v>
      </c>
      <c r="S26" s="23">
        <v>2.0979999999999999</v>
      </c>
      <c r="T26" s="101">
        <v>596.62699999999995</v>
      </c>
      <c r="U26" s="50"/>
      <c r="V26" s="114">
        <v>83.471000000000004</v>
      </c>
      <c r="W26" s="405">
        <f t="shared" si="1"/>
        <v>748.05899999999997</v>
      </c>
      <c r="X26" s="57"/>
      <c r="Y26" s="1002">
        <v>1802.9290000000001</v>
      </c>
      <c r="Z26" s="1650"/>
      <c r="AA26" s="1637"/>
      <c r="AB26" s="1637"/>
      <c r="AC26" s="2270"/>
      <c r="AD26" s="2213"/>
      <c r="AE26" s="2303"/>
      <c r="AF26" s="2326">
        <v>1162.575</v>
      </c>
      <c r="AG26" s="2315">
        <v>1713.9449999999999</v>
      </c>
      <c r="AH26" s="1846">
        <f>W26-V26-(IF(AND(Motpart!$Y$10="",Motpart!$Z$10=""),0,IF(AND(Motpart!$Y$10=0,Motpart!$Z$10=0),0,((T26/$T$30)*(Motpart!$Y$10+Motpart!$Z$10)))))</f>
        <v>633.15330272834069</v>
      </c>
    </row>
    <row r="27" spans="1:34">
      <c r="A27" s="2104" t="s">
        <v>224</v>
      </c>
      <c r="B27" s="872" t="s">
        <v>63</v>
      </c>
      <c r="C27" s="20">
        <v>130.053</v>
      </c>
      <c r="D27" s="21">
        <v>51.228000000000002</v>
      </c>
      <c r="E27" s="20">
        <v>2.6629999999999998</v>
      </c>
      <c r="F27" s="20">
        <v>10.906000000000001</v>
      </c>
      <c r="G27" s="20">
        <v>24.809000000000001</v>
      </c>
      <c r="H27" s="21">
        <v>0.53</v>
      </c>
      <c r="I27" s="20">
        <v>1.393</v>
      </c>
      <c r="J27" s="100">
        <v>0.59899999999999998</v>
      </c>
      <c r="K27" s="31"/>
      <c r="L27" s="104">
        <v>6.49</v>
      </c>
      <c r="M27" s="23">
        <v>27.36</v>
      </c>
      <c r="N27" s="21">
        <v>3.1709999999999998</v>
      </c>
      <c r="O27" s="371">
        <v>8.2590000000000003</v>
      </c>
      <c r="P27" s="370">
        <f t="shared" si="2"/>
        <v>267.46100000000001</v>
      </c>
      <c r="Q27" s="49"/>
      <c r="R27" s="104">
        <v>156.434</v>
      </c>
      <c r="S27" s="23">
        <v>1.1419999999999999</v>
      </c>
      <c r="T27" s="101">
        <v>17.666</v>
      </c>
      <c r="U27" s="50"/>
      <c r="V27" s="114">
        <v>8.14</v>
      </c>
      <c r="W27" s="405">
        <f t="shared" si="1"/>
        <v>183.38200000000001</v>
      </c>
      <c r="X27" s="57"/>
      <c r="Y27" s="1002">
        <v>256.553</v>
      </c>
      <c r="Z27" s="1636"/>
      <c r="AA27" s="1637"/>
      <c r="AB27" s="1637"/>
      <c r="AC27" s="2270"/>
      <c r="AD27" s="2213"/>
      <c r="AE27" s="2303"/>
      <c r="AF27" s="2326">
        <v>84.072999999999993</v>
      </c>
      <c r="AG27" s="2315">
        <v>247.88499999999999</v>
      </c>
      <c r="AH27" s="1846">
        <f>W27-V27-(IF(AND(Motpart!$Y$10="",Motpart!$Z$10=""),0,IF(AND(Motpart!$Y$10=0,Motpart!$Z$10=0),0,((T27/$T$30)*(Motpart!$Y$10+Motpart!$Z$10)))))</f>
        <v>174.31122522446836</v>
      </c>
    </row>
    <row r="28" spans="1:34">
      <c r="A28" s="2104" t="s">
        <v>225</v>
      </c>
      <c r="B28" s="872" t="s">
        <v>19</v>
      </c>
      <c r="C28" s="20">
        <v>1563.5129999999999</v>
      </c>
      <c r="D28" s="21">
        <v>617.24400000000003</v>
      </c>
      <c r="E28" s="20">
        <v>164.78800000000001</v>
      </c>
      <c r="F28" s="20">
        <v>4191.7139999999999</v>
      </c>
      <c r="G28" s="20">
        <v>386.60300000000001</v>
      </c>
      <c r="H28" s="21">
        <v>1114.1690000000001</v>
      </c>
      <c r="I28" s="20">
        <v>114.74</v>
      </c>
      <c r="J28" s="100">
        <v>204.2</v>
      </c>
      <c r="K28" s="31"/>
      <c r="L28" s="104">
        <v>209.10900000000001</v>
      </c>
      <c r="M28" s="23">
        <v>148.52699999999999</v>
      </c>
      <c r="N28" s="21">
        <v>30.286999999999999</v>
      </c>
      <c r="O28" s="371">
        <v>108.568</v>
      </c>
      <c r="P28" s="370">
        <f t="shared" si="2"/>
        <v>8853.4619999999995</v>
      </c>
      <c r="Q28" s="49"/>
      <c r="R28" s="104">
        <v>139.05099999999999</v>
      </c>
      <c r="S28" s="23">
        <v>32.234000000000002</v>
      </c>
      <c r="T28" s="101">
        <v>449.38499999999999</v>
      </c>
      <c r="U28" s="50"/>
      <c r="V28" s="114">
        <v>149.29900000000001</v>
      </c>
      <c r="W28" s="405">
        <f t="shared" si="1"/>
        <v>769.96899999999994</v>
      </c>
      <c r="X28" s="57"/>
      <c r="Y28" s="1002">
        <v>8589.5239999999994</v>
      </c>
      <c r="Z28" s="1636"/>
      <c r="AA28" s="1637"/>
      <c r="AB28" s="1637"/>
      <c r="AC28" s="2270"/>
      <c r="AD28" s="2213"/>
      <c r="AE28" s="2303"/>
      <c r="AF28" s="2326">
        <v>8083.4859999999999</v>
      </c>
      <c r="AG28" s="2315">
        <v>3398.2739999999999</v>
      </c>
      <c r="AH28" s="1846">
        <f>W28-V28-(IF(AND(Motpart!$Y$10="",Motpart!$Z$10=""),0,IF(AND(Motpart!$Y$10=0,Motpart!$Z$10=0),0,((T28/$T$30)*(Motpart!$Y$10+Motpart!$Z$10)))))</f>
        <v>596.9930939373769</v>
      </c>
    </row>
    <row r="29" spans="1:34">
      <c r="A29" s="2104" t="s">
        <v>226</v>
      </c>
      <c r="B29" s="872" t="s">
        <v>64</v>
      </c>
      <c r="C29" s="20">
        <v>228.11600000000001</v>
      </c>
      <c r="D29" s="21">
        <v>90.126000000000005</v>
      </c>
      <c r="E29" s="20">
        <v>57.122</v>
      </c>
      <c r="F29" s="20">
        <v>18.048999999999999</v>
      </c>
      <c r="G29" s="20">
        <v>224.38300000000001</v>
      </c>
      <c r="H29" s="21">
        <v>5.8040000000000003</v>
      </c>
      <c r="I29" s="20">
        <v>2.4430000000000001</v>
      </c>
      <c r="J29" s="100">
        <v>84.093000000000004</v>
      </c>
      <c r="K29" s="31"/>
      <c r="L29" s="104">
        <v>8.984</v>
      </c>
      <c r="M29" s="23">
        <v>60.350999999999999</v>
      </c>
      <c r="N29" s="21">
        <v>3.0249999999999999</v>
      </c>
      <c r="O29" s="371">
        <v>26.308</v>
      </c>
      <c r="P29" s="370">
        <f t="shared" si="2"/>
        <v>808.80399999999997</v>
      </c>
      <c r="Q29" s="49"/>
      <c r="R29" s="104">
        <v>14.231</v>
      </c>
      <c r="S29" s="23">
        <v>2.2210000000000001</v>
      </c>
      <c r="T29" s="101">
        <v>401.10599999999999</v>
      </c>
      <c r="U29" s="50"/>
      <c r="V29" s="114">
        <v>48.884</v>
      </c>
      <c r="W29" s="405">
        <f t="shared" si="1"/>
        <v>466.44200000000001</v>
      </c>
      <c r="X29" s="57"/>
      <c r="Y29" s="1002">
        <v>739.40800000000002</v>
      </c>
      <c r="Z29" s="1644"/>
      <c r="AA29" s="1645"/>
      <c r="AB29" s="1645"/>
      <c r="AC29" s="2273"/>
      <c r="AD29" s="2213"/>
      <c r="AE29" s="2303"/>
      <c r="AF29" s="2326">
        <v>342.34899999999999</v>
      </c>
      <c r="AG29" s="2315">
        <v>736.06200000000001</v>
      </c>
      <c r="AH29" s="1846">
        <f>W29-V29-(IF(AND(Motpart!$Y$10="",Motpart!$Z$10=""),0,IF(AND(Motpart!$Y$10=0,Motpart!$Z$10=0),0,((T29/$T$30)*(Motpart!$Y$10+Motpart!$Z$10)))))</f>
        <v>396.42478664585053</v>
      </c>
    </row>
    <row r="30" spans="1:34" ht="12.75" customHeight="1" thickBot="1">
      <c r="A30" s="2119" t="s">
        <v>227</v>
      </c>
      <c r="B30" s="872" t="s">
        <v>65</v>
      </c>
      <c r="C30" s="363">
        <f t="shared" ref="C30:M30" si="3">SUM(C19:C29)</f>
        <v>11804.672</v>
      </c>
      <c r="D30" s="26">
        <f t="shared" si="3"/>
        <v>4692.7699999999995</v>
      </c>
      <c r="E30" s="26">
        <f t="shared" si="3"/>
        <v>6297.472999999999</v>
      </c>
      <c r="F30" s="374">
        <f t="shared" si="3"/>
        <v>8792.1050000000014</v>
      </c>
      <c r="G30" s="375">
        <f t="shared" si="3"/>
        <v>6366.0029999999988</v>
      </c>
      <c r="H30" s="376">
        <f t="shared" si="3"/>
        <v>3187.3740000000007</v>
      </c>
      <c r="I30" s="363">
        <f t="shared" si="3"/>
        <v>1215.4920000000002</v>
      </c>
      <c r="J30" s="105">
        <f t="shared" si="3"/>
        <v>8411.8340000000007</v>
      </c>
      <c r="K30" s="148"/>
      <c r="L30" s="372">
        <f>SUM(L19:L29)</f>
        <v>1184.0559999999998</v>
      </c>
      <c r="M30" s="363">
        <f t="shared" si="3"/>
        <v>5710.7759999999998</v>
      </c>
      <c r="N30" s="26">
        <f t="shared" ref="N30:W30" si="4">SUM(N19:N29)</f>
        <v>268.94199999999995</v>
      </c>
      <c r="O30" s="26">
        <f t="shared" si="4"/>
        <v>1308.2260000000001</v>
      </c>
      <c r="P30" s="105">
        <f t="shared" si="4"/>
        <v>59239.723000000005</v>
      </c>
      <c r="Q30" s="49"/>
      <c r="R30" s="372">
        <f t="shared" si="4"/>
        <v>8391.4649999999983</v>
      </c>
      <c r="S30" s="363">
        <f t="shared" si="4"/>
        <v>409.64</v>
      </c>
      <c r="T30" s="105">
        <f t="shared" si="4"/>
        <v>7355.826</v>
      </c>
      <c r="U30" s="49"/>
      <c r="V30" s="117">
        <f t="shared" si="4"/>
        <v>6944.4429999999993</v>
      </c>
      <c r="W30" s="118">
        <f t="shared" si="4"/>
        <v>23101.374000000003</v>
      </c>
      <c r="X30" s="57"/>
      <c r="Y30" s="1652">
        <v>51907.714999999997</v>
      </c>
      <c r="Z30" s="983">
        <f>(P30-W30)*1000/invanare</f>
        <v>3481.7729913255189</v>
      </c>
      <c r="AA30" s="983">
        <f>Y30*1000/invanare</f>
        <v>5001.0829251890418</v>
      </c>
      <c r="AB30" s="983">
        <v>4766.2129999999997</v>
      </c>
      <c r="AC30" s="2271">
        <f>IF(ISERROR((AA30-AB30)/AB30)," ",((AA30-AB30)/AB30))</f>
        <v>4.9278100913459404E-2</v>
      </c>
      <c r="AD30" s="2213"/>
      <c r="AE30" s="2304">
        <f>IF(ISERROR(F30/(AA30/1000*invanare)),"",(F30/(AA30/100000*invanare)))</f>
        <v>16.937954213549954</v>
      </c>
      <c r="AF30" s="2326">
        <v>36138.328000000001</v>
      </c>
      <c r="AG30" s="2316">
        <v>40315.792000000001</v>
      </c>
      <c r="AH30" s="1848">
        <f>W30-V30-SUM(Motpart!Y10:Z10)</f>
        <v>15769.372000000005</v>
      </c>
    </row>
    <row r="31" spans="1:34" ht="37.5" customHeight="1" thickBot="1">
      <c r="A31" s="2114"/>
      <c r="B31" s="875" t="s">
        <v>66</v>
      </c>
      <c r="C31" s="916"/>
      <c r="D31" s="917"/>
      <c r="E31" s="918"/>
      <c r="F31" s="919"/>
      <c r="G31" s="920"/>
      <c r="H31" s="921"/>
      <c r="I31" s="920"/>
      <c r="J31" s="922"/>
      <c r="K31" s="31"/>
      <c r="L31" s="949"/>
      <c r="M31" s="920"/>
      <c r="N31" s="917"/>
      <c r="O31" s="917"/>
      <c r="P31" s="922"/>
      <c r="Q31" s="50"/>
      <c r="R31" s="949"/>
      <c r="S31" s="920"/>
      <c r="T31" s="922"/>
      <c r="U31" s="50"/>
      <c r="V31" s="964"/>
      <c r="W31" s="965"/>
      <c r="X31" s="31"/>
      <c r="Y31" s="1653" t="s">
        <v>981</v>
      </c>
      <c r="Z31" s="2526"/>
      <c r="AA31" s="2527"/>
      <c r="AB31" s="2527"/>
      <c r="AC31" s="2528"/>
      <c r="AD31" s="2213"/>
      <c r="AE31" s="2303">
        <f>IF(ISERROR(F30/(AA30/1000*invanare)),"",(SUM(Motpart!D10,Motpart!F10)/(AA30/100000*invanare)))</f>
        <v>6.4362725271185601</v>
      </c>
      <c r="AF31" s="2329"/>
      <c r="AG31" s="2318"/>
      <c r="AH31" s="1849"/>
    </row>
    <row r="32" spans="1:34" ht="9" customHeight="1">
      <c r="A32" s="2121"/>
      <c r="B32" s="876" t="s">
        <v>67</v>
      </c>
      <c r="C32" s="923"/>
      <c r="D32" s="924"/>
      <c r="E32" s="925"/>
      <c r="F32" s="926"/>
      <c r="G32" s="927"/>
      <c r="H32" s="928"/>
      <c r="I32" s="927"/>
      <c r="J32" s="929"/>
      <c r="K32" s="31"/>
      <c r="L32" s="950"/>
      <c r="M32" s="927"/>
      <c r="N32" s="924"/>
      <c r="O32" s="924"/>
      <c r="P32" s="929"/>
      <c r="Q32" s="50"/>
      <c r="R32" s="950"/>
      <c r="S32" s="927"/>
      <c r="T32" s="929"/>
      <c r="U32" s="50"/>
      <c r="V32" s="966"/>
      <c r="W32" s="967"/>
      <c r="X32" s="31"/>
      <c r="Y32" s="1507"/>
      <c r="Z32" s="977"/>
      <c r="AA32" s="978"/>
      <c r="AB32" s="979"/>
      <c r="AC32" s="2274"/>
      <c r="AD32" s="2213"/>
      <c r="AE32" s="2303"/>
      <c r="AF32" s="2330"/>
      <c r="AG32" s="2319"/>
      <c r="AH32" s="1850"/>
    </row>
    <row r="33" spans="1:34" ht="12" customHeight="1">
      <c r="A33" s="2104" t="s">
        <v>228</v>
      </c>
      <c r="B33" s="874" t="s">
        <v>68</v>
      </c>
      <c r="C33" s="20">
        <v>5.3440000000000003</v>
      </c>
      <c r="D33" s="21">
        <v>2.093</v>
      </c>
      <c r="E33" s="451">
        <v>0.32500000000000001</v>
      </c>
      <c r="F33" s="452">
        <v>0.92600000000000005</v>
      </c>
      <c r="G33" s="20">
        <v>4.4960000000000004</v>
      </c>
      <c r="H33" s="453">
        <v>520.74300000000005</v>
      </c>
      <c r="I33" s="20">
        <v>7.2140000000000004</v>
      </c>
      <c r="J33" s="100">
        <v>0.218</v>
      </c>
      <c r="K33" s="31"/>
      <c r="L33" s="103">
        <v>12.42</v>
      </c>
      <c r="M33" s="20">
        <v>1.036</v>
      </c>
      <c r="N33" s="21">
        <v>1.825</v>
      </c>
      <c r="O33" s="371">
        <v>1.03</v>
      </c>
      <c r="P33" s="370">
        <f>SUM(C33:O33)</f>
        <v>557.66999999999996</v>
      </c>
      <c r="Q33" s="49"/>
      <c r="R33" s="103">
        <v>8.1000000000000003E-2</v>
      </c>
      <c r="S33" s="20">
        <v>0.74299999999999999</v>
      </c>
      <c r="T33" s="100">
        <v>2.004</v>
      </c>
      <c r="U33" s="50"/>
      <c r="V33" s="113">
        <v>4.24</v>
      </c>
      <c r="W33" s="405">
        <f>SUM(R33:V33)</f>
        <v>7.0679999999999996</v>
      </c>
      <c r="X33" s="57"/>
      <c r="Y33" s="982">
        <v>553.34699999999998</v>
      </c>
      <c r="Z33" s="977"/>
      <c r="AA33" s="977"/>
      <c r="AB33" s="977"/>
      <c r="AC33" s="2275"/>
      <c r="AD33" s="2213"/>
      <c r="AE33" s="2303"/>
      <c r="AF33" s="2326">
        <v>550.61500000000001</v>
      </c>
      <c r="AG33" s="2315">
        <v>31.774999999999999</v>
      </c>
      <c r="AH33" s="1846">
        <f>W33-V33-(IF(AND(Motpart!$Y$11="",Motpart!$Z$11=""),0,IF(AND(Motpart!$Y$11=0,Motpart!$Z$11=0),0,((T33/$T$37)*(Motpart!$Y$11+Motpart!$Z$11)))))</f>
        <v>2.7944204771963461</v>
      </c>
    </row>
    <row r="34" spans="1:34">
      <c r="A34" s="2104" t="s">
        <v>229</v>
      </c>
      <c r="B34" s="872" t="s">
        <v>69</v>
      </c>
      <c r="C34" s="20">
        <v>1264.998</v>
      </c>
      <c r="D34" s="21">
        <v>497.03800000000001</v>
      </c>
      <c r="E34" s="20">
        <v>222.32499999999999</v>
      </c>
      <c r="F34" s="20">
        <v>139.239</v>
      </c>
      <c r="G34" s="20">
        <v>664.16800000000001</v>
      </c>
      <c r="H34" s="24">
        <v>1259.4390000000001</v>
      </c>
      <c r="I34" s="23">
        <v>297.11900000000003</v>
      </c>
      <c r="J34" s="101">
        <v>109.754</v>
      </c>
      <c r="K34" s="31"/>
      <c r="L34" s="104">
        <v>637.85199999999998</v>
      </c>
      <c r="M34" s="23">
        <v>321.27100000000002</v>
      </c>
      <c r="N34" s="21">
        <v>14.829000000000001</v>
      </c>
      <c r="O34" s="371">
        <v>117.488</v>
      </c>
      <c r="P34" s="370">
        <f>SUM(C34:O34)</f>
        <v>5545.5199999999995</v>
      </c>
      <c r="Q34" s="49"/>
      <c r="R34" s="104">
        <v>70.171999999999997</v>
      </c>
      <c r="S34" s="23">
        <v>58.906999999999996</v>
      </c>
      <c r="T34" s="101">
        <v>693.428</v>
      </c>
      <c r="U34" s="50"/>
      <c r="V34" s="114">
        <v>305.40899999999999</v>
      </c>
      <c r="W34" s="405">
        <f>SUM(R34:V34)</f>
        <v>1127.9160000000002</v>
      </c>
      <c r="X34" s="57"/>
      <c r="Y34" s="1002">
        <v>5231.0720000000001</v>
      </c>
      <c r="Z34" s="977"/>
      <c r="AA34" s="977"/>
      <c r="AB34" s="977"/>
      <c r="AC34" s="2275"/>
      <c r="AD34" s="2213"/>
      <c r="AE34" s="2303"/>
      <c r="AF34" s="2326">
        <v>4417.6139999999996</v>
      </c>
      <c r="AG34" s="2315">
        <v>3841.422</v>
      </c>
      <c r="AH34" s="1846">
        <f>W34-V34-(IF(AND(Motpart!$Y$11="",Motpart!$Z$11=""),0,IF(AND(Motpart!$Y$11=0,Motpart!$Z$11=0),0,((T34/$T$37)*(Motpart!$Y$11+Motpart!$Z$11)))))</f>
        <v>810.88774783498434</v>
      </c>
    </row>
    <row r="35" spans="1:34">
      <c r="A35" s="2104" t="s">
        <v>230</v>
      </c>
      <c r="B35" s="872" t="s">
        <v>70</v>
      </c>
      <c r="C35" s="20">
        <v>1919.537</v>
      </c>
      <c r="D35" s="21">
        <v>757.48</v>
      </c>
      <c r="E35" s="23">
        <v>613.50099999999998</v>
      </c>
      <c r="F35" s="23">
        <v>41.408000000000001</v>
      </c>
      <c r="G35" s="23">
        <v>449.58600000000001</v>
      </c>
      <c r="H35" s="24">
        <v>6.024</v>
      </c>
      <c r="I35" s="23">
        <v>342.54899999999998</v>
      </c>
      <c r="J35" s="101">
        <v>104.676</v>
      </c>
      <c r="K35" s="31"/>
      <c r="L35" s="104">
        <v>588.298</v>
      </c>
      <c r="M35" s="23">
        <v>256.42899999999997</v>
      </c>
      <c r="N35" s="21">
        <v>34.497</v>
      </c>
      <c r="O35" s="371">
        <v>168.01599999999999</v>
      </c>
      <c r="P35" s="370">
        <f>SUM(C35:O35)</f>
        <v>5282.0009999999993</v>
      </c>
      <c r="Q35" s="49"/>
      <c r="R35" s="104">
        <v>35.176000000000002</v>
      </c>
      <c r="S35" s="23">
        <v>4.5410000000000004</v>
      </c>
      <c r="T35" s="101">
        <v>377.31</v>
      </c>
      <c r="U35" s="50"/>
      <c r="V35" s="114">
        <v>174.727</v>
      </c>
      <c r="W35" s="405">
        <f>SUM(R35:V35)</f>
        <v>591.75400000000002</v>
      </c>
      <c r="X35" s="57"/>
      <c r="Y35" s="1002">
        <v>5098.9949999999999</v>
      </c>
      <c r="Z35" s="977"/>
      <c r="AA35" s="977"/>
      <c r="AB35" s="977"/>
      <c r="AC35" s="2275"/>
      <c r="AD35" s="2213"/>
      <c r="AE35" s="2303"/>
      <c r="AF35" s="2326">
        <v>4690.2579999999998</v>
      </c>
      <c r="AG35" s="2315">
        <v>5059.848</v>
      </c>
      <c r="AH35" s="1846">
        <f>W35-V35-(IF(AND(Motpart!$Y$11="",Motpart!$Z$11=""),0,IF(AND(Motpart!$Y$11=0,Motpart!$Z$11=0),0,((T35/$T$37)*(Motpart!$Y$11+Motpart!$Z$11)))))</f>
        <v>410.70469972602478</v>
      </c>
    </row>
    <row r="36" spans="1:34">
      <c r="A36" s="2104" t="s">
        <v>231</v>
      </c>
      <c r="B36" s="872" t="s">
        <v>71</v>
      </c>
      <c r="C36" s="20">
        <v>1684.529</v>
      </c>
      <c r="D36" s="21">
        <v>657.16099999999994</v>
      </c>
      <c r="E36" s="23">
        <v>85.563000000000002</v>
      </c>
      <c r="F36" s="23">
        <v>82.113</v>
      </c>
      <c r="G36" s="23">
        <v>159.376</v>
      </c>
      <c r="H36" s="24">
        <v>17.359000000000002</v>
      </c>
      <c r="I36" s="23">
        <v>96.307000000000002</v>
      </c>
      <c r="J36" s="101">
        <v>29.728999999999999</v>
      </c>
      <c r="K36" s="31"/>
      <c r="L36" s="104">
        <v>220.82900000000001</v>
      </c>
      <c r="M36" s="23">
        <v>205.364</v>
      </c>
      <c r="N36" s="21">
        <v>17.445</v>
      </c>
      <c r="O36" s="371">
        <v>104.28</v>
      </c>
      <c r="P36" s="370">
        <f>SUM(C36:O36)</f>
        <v>3360.0550000000003</v>
      </c>
      <c r="Q36" s="49"/>
      <c r="R36" s="104">
        <v>241.79900000000001</v>
      </c>
      <c r="S36" s="23">
        <v>2.2360000000000002</v>
      </c>
      <c r="T36" s="101">
        <v>170.43600000000001</v>
      </c>
      <c r="U36" s="50"/>
      <c r="V36" s="114">
        <v>193.06899999999999</v>
      </c>
      <c r="W36" s="405">
        <f>SUM(R36:V36)</f>
        <v>607.54</v>
      </c>
      <c r="X36" s="57"/>
      <c r="Y36" s="1002">
        <v>3163.5590000000002</v>
      </c>
      <c r="Z36" s="984">
        <f>(P36-W36)*1000/invanare</f>
        <v>265.19286714560099</v>
      </c>
      <c r="AA36" s="984">
        <f>Y36*1000/inv7_15</f>
        <v>2843.0607604719921</v>
      </c>
      <c r="AB36" s="984">
        <v>2877.1390000000001</v>
      </c>
      <c r="AC36" s="2276">
        <f>IF(ISERROR((AA36-AB36)/AB36)," ",((AA36-AB36)/AB36))</f>
        <v>-1.1844488406020008E-2</v>
      </c>
      <c r="AD36" s="2213"/>
      <c r="AE36" s="2303"/>
      <c r="AF36" s="2326">
        <v>2752.5079999999998</v>
      </c>
      <c r="AG36" s="2315">
        <v>3067.5030000000002</v>
      </c>
      <c r="AH36" s="1846">
        <f>W36-V36-(IF(AND(Motpart!$Y$11="",Motpart!$Z$11=""),0,IF(AND(Motpart!$Y$11=0,Motpart!$Z$11=0),0,((T36/$T$37)*(Motpart!$Y$11+Motpart!$Z$11)))))</f>
        <v>411.6151319617947</v>
      </c>
    </row>
    <row r="37" spans="1:34">
      <c r="A37" s="2104" t="s">
        <v>232</v>
      </c>
      <c r="B37" s="872" t="s">
        <v>72</v>
      </c>
      <c r="C37" s="363">
        <f t="shared" ref="C37:M37" si="5">SUM(C33:C36)</f>
        <v>4874.4079999999994</v>
      </c>
      <c r="D37" s="26">
        <f t="shared" si="5"/>
        <v>1913.7719999999999</v>
      </c>
      <c r="E37" s="363">
        <f t="shared" si="5"/>
        <v>921.71399999999994</v>
      </c>
      <c r="F37" s="363">
        <f t="shared" si="5"/>
        <v>263.68599999999998</v>
      </c>
      <c r="G37" s="363">
        <f t="shared" si="5"/>
        <v>1277.626</v>
      </c>
      <c r="H37" s="26">
        <f t="shared" si="5"/>
        <v>1803.5650000000001</v>
      </c>
      <c r="I37" s="363">
        <f t="shared" si="5"/>
        <v>743.18900000000008</v>
      </c>
      <c r="J37" s="105">
        <f t="shared" si="5"/>
        <v>244.37700000000001</v>
      </c>
      <c r="K37" s="148"/>
      <c r="L37" s="372">
        <f>SUM(L33:L36)</f>
        <v>1459.3989999999999</v>
      </c>
      <c r="M37" s="363">
        <f t="shared" si="5"/>
        <v>784.1</v>
      </c>
      <c r="N37" s="26">
        <f t="shared" ref="N37:W37" si="6">SUM(N33:N36)</f>
        <v>68.596000000000004</v>
      </c>
      <c r="O37" s="26">
        <f t="shared" si="6"/>
        <v>390.81399999999996</v>
      </c>
      <c r="P37" s="105">
        <f t="shared" si="6"/>
        <v>14745.245999999999</v>
      </c>
      <c r="Q37" s="49"/>
      <c r="R37" s="372">
        <f t="shared" si="6"/>
        <v>347.22800000000001</v>
      </c>
      <c r="S37" s="363">
        <f t="shared" si="6"/>
        <v>66.427000000000007</v>
      </c>
      <c r="T37" s="105">
        <f t="shared" si="6"/>
        <v>1243.1779999999999</v>
      </c>
      <c r="U37" s="49"/>
      <c r="V37" s="117">
        <f t="shared" si="6"/>
        <v>677.44499999999994</v>
      </c>
      <c r="W37" s="118">
        <f t="shared" si="6"/>
        <v>2334.2780000000002</v>
      </c>
      <c r="X37" s="57"/>
      <c r="Y37" s="982">
        <v>14046.966</v>
      </c>
      <c r="Z37" s="985">
        <f>(P37-W37)*1000/invanare</f>
        <v>1195.7428707826493</v>
      </c>
      <c r="AA37" s="986">
        <f>Y37*1000/invanare</f>
        <v>1353.3641735782633</v>
      </c>
      <c r="AB37" s="986">
        <v>1362.297</v>
      </c>
      <c r="AC37" s="2277">
        <f>IF(ISERROR((AA37-AB37)/AB37)," ",((AA37-AB37)/AB37))</f>
        <v>-6.5571798379771545E-3</v>
      </c>
      <c r="AD37" s="2213"/>
      <c r="AE37" s="2303"/>
      <c r="AF37" s="2326">
        <v>12410.978999999999</v>
      </c>
      <c r="AG37" s="2315">
        <v>12000.552</v>
      </c>
      <c r="AH37" s="1846">
        <f>W37-V37-SUM(Motpart!Y11:Z11)</f>
        <v>1636.0020000000004</v>
      </c>
    </row>
    <row r="38" spans="1:34" ht="9" customHeight="1">
      <c r="A38" s="2121"/>
      <c r="B38" s="876" t="s">
        <v>73</v>
      </c>
      <c r="C38" s="930"/>
      <c r="D38" s="931"/>
      <c r="E38" s="932"/>
      <c r="F38" s="932"/>
      <c r="G38" s="932"/>
      <c r="H38" s="931"/>
      <c r="I38" s="932"/>
      <c r="J38" s="933"/>
      <c r="K38" s="31"/>
      <c r="L38" s="951"/>
      <c r="M38" s="932"/>
      <c r="N38" s="931"/>
      <c r="O38" s="931"/>
      <c r="P38" s="933"/>
      <c r="Q38" s="50"/>
      <c r="R38" s="951"/>
      <c r="S38" s="932"/>
      <c r="T38" s="933"/>
      <c r="U38" s="50"/>
      <c r="V38" s="968"/>
      <c r="W38" s="969"/>
      <c r="X38" s="31"/>
      <c r="Y38" s="1507"/>
      <c r="Z38" s="977"/>
      <c r="AA38" s="978"/>
      <c r="AB38" s="979"/>
      <c r="AC38" s="2274"/>
      <c r="AD38" s="2213"/>
      <c r="AE38" s="2303"/>
      <c r="AF38" s="2326">
        <f t="shared" ref="AF38" si="7">P38-W38</f>
        <v>0</v>
      </c>
      <c r="AG38" s="2315">
        <f t="shared" ref="AG38:AG62" si="8">P38-F38-H38-V38</f>
        <v>0</v>
      </c>
      <c r="AH38" s="1846"/>
    </row>
    <row r="39" spans="1:34" ht="11.25" customHeight="1">
      <c r="A39" s="2104" t="s">
        <v>233</v>
      </c>
      <c r="B39" s="874" t="s">
        <v>74</v>
      </c>
      <c r="C39" s="20">
        <v>380.67099999999999</v>
      </c>
      <c r="D39" s="21">
        <v>150.43100000000001</v>
      </c>
      <c r="E39" s="20">
        <v>72.272000000000006</v>
      </c>
      <c r="F39" s="20">
        <v>57.55</v>
      </c>
      <c r="G39" s="20">
        <v>123.98399999999999</v>
      </c>
      <c r="H39" s="21">
        <v>1774.3030000000001</v>
      </c>
      <c r="I39" s="20">
        <v>72.793999999999997</v>
      </c>
      <c r="J39" s="100">
        <v>30.004999999999999</v>
      </c>
      <c r="K39" s="31"/>
      <c r="L39" s="103">
        <v>211.328</v>
      </c>
      <c r="M39" s="20">
        <v>110.27200000000001</v>
      </c>
      <c r="N39" s="21">
        <v>10.307</v>
      </c>
      <c r="O39" s="371">
        <v>32.991</v>
      </c>
      <c r="P39" s="370">
        <f>SUM(C39:O39)</f>
        <v>3026.9079999999999</v>
      </c>
      <c r="Q39" s="49"/>
      <c r="R39" s="103">
        <v>12.462999999999999</v>
      </c>
      <c r="S39" s="20">
        <v>22.376000000000001</v>
      </c>
      <c r="T39" s="100">
        <v>119.605</v>
      </c>
      <c r="U39" s="50"/>
      <c r="V39" s="113">
        <v>137.44399999999999</v>
      </c>
      <c r="W39" s="405">
        <f>SUM(R39:V39)</f>
        <v>291.88800000000003</v>
      </c>
      <c r="X39" s="57"/>
      <c r="Y39" s="1002">
        <v>2888.3040000000001</v>
      </c>
      <c r="Z39" s="1655"/>
      <c r="AA39" s="1656"/>
      <c r="AB39" s="1656"/>
      <c r="AC39" s="2278"/>
      <c r="AD39" s="2213"/>
      <c r="AE39" s="2303"/>
      <c r="AF39" s="2326">
        <v>2735.0259999999998</v>
      </c>
      <c r="AG39" s="2315">
        <v>1057.6189999999999</v>
      </c>
      <c r="AH39" s="1846">
        <f>W39-V39-(IF(AND(Motpart!$Y$12="",Motpart!$Z$12=""),0,IF(AND(Motpart!$Y$12=0,Motpart!$Z$12=0),0,((T39/$T$42)*(Motpart!$Y$12+Motpart!$Z$12)))))</f>
        <v>152.29221326116919</v>
      </c>
    </row>
    <row r="40" spans="1:34">
      <c r="A40" s="2104" t="s">
        <v>234</v>
      </c>
      <c r="B40" s="872" t="s">
        <v>75</v>
      </c>
      <c r="C40" s="20">
        <v>1987.413</v>
      </c>
      <c r="D40" s="21">
        <v>787.61800000000005</v>
      </c>
      <c r="E40" s="23">
        <v>1216.972</v>
      </c>
      <c r="F40" s="23">
        <v>533.67100000000005</v>
      </c>
      <c r="G40" s="23">
        <v>888.60799999999995</v>
      </c>
      <c r="H40" s="24">
        <v>336.73200000000003</v>
      </c>
      <c r="I40" s="23">
        <v>1556.758</v>
      </c>
      <c r="J40" s="101">
        <v>1265.58</v>
      </c>
      <c r="K40" s="31"/>
      <c r="L40" s="104">
        <v>4722.9399999999996</v>
      </c>
      <c r="M40" s="23">
        <v>1063.941</v>
      </c>
      <c r="N40" s="21">
        <v>52.363</v>
      </c>
      <c r="O40" s="371">
        <v>396.79199999999997</v>
      </c>
      <c r="P40" s="370">
        <f>SUM(C40:O40)</f>
        <v>14809.387999999997</v>
      </c>
      <c r="Q40" s="49"/>
      <c r="R40" s="104">
        <v>656.21400000000006</v>
      </c>
      <c r="S40" s="23">
        <v>362.64800000000002</v>
      </c>
      <c r="T40" s="101">
        <v>908.82500000000005</v>
      </c>
      <c r="U40" s="50"/>
      <c r="V40" s="114">
        <v>1567.316</v>
      </c>
      <c r="W40" s="405">
        <f>SUM(R40:V40)</f>
        <v>3495.0030000000002</v>
      </c>
      <c r="X40" s="57"/>
      <c r="Y40" s="1002">
        <v>13222.777</v>
      </c>
      <c r="Z40" s="1655"/>
      <c r="AA40" s="1656"/>
      <c r="AB40" s="1656"/>
      <c r="AC40" s="2278"/>
      <c r="AD40" s="2213"/>
      <c r="AE40" s="2303"/>
      <c r="AF40" s="2326">
        <v>11314.375</v>
      </c>
      <c r="AG40" s="2315">
        <v>12371.678</v>
      </c>
      <c r="AH40" s="1846">
        <f>W40-V40-(IF(AND(Motpart!$Y$12="",Motpart!$Z$12=""),0,IF(AND(Motpart!$Y$12=0,Motpart!$Z$12=0),0,((T40/$T$42)*(Motpart!$Y$12+Motpart!$Z$12)))))</f>
        <v>1911.3365331890982</v>
      </c>
    </row>
    <row r="41" spans="1:34">
      <c r="A41" s="2104" t="s">
        <v>235</v>
      </c>
      <c r="B41" s="872" t="s">
        <v>76</v>
      </c>
      <c r="C41" s="20">
        <v>1217.145</v>
      </c>
      <c r="D41" s="21">
        <v>478.9</v>
      </c>
      <c r="E41" s="23">
        <v>129.90199999999999</v>
      </c>
      <c r="F41" s="23">
        <v>151.99799999999999</v>
      </c>
      <c r="G41" s="23">
        <v>128.077</v>
      </c>
      <c r="H41" s="24">
        <v>56.238999999999997</v>
      </c>
      <c r="I41" s="23">
        <v>106.358</v>
      </c>
      <c r="J41" s="101">
        <v>18.076000000000001</v>
      </c>
      <c r="K41" s="31"/>
      <c r="L41" s="104">
        <v>257.589</v>
      </c>
      <c r="M41" s="23">
        <v>217.989</v>
      </c>
      <c r="N41" s="21">
        <v>12.829000000000001</v>
      </c>
      <c r="O41" s="371">
        <v>82.358999999999995</v>
      </c>
      <c r="P41" s="370">
        <f>SUM(C41:O41)</f>
        <v>2857.4610000000002</v>
      </c>
      <c r="Q41" s="49"/>
      <c r="R41" s="104">
        <v>24.709</v>
      </c>
      <c r="S41" s="23">
        <v>7.1029999999999998</v>
      </c>
      <c r="T41" s="101">
        <v>118.76900000000001</v>
      </c>
      <c r="U41" s="50"/>
      <c r="V41" s="114">
        <v>192.62100000000001</v>
      </c>
      <c r="W41" s="405">
        <f>SUM(R41:V41)</f>
        <v>343.202</v>
      </c>
      <c r="X41" s="57"/>
      <c r="Y41" s="1002">
        <v>2664.0309999999999</v>
      </c>
      <c r="Z41" s="1655"/>
      <c r="AA41" s="1656"/>
      <c r="AB41" s="1656"/>
      <c r="AC41" s="2278"/>
      <c r="AD41" s="2213"/>
      <c r="AE41" s="2303"/>
      <c r="AF41" s="2326">
        <v>2514.2510000000002</v>
      </c>
      <c r="AG41" s="2315">
        <v>2456.598</v>
      </c>
      <c r="AH41" s="1846">
        <f>W41-V41-(IF(AND(Motpart!$Y$12="",Motpart!$Z$12=""),0,IF(AND(Motpart!$Y$12=0,Motpart!$Z$12=0),0,((T41/$T$42)*(Motpart!$Y$12+Motpart!$Z$12)))))</f>
        <v>148.44425354973285</v>
      </c>
    </row>
    <row r="42" spans="1:34">
      <c r="A42" s="2104" t="s">
        <v>236</v>
      </c>
      <c r="B42" s="872" t="s">
        <v>77</v>
      </c>
      <c r="C42" s="363">
        <f t="shared" ref="C42:W42" si="9">SUM(C39:C41)</f>
        <v>3585.2289999999998</v>
      </c>
      <c r="D42" s="26">
        <f t="shared" si="9"/>
        <v>1416.9490000000001</v>
      </c>
      <c r="E42" s="363">
        <f t="shared" si="9"/>
        <v>1419.146</v>
      </c>
      <c r="F42" s="363">
        <f t="shared" si="9"/>
        <v>743.21900000000005</v>
      </c>
      <c r="G42" s="363">
        <f t="shared" si="9"/>
        <v>1140.6689999999999</v>
      </c>
      <c r="H42" s="26">
        <f t="shared" si="9"/>
        <v>2167.2740000000003</v>
      </c>
      <c r="I42" s="363">
        <f t="shared" si="9"/>
        <v>1735.91</v>
      </c>
      <c r="J42" s="105">
        <f t="shared" si="9"/>
        <v>1313.6610000000001</v>
      </c>
      <c r="K42" s="148"/>
      <c r="L42" s="372">
        <f>SUM(L39:L41)</f>
        <v>5191.857</v>
      </c>
      <c r="M42" s="363">
        <f t="shared" si="9"/>
        <v>1392.202</v>
      </c>
      <c r="N42" s="26">
        <f t="shared" si="9"/>
        <v>75.498999999999995</v>
      </c>
      <c r="O42" s="26">
        <f t="shared" si="9"/>
        <v>512.14199999999994</v>
      </c>
      <c r="P42" s="370">
        <f>SUM(C42:O42)</f>
        <v>20693.757000000001</v>
      </c>
      <c r="Q42" s="49"/>
      <c r="R42" s="372">
        <f t="shared" si="9"/>
        <v>693.38599999999997</v>
      </c>
      <c r="S42" s="363">
        <f t="shared" si="9"/>
        <v>392.12700000000001</v>
      </c>
      <c r="T42" s="105">
        <f t="shared" si="9"/>
        <v>1147.1990000000001</v>
      </c>
      <c r="U42" s="49"/>
      <c r="V42" s="117">
        <f t="shared" si="9"/>
        <v>1897.3810000000001</v>
      </c>
      <c r="W42" s="118">
        <f t="shared" si="9"/>
        <v>4130.0929999999998</v>
      </c>
      <c r="X42" s="57"/>
      <c r="Y42" s="982">
        <v>18775.742999999999</v>
      </c>
      <c r="Z42" s="985">
        <f>(P42-W42)*1000/invanare</f>
        <v>1595.837096835575</v>
      </c>
      <c r="AA42" s="986">
        <f>Y42*1000/invanare</f>
        <v>1808.9613022849817</v>
      </c>
      <c r="AB42" s="986">
        <v>1787.8109999999999</v>
      </c>
      <c r="AC42" s="2277">
        <f>IF(ISERROR((AA42-AB42)/AB42)," ",((AA42-AB42)/AB42))</f>
        <v>1.1830278639622289E-2</v>
      </c>
      <c r="AD42" s="2213"/>
      <c r="AE42" s="2303"/>
      <c r="AF42" s="2326">
        <v>16563.66</v>
      </c>
      <c r="AG42" s="2315">
        <v>15885.901</v>
      </c>
      <c r="AH42" s="1846">
        <f>W42-V42-SUM(Motpart!Y12:Z12)</f>
        <v>2212.0729999999994</v>
      </c>
    </row>
    <row r="43" spans="1:34" ht="12.75" customHeight="1" thickBot="1">
      <c r="A43" s="2117" t="s">
        <v>237</v>
      </c>
      <c r="B43" s="877" t="s">
        <v>78</v>
      </c>
      <c r="C43" s="377">
        <f>SUM(C37,C42)</f>
        <v>8459.6369999999988</v>
      </c>
      <c r="D43" s="378">
        <f t="shared" ref="D43:P43" si="10">SUM(D37,D42)</f>
        <v>3330.721</v>
      </c>
      <c r="E43" s="377">
        <f t="shared" si="10"/>
        <v>2340.8599999999997</v>
      </c>
      <c r="F43" s="377">
        <f t="shared" si="10"/>
        <v>1006.905</v>
      </c>
      <c r="G43" s="377">
        <f t="shared" si="10"/>
        <v>2418.2950000000001</v>
      </c>
      <c r="H43" s="378">
        <f t="shared" si="10"/>
        <v>3970.8390000000004</v>
      </c>
      <c r="I43" s="377">
        <f t="shared" si="10"/>
        <v>2479.0990000000002</v>
      </c>
      <c r="J43" s="379">
        <f t="shared" si="10"/>
        <v>1558.038</v>
      </c>
      <c r="K43" s="148"/>
      <c r="L43" s="380">
        <f>SUM(L37,L42)</f>
        <v>6651.2559999999994</v>
      </c>
      <c r="M43" s="377">
        <f t="shared" si="10"/>
        <v>2176.3020000000001</v>
      </c>
      <c r="N43" s="378">
        <f t="shared" si="10"/>
        <v>144.095</v>
      </c>
      <c r="O43" s="378">
        <f t="shared" si="10"/>
        <v>902.9559999999999</v>
      </c>
      <c r="P43" s="379">
        <f t="shared" si="10"/>
        <v>35439.002999999997</v>
      </c>
      <c r="Q43" s="49"/>
      <c r="R43" s="380">
        <f>SUM(R37,R42)</f>
        <v>1040.614</v>
      </c>
      <c r="S43" s="377">
        <f>SUM(S37,S42)</f>
        <v>458.55400000000003</v>
      </c>
      <c r="T43" s="379">
        <f>SUM(T37,T42)</f>
        <v>2390.377</v>
      </c>
      <c r="U43" s="49"/>
      <c r="V43" s="407">
        <f>SUM(V37,V42)</f>
        <v>2574.826</v>
      </c>
      <c r="W43" s="406">
        <f>SUM(W37,W42)</f>
        <v>6464.3710000000001</v>
      </c>
      <c r="X43" s="57"/>
      <c r="Y43" s="1009">
        <v>32822.707000000002</v>
      </c>
      <c r="Z43" s="987"/>
      <c r="AA43" s="988"/>
      <c r="AB43" s="989"/>
      <c r="AC43" s="2279"/>
      <c r="AD43" s="2213"/>
      <c r="AE43" s="2305"/>
      <c r="AF43" s="2327">
        <v>28974.645</v>
      </c>
      <c r="AG43" s="2316">
        <v>27886.451000000001</v>
      </c>
      <c r="AH43" s="1848">
        <f>AH37+AH42</f>
        <v>3848.0749999999998</v>
      </c>
    </row>
    <row r="44" spans="1:34" ht="48" customHeight="1" thickBot="1">
      <c r="A44" s="2121"/>
      <c r="B44" s="878" t="s">
        <v>79</v>
      </c>
      <c r="C44" s="991"/>
      <c r="D44" s="992"/>
      <c r="E44" s="993"/>
      <c r="F44" s="993"/>
      <c r="G44" s="993"/>
      <c r="H44" s="992"/>
      <c r="I44" s="993"/>
      <c r="J44" s="994"/>
      <c r="K44" s="32"/>
      <c r="L44" s="481"/>
      <c r="M44" s="482"/>
      <c r="N44" s="475"/>
      <c r="O44" s="475"/>
      <c r="P44" s="477"/>
      <c r="Q44" s="205"/>
      <c r="R44" s="481"/>
      <c r="S44" s="476"/>
      <c r="T44" s="477"/>
      <c r="U44" s="205"/>
      <c r="V44" s="485"/>
      <c r="W44" s="486"/>
      <c r="X44" s="32"/>
      <c r="Y44" s="1653" t="s">
        <v>982</v>
      </c>
      <c r="Z44" s="2529"/>
      <c r="AA44" s="2527"/>
      <c r="AB44" s="2527"/>
      <c r="AC44" s="2528"/>
      <c r="AD44" s="2213"/>
      <c r="AE44" s="2303"/>
      <c r="AF44" s="2331"/>
      <c r="AG44" s="2318"/>
      <c r="AH44" s="1849"/>
    </row>
    <row r="45" spans="1:34" ht="39.75" customHeight="1">
      <c r="A45" s="2122" t="s">
        <v>387</v>
      </c>
      <c r="B45" s="879" t="s">
        <v>541</v>
      </c>
      <c r="C45" s="995"/>
      <c r="D45" s="996"/>
      <c r="E45" s="997"/>
      <c r="F45" s="997"/>
      <c r="G45" s="997"/>
      <c r="H45" s="996"/>
      <c r="I45" s="997"/>
      <c r="J45" s="998"/>
      <c r="K45" s="32"/>
      <c r="L45" s="483"/>
      <c r="M45" s="484"/>
      <c r="N45" s="478"/>
      <c r="O45" s="478"/>
      <c r="P45" s="480"/>
      <c r="Q45" s="205"/>
      <c r="R45" s="483"/>
      <c r="S45" s="479"/>
      <c r="T45" s="480"/>
      <c r="U45" s="205"/>
      <c r="V45" s="487"/>
      <c r="W45" s="488"/>
      <c r="X45" s="32"/>
      <c r="Y45" s="1665"/>
      <c r="Z45" s="2530" t="s">
        <v>985</v>
      </c>
      <c r="AA45" s="2531"/>
      <c r="AB45" s="1674"/>
      <c r="AC45" s="2280"/>
      <c r="AD45" s="2213"/>
      <c r="AE45" s="2303"/>
      <c r="AF45" s="2332"/>
      <c r="AG45" s="2319"/>
      <c r="AH45" s="1850"/>
    </row>
    <row r="46" spans="1:34">
      <c r="A46" s="2104" t="s">
        <v>238</v>
      </c>
      <c r="B46" s="874" t="s">
        <v>80</v>
      </c>
      <c r="C46" s="20">
        <v>220.61199999999999</v>
      </c>
      <c r="D46" s="21">
        <v>88.02</v>
      </c>
      <c r="E46" s="20">
        <v>11.247999999999999</v>
      </c>
      <c r="F46" s="20">
        <v>17.2</v>
      </c>
      <c r="G46" s="20">
        <v>19.594000000000001</v>
      </c>
      <c r="H46" s="21">
        <v>0.31</v>
      </c>
      <c r="I46" s="20">
        <v>35.901000000000003</v>
      </c>
      <c r="J46" s="100">
        <v>3.976</v>
      </c>
      <c r="K46" s="31"/>
      <c r="L46" s="103">
        <v>45.835999999999999</v>
      </c>
      <c r="M46" s="20">
        <v>86.533000000000001</v>
      </c>
      <c r="N46" s="21">
        <v>2.085</v>
      </c>
      <c r="O46" s="371">
        <v>14.999000000000001</v>
      </c>
      <c r="P46" s="370">
        <f>SUM(C46:O46)</f>
        <v>546.31400000000008</v>
      </c>
      <c r="Q46" s="49"/>
      <c r="R46" s="103">
        <v>1.8029999999999999</v>
      </c>
      <c r="S46" s="20">
        <v>3.8039999999999998</v>
      </c>
      <c r="T46" s="100">
        <v>32.512</v>
      </c>
      <c r="U46" s="50"/>
      <c r="V46" s="113">
        <v>64.647999999999996</v>
      </c>
      <c r="W46" s="405">
        <f t="shared" ref="W46:W51" si="11">SUM(R46:V46)</f>
        <v>102.767</v>
      </c>
      <c r="X46" s="57"/>
      <c r="Y46" s="982">
        <v>479.74900000000002</v>
      </c>
      <c r="Z46" s="1633"/>
      <c r="AA46" s="1647"/>
      <c r="AB46" s="1648"/>
      <c r="AC46" s="2272"/>
      <c r="AD46" s="2213"/>
      <c r="AE46" s="2303"/>
      <c r="AF46" s="2326">
        <v>443.54199999999997</v>
      </c>
      <c r="AG46" s="2315">
        <v>464.154</v>
      </c>
      <c r="AH46" s="1846">
        <f>W46-V46-(IF(AND(Motpart!$Y$16="",Motpart!$Z$16=""),0,IF(AND(Motpart!$Y$16=0,Motpart!$Z$16=0),0,((T46/($T$46+$T$49))*(Motpart!$Y$16+Motpart!$Z$16)))))</f>
        <v>36.121647785687962</v>
      </c>
    </row>
    <row r="47" spans="1:34">
      <c r="A47" s="2104" t="s">
        <v>239</v>
      </c>
      <c r="B47" s="872" t="s">
        <v>81</v>
      </c>
      <c r="C47" s="20">
        <v>33949.165000000001</v>
      </c>
      <c r="D47" s="21">
        <v>13439.880999999999</v>
      </c>
      <c r="E47" s="23">
        <v>2174.4050000000002</v>
      </c>
      <c r="F47" s="23">
        <v>16433.833999999999</v>
      </c>
      <c r="G47" s="23">
        <v>1814.9090000000001</v>
      </c>
      <c r="H47" s="24">
        <v>13.17</v>
      </c>
      <c r="I47" s="23">
        <v>2511.0120000000002</v>
      </c>
      <c r="J47" s="101">
        <v>419.37099999999998</v>
      </c>
      <c r="K47" s="31"/>
      <c r="L47" s="104">
        <v>5364.1440000000002</v>
      </c>
      <c r="M47" s="23">
        <v>12980.933999999999</v>
      </c>
      <c r="N47" s="21">
        <v>337.90899999999999</v>
      </c>
      <c r="O47" s="371">
        <v>2153.4870000000001</v>
      </c>
      <c r="P47" s="370">
        <f>SUM(C47:O47)</f>
        <v>91592.22099999999</v>
      </c>
      <c r="Q47" s="49"/>
      <c r="R47" s="1903">
        <v>5042.259</v>
      </c>
      <c r="S47" s="1904">
        <v>19.199000000000002</v>
      </c>
      <c r="T47" s="223">
        <v>6634.3379999999997</v>
      </c>
      <c r="U47" s="50"/>
      <c r="V47" s="114">
        <v>9119.0509999999995</v>
      </c>
      <c r="W47" s="405">
        <f t="shared" si="11"/>
        <v>20814.846999999998</v>
      </c>
      <c r="X47" s="57"/>
      <c r="Y47" s="982">
        <v>82073.922999999995</v>
      </c>
      <c r="Z47" s="1650"/>
      <c r="AA47" s="1637"/>
      <c r="AB47" s="1637"/>
      <c r="AC47" s="2270"/>
      <c r="AD47" s="2213"/>
      <c r="AE47" s="2303"/>
      <c r="AF47" s="2326">
        <v>70777.368000000002</v>
      </c>
      <c r="AG47" s="2315">
        <v>66026.150999999998</v>
      </c>
      <c r="AH47" s="1846">
        <f>W47-V47-SUM(Motpart!Y13:Z13)</f>
        <v>11296.554999999998</v>
      </c>
    </row>
    <row r="48" spans="1:34">
      <c r="A48" s="2104" t="s">
        <v>240</v>
      </c>
      <c r="B48" s="872" t="s">
        <v>82</v>
      </c>
      <c r="C48" s="23">
        <v>339.471</v>
      </c>
      <c r="D48" s="21">
        <v>130.703</v>
      </c>
      <c r="E48" s="23">
        <v>7.4080000000000004</v>
      </c>
      <c r="F48" s="23">
        <v>629.29999999999995</v>
      </c>
      <c r="G48" s="23">
        <v>32.43</v>
      </c>
      <c r="H48" s="24">
        <v>0.53700000000000003</v>
      </c>
      <c r="I48" s="27">
        <v>5.5049999999999999</v>
      </c>
      <c r="J48" s="101">
        <v>0.80200000000000005</v>
      </c>
      <c r="K48" s="31"/>
      <c r="L48" s="104">
        <v>12.895</v>
      </c>
      <c r="M48" s="23">
        <v>102.063</v>
      </c>
      <c r="N48" s="21">
        <v>3.0409999999999999</v>
      </c>
      <c r="O48" s="371">
        <v>16.856000000000002</v>
      </c>
      <c r="P48" s="370">
        <f>SUM(C48:O48)</f>
        <v>1281.0110000000002</v>
      </c>
      <c r="Q48" s="49"/>
      <c r="R48" s="1903">
        <v>66.415000000000006</v>
      </c>
      <c r="S48" s="1904">
        <v>3.0000000000000001E-3</v>
      </c>
      <c r="T48" s="223">
        <v>62.329000000000001</v>
      </c>
      <c r="U48" s="50"/>
      <c r="V48" s="114">
        <v>91.778000000000006</v>
      </c>
      <c r="W48" s="405">
        <f t="shared" si="11"/>
        <v>220.52500000000003</v>
      </c>
      <c r="X48" s="57"/>
      <c r="Y48" s="1002">
        <v>1184.614</v>
      </c>
      <c r="Z48" s="1636"/>
      <c r="AA48" s="1637"/>
      <c r="AB48" s="1637"/>
      <c r="AC48" s="2270"/>
      <c r="AD48" s="2213"/>
      <c r="AE48" s="2306">
        <f>(SUM(I51:L51))*1000/invanare</f>
        <v>1050.8594273503161</v>
      </c>
      <c r="AF48" s="2326">
        <v>1060.4970000000001</v>
      </c>
      <c r="AG48" s="2315">
        <v>559.41099999999994</v>
      </c>
      <c r="AH48" s="1846">
        <f>W48-V48-SUM(Motpart!Y14:Z14)</f>
        <v>124.11700000000002</v>
      </c>
    </row>
    <row r="49" spans="1:34">
      <c r="A49" s="2104" t="s">
        <v>241</v>
      </c>
      <c r="B49" s="874" t="s">
        <v>83</v>
      </c>
      <c r="C49" s="20">
        <v>115.58</v>
      </c>
      <c r="D49" s="21">
        <v>46.146000000000001</v>
      </c>
      <c r="E49" s="20">
        <v>10.500999999999999</v>
      </c>
      <c r="F49" s="20">
        <v>70.066000000000003</v>
      </c>
      <c r="G49" s="20">
        <v>7.1029999999999998</v>
      </c>
      <c r="H49" s="21">
        <v>1.595</v>
      </c>
      <c r="I49" s="20">
        <v>1.6120000000000001</v>
      </c>
      <c r="J49" s="100">
        <v>0.27800000000000002</v>
      </c>
      <c r="K49" s="31"/>
      <c r="L49" s="103">
        <v>24.908000000000001</v>
      </c>
      <c r="M49" s="20">
        <v>62.161000000000001</v>
      </c>
      <c r="N49" s="21">
        <v>3.4350000000000001</v>
      </c>
      <c r="O49" s="371">
        <v>7.7160000000000002</v>
      </c>
      <c r="P49" s="370">
        <f>SUM(C49:O49)</f>
        <v>351.101</v>
      </c>
      <c r="Q49" s="49"/>
      <c r="R49" s="1905">
        <v>37.424999999999997</v>
      </c>
      <c r="S49" s="1906">
        <v>2.1000000000000001E-2</v>
      </c>
      <c r="T49" s="226">
        <v>19.039000000000001</v>
      </c>
      <c r="U49" s="50"/>
      <c r="V49" s="113">
        <v>54.997</v>
      </c>
      <c r="W49" s="405">
        <f t="shared" si="11"/>
        <v>111.482</v>
      </c>
      <c r="X49" s="57"/>
      <c r="Y49" s="1002">
        <v>294.85199999999998</v>
      </c>
      <c r="Z49" s="1636"/>
      <c r="AA49" s="1637"/>
      <c r="AB49" s="1637"/>
      <c r="AC49" s="2270"/>
      <c r="AD49" s="2213"/>
      <c r="AE49" s="2306">
        <f>(R51)*1000/invanare</f>
        <v>793.48086743849183</v>
      </c>
      <c r="AF49" s="2326">
        <v>239.619</v>
      </c>
      <c r="AG49" s="2315">
        <v>224.44</v>
      </c>
      <c r="AH49" s="1846">
        <f>W49-V49-(IF(AND(Motpart!$Y$16="",Motpart!$Z$16=""),0,IF(AND(Motpart!$Y$16=0,Motpart!$Z$16=0),0,((T49/($T$49+$T$46))*(Motpart!$Y$16+Motpart!$Z$16)))))</f>
        <v>55.315352214312043</v>
      </c>
    </row>
    <row r="50" spans="1:34">
      <c r="A50" s="2104" t="s">
        <v>242</v>
      </c>
      <c r="B50" s="872" t="s">
        <v>84</v>
      </c>
      <c r="C50" s="20">
        <v>8824.6569999999992</v>
      </c>
      <c r="D50" s="21">
        <v>3524.1239999999998</v>
      </c>
      <c r="E50" s="23">
        <v>364.00599999999997</v>
      </c>
      <c r="F50" s="23">
        <v>2461.6480000000001</v>
      </c>
      <c r="G50" s="23">
        <v>451.52499999999998</v>
      </c>
      <c r="H50" s="24">
        <v>3.0779999999999998</v>
      </c>
      <c r="I50" s="27">
        <v>655.15099999999995</v>
      </c>
      <c r="J50" s="101">
        <v>72.478999999999999</v>
      </c>
      <c r="K50" s="31"/>
      <c r="L50" s="104">
        <v>1753.31</v>
      </c>
      <c r="M50" s="23">
        <v>4103.1790000000001</v>
      </c>
      <c r="N50" s="21">
        <v>91.460999999999999</v>
      </c>
      <c r="O50" s="371">
        <v>576.822</v>
      </c>
      <c r="P50" s="370">
        <f>SUM(C50:O50)</f>
        <v>22881.439999999995</v>
      </c>
      <c r="Q50" s="49"/>
      <c r="R50" s="1903">
        <v>3087.87</v>
      </c>
      <c r="S50" s="1904">
        <v>1.286</v>
      </c>
      <c r="T50" s="223">
        <v>1218.47</v>
      </c>
      <c r="U50" s="50"/>
      <c r="V50" s="114">
        <v>2827.549</v>
      </c>
      <c r="W50" s="405">
        <f t="shared" si="11"/>
        <v>7135.1750000000002</v>
      </c>
      <c r="X50" s="57"/>
      <c r="Y50" s="1002">
        <v>19886.100999999999</v>
      </c>
      <c r="Z50" s="1636"/>
      <c r="AA50" s="1637"/>
      <c r="AB50" s="1637"/>
      <c r="AC50" s="2270"/>
      <c r="AD50" s="2213"/>
      <c r="AE50" s="2303"/>
      <c r="AF50" s="2326">
        <v>15746.269</v>
      </c>
      <c r="AG50" s="2315">
        <v>17589.181</v>
      </c>
      <c r="AH50" s="1846">
        <f>W50-V50-SUM(Motpart!Y15:Z15)</f>
        <v>4139.8290000000006</v>
      </c>
    </row>
    <row r="51" spans="1:34" ht="13.5" thickBot="1">
      <c r="A51" s="2104" t="s">
        <v>243</v>
      </c>
      <c r="B51" s="880" t="s">
        <v>762</v>
      </c>
      <c r="C51" s="363">
        <f t="shared" ref="C51:M51" si="12">SUM(C46:C50)</f>
        <v>43449.485000000001</v>
      </c>
      <c r="D51" s="26">
        <f t="shared" si="12"/>
        <v>17228.874</v>
      </c>
      <c r="E51" s="363">
        <f t="shared" si="12"/>
        <v>2567.5680000000002</v>
      </c>
      <c r="F51" s="363">
        <f t="shared" si="12"/>
        <v>19612.047999999999</v>
      </c>
      <c r="G51" s="363">
        <f t="shared" si="12"/>
        <v>2325.5610000000001</v>
      </c>
      <c r="H51" s="26">
        <f t="shared" si="12"/>
        <v>18.690000000000001</v>
      </c>
      <c r="I51" s="363">
        <f t="shared" si="12"/>
        <v>3209.181</v>
      </c>
      <c r="J51" s="105">
        <f t="shared" si="12"/>
        <v>496.90600000000001</v>
      </c>
      <c r="K51" s="148"/>
      <c r="L51" s="372">
        <f>SUM(L46:L50)</f>
        <v>7201.0930000000008</v>
      </c>
      <c r="M51" s="363">
        <f t="shared" si="12"/>
        <v>17334.87</v>
      </c>
      <c r="N51" s="26">
        <f t="shared" ref="N51:V51" si="13">SUM(N46:N50)</f>
        <v>437.93099999999998</v>
      </c>
      <c r="O51" s="26">
        <f t="shared" si="13"/>
        <v>2769.88</v>
      </c>
      <c r="P51" s="105">
        <f t="shared" si="13"/>
        <v>116652.08699999997</v>
      </c>
      <c r="Q51" s="49"/>
      <c r="R51" s="372">
        <f t="shared" si="13"/>
        <v>8235.7720000000008</v>
      </c>
      <c r="S51" s="363">
        <f t="shared" si="13"/>
        <v>24.313000000000002</v>
      </c>
      <c r="T51" s="105">
        <f>SUM(T46:T50)</f>
        <v>7966.6879999999992</v>
      </c>
      <c r="U51" s="49"/>
      <c r="V51" s="117">
        <f t="shared" si="13"/>
        <v>12158.022999999997</v>
      </c>
      <c r="W51" s="405">
        <f t="shared" si="11"/>
        <v>28384.795999999998</v>
      </c>
      <c r="X51" s="57"/>
      <c r="Y51" s="982">
        <v>103919.23</v>
      </c>
      <c r="Z51" s="1669">
        <f>(P51-W51)*1000/invanare</f>
        <v>8504.1701772615543</v>
      </c>
      <c r="AA51" s="1670">
        <f>Y51*1000/invanare</f>
        <v>10012.166529614969</v>
      </c>
      <c r="AB51" s="1670">
        <v>9961.7049999999999</v>
      </c>
      <c r="AC51" s="2281">
        <f>IF(ISERROR((AA51-AB51)/AB51)," ",((AA51-AB51)/AB51))</f>
        <v>5.0655514909314775E-3</v>
      </c>
      <c r="AD51" s="2213"/>
      <c r="AE51" s="2307">
        <f>IF(ISERROR(F51/(AA51/1000*invanare)),"",(F51/(AA51/100000*invanare)))</f>
        <v>18.872395417094598</v>
      </c>
      <c r="AF51" s="2326">
        <v>88267.286999999997</v>
      </c>
      <c r="AG51" s="2315">
        <v>84863.331000000006</v>
      </c>
      <c r="AH51" s="1846">
        <f>W51-V51-SUM(Motpart!Y13:Z16)</f>
        <v>15651.938000000002</v>
      </c>
    </row>
    <row r="52" spans="1:34" ht="44.25" customHeight="1" thickBot="1">
      <c r="A52" s="2123"/>
      <c r="B52" s="878" t="s">
        <v>85</v>
      </c>
      <c r="C52" s="474"/>
      <c r="D52" s="473"/>
      <c r="E52" s="471"/>
      <c r="F52" s="471"/>
      <c r="G52" s="471"/>
      <c r="H52" s="473"/>
      <c r="I52" s="471"/>
      <c r="J52" s="472"/>
      <c r="K52" s="31"/>
      <c r="L52" s="470"/>
      <c r="M52" s="471"/>
      <c r="N52" s="473"/>
      <c r="O52" s="489"/>
      <c r="P52" s="472"/>
      <c r="Q52" s="50"/>
      <c r="R52" s="470"/>
      <c r="S52" s="471"/>
      <c r="T52" s="472"/>
      <c r="U52" s="50"/>
      <c r="V52" s="468"/>
      <c r="W52" s="469"/>
      <c r="X52" s="31"/>
      <c r="Y52" s="1653" t="s">
        <v>617</v>
      </c>
      <c r="Z52" s="2529"/>
      <c r="AA52" s="2527"/>
      <c r="AB52" s="2527"/>
      <c r="AC52" s="2528"/>
      <c r="AD52" s="2213"/>
      <c r="AE52" s="2303">
        <f>IF(ISERROR(F51/(AA51/1000*invanare)),"",(SUM(Motpart!D13:D16,Motpart!F13:F16)/(AA51/100000*invanare)))</f>
        <v>18.226351369231661</v>
      </c>
      <c r="AF52" s="2333"/>
      <c r="AG52" s="2320"/>
      <c r="AH52" s="1851"/>
    </row>
    <row r="53" spans="1:34">
      <c r="A53" s="2104" t="s">
        <v>394</v>
      </c>
      <c r="B53" s="864" t="s">
        <v>479</v>
      </c>
      <c r="C53" s="20">
        <v>3257.1280000000002</v>
      </c>
      <c r="D53" s="21">
        <v>1302.0360000000001</v>
      </c>
      <c r="E53" s="20">
        <v>186.56399999999999</v>
      </c>
      <c r="F53" s="20">
        <v>1116.0029999999999</v>
      </c>
      <c r="G53" s="20">
        <v>328.404</v>
      </c>
      <c r="H53" s="21">
        <v>3.8769999999999998</v>
      </c>
      <c r="I53" s="20">
        <v>421.83499999999998</v>
      </c>
      <c r="J53" s="100">
        <v>53.023000000000003</v>
      </c>
      <c r="K53" s="31"/>
      <c r="L53" s="103">
        <v>862.76099999999997</v>
      </c>
      <c r="M53" s="20">
        <v>1598.422</v>
      </c>
      <c r="N53" s="21">
        <v>40.473999999999997</v>
      </c>
      <c r="O53" s="371">
        <v>227.45</v>
      </c>
      <c r="P53" s="370">
        <f>SUM(C53:O53)</f>
        <v>9397.9770000000026</v>
      </c>
      <c r="Q53" s="49"/>
      <c r="R53" s="103">
        <v>0.83699999999999997</v>
      </c>
      <c r="S53" s="20">
        <v>1.034</v>
      </c>
      <c r="T53" s="100">
        <v>472.964</v>
      </c>
      <c r="U53" s="50"/>
      <c r="V53" s="113">
        <v>1191.1120000000001</v>
      </c>
      <c r="W53" s="405">
        <f>SUM(R53:V53)</f>
        <v>1665.9470000000001</v>
      </c>
      <c r="X53" s="57"/>
      <c r="Y53" s="1508">
        <v>8160.4059999999999</v>
      </c>
      <c r="Z53" s="1920"/>
      <c r="AA53" s="1921"/>
      <c r="AB53" s="1922"/>
      <c r="AC53" s="2282"/>
      <c r="AD53" s="2213"/>
      <c r="AE53" s="2303"/>
      <c r="AF53" s="2332">
        <v>7732.0290000000005</v>
      </c>
      <c r="AG53" s="2319">
        <v>7086.9989999999998</v>
      </c>
      <c r="AH53" s="1850">
        <f>W53-V53-SUM(Motpart!Y17:Z17)</f>
        <v>428.36900000000003</v>
      </c>
    </row>
    <row r="54" spans="1:34">
      <c r="A54" s="2104" t="s">
        <v>478</v>
      </c>
      <c r="B54" s="862" t="s">
        <v>376</v>
      </c>
      <c r="C54" s="20">
        <v>54135.936000000002</v>
      </c>
      <c r="D54" s="21">
        <v>21343.032999999999</v>
      </c>
      <c r="E54" s="23">
        <v>4326.6019999999999</v>
      </c>
      <c r="F54" s="23">
        <v>19657.835999999999</v>
      </c>
      <c r="G54" s="23">
        <v>7789.1850000000004</v>
      </c>
      <c r="H54" s="24">
        <v>39.593000000000004</v>
      </c>
      <c r="I54" s="23">
        <v>3933.1550000000002</v>
      </c>
      <c r="J54" s="101">
        <v>1125.4770000000001</v>
      </c>
      <c r="K54" s="31"/>
      <c r="L54" s="104">
        <v>9684.0910000000003</v>
      </c>
      <c r="M54" s="23">
        <v>21956.645</v>
      </c>
      <c r="N54" s="21">
        <v>563.80700000000002</v>
      </c>
      <c r="O54" s="371">
        <v>3782.846</v>
      </c>
      <c r="P54" s="370">
        <f>SUM(C54:O54)</f>
        <v>148338.20599999998</v>
      </c>
      <c r="Q54" s="49"/>
      <c r="R54" s="104">
        <v>37.92</v>
      </c>
      <c r="S54" s="23">
        <v>25.503</v>
      </c>
      <c r="T54" s="101">
        <v>14259.993</v>
      </c>
      <c r="U54" s="50"/>
      <c r="V54" s="114">
        <v>16018.224</v>
      </c>
      <c r="W54" s="405">
        <f>SUM(R54:V54)</f>
        <v>30341.64</v>
      </c>
      <c r="X54" s="57"/>
      <c r="Y54" s="1508">
        <v>130798.611</v>
      </c>
      <c r="Z54" s="1666"/>
      <c r="AA54" s="1667"/>
      <c r="AB54" s="1923"/>
      <c r="AC54" s="2269"/>
      <c r="AD54" s="2213"/>
      <c r="AE54" s="2303"/>
      <c r="AF54" s="2326">
        <v>117996.546</v>
      </c>
      <c r="AG54" s="2315">
        <v>112622.52899999999</v>
      </c>
      <c r="AH54" s="1850">
        <f>W54-V54-SUM(Motpart!Y18:Z18)</f>
        <v>12802.06</v>
      </c>
    </row>
    <row r="55" spans="1:34">
      <c r="A55" s="2104" t="s">
        <v>244</v>
      </c>
      <c r="B55" s="880" t="s">
        <v>618</v>
      </c>
      <c r="C55" s="20">
        <v>2983.7910000000002</v>
      </c>
      <c r="D55" s="21">
        <v>1182.105</v>
      </c>
      <c r="E55" s="23">
        <v>108.34099999999999</v>
      </c>
      <c r="F55" s="23">
        <v>674.35199999999998</v>
      </c>
      <c r="G55" s="23">
        <v>712.21100000000001</v>
      </c>
      <c r="H55" s="24">
        <v>0.53800000000000003</v>
      </c>
      <c r="I55" s="23">
        <v>116.87</v>
      </c>
      <c r="J55" s="101">
        <v>18.27</v>
      </c>
      <c r="K55" s="31"/>
      <c r="L55" s="104">
        <v>328.714</v>
      </c>
      <c r="M55" s="23">
        <v>858.22</v>
      </c>
      <c r="N55" s="21">
        <v>29.297000000000001</v>
      </c>
      <c r="O55" s="371">
        <v>184.57300000000001</v>
      </c>
      <c r="P55" s="370">
        <f>SUM(C55:O55)</f>
        <v>7197.2820000000011</v>
      </c>
      <c r="Q55" s="49"/>
      <c r="R55" s="104">
        <v>4.4349999999999996</v>
      </c>
      <c r="S55" s="23">
        <v>2.1999999999999999E-2</v>
      </c>
      <c r="T55" s="101">
        <v>523.54300000000001</v>
      </c>
      <c r="U55" s="50"/>
      <c r="V55" s="114">
        <v>654.21600000000001</v>
      </c>
      <c r="W55" s="405">
        <f>SUM(R55:V55)</f>
        <v>1182.2159999999999</v>
      </c>
      <c r="X55" s="57"/>
      <c r="Y55" s="1508">
        <v>6225.6840000000002</v>
      </c>
      <c r="Z55" s="1666"/>
      <c r="AA55" s="1667"/>
      <c r="AB55" s="1923"/>
      <c r="AC55" s="2269"/>
      <c r="AD55" s="2213"/>
      <c r="AE55" s="2303"/>
      <c r="AF55" s="2326">
        <v>6015.0749999999998</v>
      </c>
      <c r="AG55" s="2315">
        <v>5868.183</v>
      </c>
      <c r="AH55" s="1850">
        <f>W55-V55-SUM(Motpart!Y19:Z19)</f>
        <v>210.60199999999992</v>
      </c>
    </row>
    <row r="56" spans="1:34">
      <c r="A56" s="2104" t="s">
        <v>245</v>
      </c>
      <c r="B56" s="872" t="s">
        <v>86</v>
      </c>
      <c r="C56" s="20">
        <v>14131.884</v>
      </c>
      <c r="D56" s="21">
        <v>5581.4160000000002</v>
      </c>
      <c r="E56" s="23">
        <v>1377.8320000000001</v>
      </c>
      <c r="F56" s="23">
        <v>22295.998</v>
      </c>
      <c r="G56" s="23">
        <v>3096.2710000000002</v>
      </c>
      <c r="H56" s="24">
        <v>266.57400000000001</v>
      </c>
      <c r="I56" s="23">
        <v>1160.521</v>
      </c>
      <c r="J56" s="101">
        <v>354.99200000000002</v>
      </c>
      <c r="K56" s="31"/>
      <c r="L56" s="104">
        <v>2992.6219999999998</v>
      </c>
      <c r="M56" s="23">
        <v>5605.8040000000001</v>
      </c>
      <c r="N56" s="21">
        <v>176.27099999999999</v>
      </c>
      <c r="O56" s="371">
        <v>956.48</v>
      </c>
      <c r="P56" s="370">
        <f>SUM(C56:O56)</f>
        <v>57996.665000000008</v>
      </c>
      <c r="Q56" s="49"/>
      <c r="R56" s="104">
        <v>44.27</v>
      </c>
      <c r="S56" s="23">
        <v>29.135000000000002</v>
      </c>
      <c r="T56" s="101">
        <v>10877.61</v>
      </c>
      <c r="U56" s="50"/>
      <c r="V56" s="114">
        <v>4008.84</v>
      </c>
      <c r="W56" s="405">
        <f>SUM(R56:V56)</f>
        <v>14959.855000000001</v>
      </c>
      <c r="X56" s="57"/>
      <c r="Y56" s="1508">
        <v>46328.322999999997</v>
      </c>
      <c r="Z56" s="1311"/>
      <c r="AA56" s="1668"/>
      <c r="AB56" s="764"/>
      <c r="AC56" s="2269"/>
      <c r="AD56" s="2213"/>
      <c r="AE56" s="2303"/>
      <c r="AF56" s="2326">
        <v>43036.803</v>
      </c>
      <c r="AG56" s="2315">
        <v>31425.256000000001</v>
      </c>
      <c r="AH56" s="1850">
        <f>W56-V56-SUM(Motpart!Y20:Z20)</f>
        <v>3291.5040000000017</v>
      </c>
    </row>
    <row r="57" spans="1:34">
      <c r="A57" s="2104" t="s">
        <v>246</v>
      </c>
      <c r="B57" s="872" t="s">
        <v>87</v>
      </c>
      <c r="C57" s="20">
        <v>1290.922</v>
      </c>
      <c r="D57" s="21">
        <v>515.11599999999999</v>
      </c>
      <c r="E57" s="23">
        <v>60.591000000000001</v>
      </c>
      <c r="F57" s="23">
        <v>1118.9570000000001</v>
      </c>
      <c r="G57" s="23">
        <v>308.17200000000003</v>
      </c>
      <c r="H57" s="24">
        <v>1.883</v>
      </c>
      <c r="I57" s="23">
        <v>67.353999999999999</v>
      </c>
      <c r="J57" s="101">
        <v>8.7829999999999995</v>
      </c>
      <c r="K57" s="31"/>
      <c r="L57" s="104">
        <v>176.74100000000001</v>
      </c>
      <c r="M57" s="23">
        <v>365.63600000000002</v>
      </c>
      <c r="N57" s="21">
        <v>12.222</v>
      </c>
      <c r="O57" s="371">
        <v>75.921000000000006</v>
      </c>
      <c r="P57" s="370">
        <f>SUM(C57:O57)</f>
        <v>4002.2979999999998</v>
      </c>
      <c r="Q57" s="49"/>
      <c r="R57" s="104">
        <v>4.3179999999999996</v>
      </c>
      <c r="S57" s="23">
        <v>1.272</v>
      </c>
      <c r="T57" s="101">
        <v>768.17600000000004</v>
      </c>
      <c r="U57" s="50"/>
      <c r="V57" s="114">
        <v>256.459</v>
      </c>
      <c r="W57" s="405">
        <f>SUM(R57:V57)</f>
        <v>1030.2250000000001</v>
      </c>
      <c r="X57" s="57"/>
      <c r="Y57" s="1002">
        <v>3103.9749999999999</v>
      </c>
      <c r="Z57" s="1311"/>
      <c r="AA57" s="1634"/>
      <c r="AB57" s="764"/>
      <c r="AC57" s="2269"/>
      <c r="AD57" s="2213"/>
      <c r="AE57" s="2303"/>
      <c r="AF57" s="2326">
        <v>2972.0659999999998</v>
      </c>
      <c r="AG57" s="2315">
        <v>2624.9969999999998</v>
      </c>
      <c r="AH57" s="1850">
        <f>W57-V57-SUM(Motpart!Y21:Z21)</f>
        <v>131.90400000000011</v>
      </c>
    </row>
    <row r="58" spans="1:34">
      <c r="A58" s="2104" t="s">
        <v>247</v>
      </c>
      <c r="B58" s="872" t="s">
        <v>88</v>
      </c>
      <c r="C58" s="363">
        <f t="shared" ref="C58:J58" si="14">SUM(C53:C57)</f>
        <v>75799.661000000007</v>
      </c>
      <c r="D58" s="26">
        <f t="shared" si="14"/>
        <v>29923.705999999998</v>
      </c>
      <c r="E58" s="363">
        <f t="shared" si="14"/>
        <v>6059.9300000000012</v>
      </c>
      <c r="F58" s="363">
        <f t="shared" si="14"/>
        <v>44863.146000000001</v>
      </c>
      <c r="G58" s="363">
        <f t="shared" si="14"/>
        <v>12234.243</v>
      </c>
      <c r="H58" s="26">
        <f t="shared" si="14"/>
        <v>312.46499999999997</v>
      </c>
      <c r="I58" s="363">
        <f t="shared" si="14"/>
        <v>5699.7349999999997</v>
      </c>
      <c r="J58" s="105">
        <f t="shared" si="14"/>
        <v>1560.5449999999998</v>
      </c>
      <c r="K58" s="148"/>
      <c r="L58" s="372">
        <f>SUM(L53:L57)</f>
        <v>14044.929</v>
      </c>
      <c r="M58" s="363">
        <f>SUM(M53:M57)</f>
        <v>30384.726999999999</v>
      </c>
      <c r="N58" s="26">
        <f>SUM(N53:N57)</f>
        <v>822.07100000000003</v>
      </c>
      <c r="O58" s="26">
        <f>SUM(O53:O57)</f>
        <v>5227.2700000000004</v>
      </c>
      <c r="P58" s="105">
        <f>SUM(P53:P57)</f>
        <v>226932.42800000001</v>
      </c>
      <c r="Q58" s="49"/>
      <c r="R58" s="372">
        <f>SUM(R53:R57)</f>
        <v>91.780000000000015</v>
      </c>
      <c r="S58" s="363">
        <f>SUM(S53:S57)</f>
        <v>56.966000000000001</v>
      </c>
      <c r="T58" s="105">
        <f>SUM(T53:T57)</f>
        <v>26902.286</v>
      </c>
      <c r="U58" s="49"/>
      <c r="V58" s="117">
        <f>SUM(V53:V57)</f>
        <v>22128.850999999999</v>
      </c>
      <c r="W58" s="118">
        <f>SUM(W53:W57)</f>
        <v>49179.883000000002</v>
      </c>
      <c r="X58" s="57"/>
      <c r="Y58" s="1671">
        <v>194616.99299999999</v>
      </c>
      <c r="Z58" s="1649"/>
      <c r="AA58" s="1634"/>
      <c r="AB58" s="1635"/>
      <c r="AC58" s="2269"/>
      <c r="AD58" s="2213"/>
      <c r="AE58" s="2303"/>
      <c r="AF58" s="2326">
        <v>177752.52</v>
      </c>
      <c r="AG58" s="2315">
        <v>159627.96900000001</v>
      </c>
      <c r="AH58" s="1846">
        <f>W58-V58-SUM(Motpart!Y17:Z21)</f>
        <v>16864.439000000006</v>
      </c>
    </row>
    <row r="59" spans="1:34" ht="13.5" customHeight="1">
      <c r="A59" s="2124"/>
      <c r="B59" s="881" t="s">
        <v>89</v>
      </c>
      <c r="C59" s="491"/>
      <c r="D59" s="492"/>
      <c r="E59" s="493"/>
      <c r="F59" s="494"/>
      <c r="G59" s="493"/>
      <c r="H59" s="495"/>
      <c r="I59" s="493"/>
      <c r="J59" s="496"/>
      <c r="K59" s="32"/>
      <c r="L59" s="497"/>
      <c r="M59" s="493"/>
      <c r="N59" s="492"/>
      <c r="O59" s="492"/>
      <c r="P59" s="496"/>
      <c r="Q59" s="205"/>
      <c r="R59" s="497"/>
      <c r="S59" s="493"/>
      <c r="T59" s="496"/>
      <c r="U59" s="205"/>
      <c r="V59" s="498"/>
      <c r="W59" s="499"/>
      <c r="X59" s="32"/>
      <c r="Y59" s="1672"/>
      <c r="Z59" s="1673"/>
      <c r="AA59" s="1673"/>
      <c r="AB59" s="1673"/>
      <c r="AC59" s="2283"/>
      <c r="AD59" s="2213"/>
      <c r="AE59" s="2303"/>
      <c r="AF59" s="2326"/>
      <c r="AG59" s="2315"/>
      <c r="AH59" s="1846"/>
    </row>
    <row r="60" spans="1:34">
      <c r="A60" s="2125" t="s">
        <v>486</v>
      </c>
      <c r="B60" s="882" t="s">
        <v>377</v>
      </c>
      <c r="C60" s="490">
        <v>599.27200000000005</v>
      </c>
      <c r="D60" s="21">
        <v>234.51900000000001</v>
      </c>
      <c r="E60" s="20">
        <v>24.587</v>
      </c>
      <c r="F60" s="20">
        <v>519.71100000000001</v>
      </c>
      <c r="G60" s="20">
        <v>50.247999999999998</v>
      </c>
      <c r="H60" s="21">
        <v>6.1929999999999996</v>
      </c>
      <c r="I60" s="20">
        <v>42.319000000000003</v>
      </c>
      <c r="J60" s="100">
        <v>8.3030000000000008</v>
      </c>
      <c r="K60" s="31"/>
      <c r="L60" s="103">
        <v>93.668999999999997</v>
      </c>
      <c r="M60" s="20">
        <v>116.93</v>
      </c>
      <c r="N60" s="21">
        <v>7.6669999999999998</v>
      </c>
      <c r="O60" s="371">
        <v>32.645000000000003</v>
      </c>
      <c r="P60" s="370">
        <f>SUM(C60:O60)</f>
        <v>1736.0630000000001</v>
      </c>
      <c r="Q60" s="49"/>
      <c r="R60" s="103">
        <v>0.54100000000000004</v>
      </c>
      <c r="S60" s="20">
        <v>0.222</v>
      </c>
      <c r="T60" s="100">
        <v>183.131</v>
      </c>
      <c r="U60" s="50"/>
      <c r="V60" s="113">
        <v>89.802000000000007</v>
      </c>
      <c r="W60" s="405">
        <f t="shared" ref="W60:W66" si="15">SUM(R60:V60)</f>
        <v>273.69600000000003</v>
      </c>
      <c r="X60" s="57"/>
      <c r="Y60" s="1002">
        <v>1577.5119999999999</v>
      </c>
      <c r="Z60" s="1649"/>
      <c r="AA60" s="1634"/>
      <c r="AB60" s="1635"/>
      <c r="AC60" s="2269"/>
      <c r="AD60" s="2213"/>
      <c r="AE60" s="2303"/>
      <c r="AF60" s="2326">
        <v>1462.3869999999999</v>
      </c>
      <c r="AG60" s="2315">
        <v>1120.3779999999999</v>
      </c>
      <c r="AH60" s="1846">
        <f>W60-V60-SUM(Motpart!Y22:Z22)</f>
        <v>115.122</v>
      </c>
    </row>
    <row r="61" spans="1:34">
      <c r="A61" s="2119" t="s">
        <v>487</v>
      </c>
      <c r="B61" s="883" t="s">
        <v>378</v>
      </c>
      <c r="C61" s="22">
        <v>1609.9359999999999</v>
      </c>
      <c r="D61" s="21">
        <v>634.23</v>
      </c>
      <c r="E61" s="20">
        <v>108.642</v>
      </c>
      <c r="F61" s="20">
        <v>2319.3359999999998</v>
      </c>
      <c r="G61" s="20">
        <v>236.72800000000001</v>
      </c>
      <c r="H61" s="21">
        <v>10.781000000000001</v>
      </c>
      <c r="I61" s="20">
        <v>138.982</v>
      </c>
      <c r="J61" s="100">
        <v>20.001999999999999</v>
      </c>
      <c r="K61" s="500"/>
      <c r="L61" s="103">
        <v>218.58</v>
      </c>
      <c r="M61" s="20">
        <v>482.75</v>
      </c>
      <c r="N61" s="21">
        <v>19.835999999999999</v>
      </c>
      <c r="O61" s="371">
        <v>103.879</v>
      </c>
      <c r="P61" s="370">
        <f>SUM(C61:O61)</f>
        <v>5903.6820000000007</v>
      </c>
      <c r="Q61" s="49"/>
      <c r="R61" s="104">
        <v>26.98</v>
      </c>
      <c r="S61" s="23">
        <v>2.8290000000000002</v>
      </c>
      <c r="T61" s="101">
        <v>2838.386</v>
      </c>
      <c r="U61" s="50"/>
      <c r="V61" s="114">
        <v>316.53699999999998</v>
      </c>
      <c r="W61" s="405">
        <f t="shared" si="15"/>
        <v>3184.732</v>
      </c>
      <c r="X61" s="57"/>
      <c r="Y61" s="1002">
        <v>5150.5630000000001</v>
      </c>
      <c r="Z61" s="1633"/>
      <c r="AA61" s="1634"/>
      <c r="AB61" s="1635"/>
      <c r="AC61" s="2269"/>
      <c r="AD61" s="2213"/>
      <c r="AE61" s="2303"/>
      <c r="AF61" s="2326">
        <v>2718.9589999999998</v>
      </c>
      <c r="AG61" s="2315">
        <v>3257.0259999999998</v>
      </c>
      <c r="AH61" s="1846">
        <f>W61-V61-SUM(Motpart!Y23:Z23)</f>
        <v>2431.607</v>
      </c>
    </row>
    <row r="62" spans="1:34" ht="13.5" customHeight="1">
      <c r="A62" s="2121"/>
      <c r="B62" s="878" t="s">
        <v>20</v>
      </c>
      <c r="C62" s="474"/>
      <c r="D62" s="473"/>
      <c r="E62" s="471"/>
      <c r="F62" s="494"/>
      <c r="G62" s="471"/>
      <c r="H62" s="495"/>
      <c r="I62" s="471"/>
      <c r="J62" s="472"/>
      <c r="K62" s="500"/>
      <c r="L62" s="470"/>
      <c r="M62" s="471"/>
      <c r="N62" s="473"/>
      <c r="O62" s="473"/>
      <c r="P62" s="472"/>
      <c r="Q62" s="50"/>
      <c r="R62" s="470"/>
      <c r="S62" s="471"/>
      <c r="T62" s="472"/>
      <c r="U62" s="50"/>
      <c r="V62" s="468"/>
      <c r="W62" s="469"/>
      <c r="X62" s="31"/>
      <c r="Y62" s="1507"/>
      <c r="Z62" s="1650"/>
      <c r="AA62" s="1637"/>
      <c r="AB62" s="1637"/>
      <c r="AC62" s="2270"/>
      <c r="AD62" s="2213"/>
      <c r="AE62" s="2303"/>
      <c r="AF62" s="2326"/>
      <c r="AG62" s="2315">
        <f t="shared" si="8"/>
        <v>0</v>
      </c>
      <c r="AH62" s="1846"/>
    </row>
    <row r="63" spans="1:34">
      <c r="A63" s="2104" t="s">
        <v>248</v>
      </c>
      <c r="B63" s="886" t="s">
        <v>871</v>
      </c>
      <c r="C63" s="20">
        <v>144.66300000000001</v>
      </c>
      <c r="D63" s="21">
        <v>55.860999999999997</v>
      </c>
      <c r="E63" s="20">
        <v>5.9370000000000003</v>
      </c>
      <c r="F63" s="20">
        <v>25.524999999999999</v>
      </c>
      <c r="G63" s="20">
        <v>8.9250000000000007</v>
      </c>
      <c r="H63" s="21">
        <v>6.8000000000000005E-2</v>
      </c>
      <c r="I63" s="20">
        <v>9.1630000000000003</v>
      </c>
      <c r="J63" s="100">
        <v>1.7909999999999999</v>
      </c>
      <c r="K63" s="31"/>
      <c r="L63" s="103">
        <v>18.398</v>
      </c>
      <c r="M63" s="20">
        <v>32.543999999999997</v>
      </c>
      <c r="N63" s="21">
        <v>1.4359999999999999</v>
      </c>
      <c r="O63" s="371">
        <v>8.1910000000000007</v>
      </c>
      <c r="P63" s="370">
        <f>SUM(C63:O63)</f>
        <v>312.50200000000001</v>
      </c>
      <c r="Q63" s="49"/>
      <c r="R63" s="103">
        <v>7.3999999999999996E-2</v>
      </c>
      <c r="S63" s="20">
        <v>5.8000000000000003E-2</v>
      </c>
      <c r="T63" s="100">
        <v>22.768000000000001</v>
      </c>
      <c r="U63" s="50"/>
      <c r="V63" s="113">
        <v>21.053999999999998</v>
      </c>
      <c r="W63" s="405">
        <f t="shared" si="15"/>
        <v>43.954000000000001</v>
      </c>
      <c r="X63" s="57"/>
      <c r="Y63" s="982">
        <v>280.39800000000002</v>
      </c>
      <c r="Z63" s="1636"/>
      <c r="AA63" s="1637"/>
      <c r="AB63" s="1637"/>
      <c r="AC63" s="2270"/>
      <c r="AD63" s="2213"/>
      <c r="AE63" s="2303"/>
      <c r="AF63" s="2326">
        <v>268.553</v>
      </c>
      <c r="AG63" s="2315">
        <v>265.86099999999999</v>
      </c>
      <c r="AH63" s="1846">
        <f>W63-V63-SUM(Motpart!Y24:Z24)</f>
        <v>11.840000000000002</v>
      </c>
    </row>
    <row r="64" spans="1:34">
      <c r="A64" s="2104" t="s">
        <v>249</v>
      </c>
      <c r="B64" s="872" t="s">
        <v>90</v>
      </c>
      <c r="C64" s="20">
        <v>315.77</v>
      </c>
      <c r="D64" s="21">
        <v>124.28700000000001</v>
      </c>
      <c r="E64" s="23">
        <v>35.386000000000003</v>
      </c>
      <c r="F64" s="23">
        <v>104.679</v>
      </c>
      <c r="G64" s="23">
        <v>154.59399999999999</v>
      </c>
      <c r="H64" s="24">
        <v>56.125999999999998</v>
      </c>
      <c r="I64" s="23">
        <v>68.768000000000001</v>
      </c>
      <c r="J64" s="101">
        <v>12.551</v>
      </c>
      <c r="K64" s="31"/>
      <c r="L64" s="104">
        <v>96.691999999999993</v>
      </c>
      <c r="M64" s="23">
        <v>42.914000000000001</v>
      </c>
      <c r="N64" s="21">
        <v>4.0940000000000003</v>
      </c>
      <c r="O64" s="371">
        <v>24.581</v>
      </c>
      <c r="P64" s="370">
        <f>SUM(C64:O64)</f>
        <v>1040.4420000000002</v>
      </c>
      <c r="Q64" s="49"/>
      <c r="R64" s="104">
        <v>2.8929999999999998</v>
      </c>
      <c r="S64" s="23">
        <v>6.7089999999999996</v>
      </c>
      <c r="T64" s="101">
        <v>604.44399999999996</v>
      </c>
      <c r="U64" s="50"/>
      <c r="V64" s="114">
        <v>29.215</v>
      </c>
      <c r="W64" s="405">
        <f t="shared" si="15"/>
        <v>643.26099999999997</v>
      </c>
      <c r="X64" s="57"/>
      <c r="Y64" s="1002">
        <v>980.95299999999997</v>
      </c>
      <c r="Z64" s="1636"/>
      <c r="AA64" s="1637"/>
      <c r="AB64" s="1637"/>
      <c r="AC64" s="2270"/>
      <c r="AD64" s="2213"/>
      <c r="AE64" s="2303"/>
      <c r="AF64" s="2326">
        <v>397.17099999999999</v>
      </c>
      <c r="AG64" s="2315">
        <v>850.41499999999996</v>
      </c>
      <c r="AH64" s="1846">
        <f>W64-V64-(IF(AND(Motpart!$Y$25="",Motpart!$Z$25=""),0,IF(AND(Motpart!$Y$25=0,Motpart!$Z$25=0),0,((T64/($T$64+$T$65+$T$66))*(Motpart!$Y$25+Motpart!$Z$25)))))</f>
        <v>571.1157833295008</v>
      </c>
    </row>
    <row r="65" spans="1:34">
      <c r="A65" s="2104" t="s">
        <v>250</v>
      </c>
      <c r="B65" s="872" t="s">
        <v>95</v>
      </c>
      <c r="C65" s="20">
        <v>1520.92</v>
      </c>
      <c r="D65" s="21">
        <v>593.9</v>
      </c>
      <c r="E65" s="23">
        <v>62.579000000000001</v>
      </c>
      <c r="F65" s="23">
        <v>1035.5909999999999</v>
      </c>
      <c r="G65" s="23">
        <v>104.735</v>
      </c>
      <c r="H65" s="24">
        <v>1.0129999999999999</v>
      </c>
      <c r="I65" s="23">
        <v>87.19</v>
      </c>
      <c r="J65" s="101">
        <v>13.336</v>
      </c>
      <c r="K65" s="31"/>
      <c r="L65" s="104">
        <v>183.81299999999999</v>
      </c>
      <c r="M65" s="23">
        <v>310.06799999999998</v>
      </c>
      <c r="N65" s="21">
        <v>20.908000000000001</v>
      </c>
      <c r="O65" s="371">
        <v>79.102000000000004</v>
      </c>
      <c r="P65" s="370">
        <f>SUM(C65:O65)</f>
        <v>4013.1550000000002</v>
      </c>
      <c r="Q65" s="49"/>
      <c r="R65" s="104">
        <v>2.0489999999999999</v>
      </c>
      <c r="S65" s="23">
        <v>0.53400000000000003</v>
      </c>
      <c r="T65" s="101">
        <v>929.32799999999997</v>
      </c>
      <c r="U65" s="50"/>
      <c r="V65" s="114">
        <v>298.38799999999998</v>
      </c>
      <c r="W65" s="405">
        <f t="shared" si="15"/>
        <v>1230.299</v>
      </c>
      <c r="X65" s="57"/>
      <c r="Y65" s="1002">
        <v>3629.547</v>
      </c>
      <c r="Z65" s="1636"/>
      <c r="AA65" s="1637"/>
      <c r="AB65" s="1637"/>
      <c r="AC65" s="2270"/>
      <c r="AD65" s="2213"/>
      <c r="AE65" s="2303"/>
      <c r="AF65" s="2326">
        <v>2782.8580000000002</v>
      </c>
      <c r="AG65" s="2315">
        <v>2678.165</v>
      </c>
      <c r="AH65" s="1846">
        <f>W65-V65-(IF(AND(Motpart!$Y$25="",Motpart!$Z$25=""),0,IF(AND(Motpart!$Y$25=0,Motpart!$Z$25=0),0,((T65/($T$64+$T$65+$T$66))*(Motpart!$Y$25+Motpart!$Z$25)))))</f>
        <v>865.90612213213865</v>
      </c>
    </row>
    <row r="66" spans="1:34">
      <c r="A66" s="2104" t="s">
        <v>251</v>
      </c>
      <c r="B66" s="880" t="s">
        <v>947</v>
      </c>
      <c r="C66" s="20">
        <v>140.45099999999999</v>
      </c>
      <c r="D66" s="21">
        <v>54.091999999999999</v>
      </c>
      <c r="E66" s="23">
        <v>13.087</v>
      </c>
      <c r="F66" s="23">
        <v>6.4649999999999999</v>
      </c>
      <c r="G66" s="23">
        <v>53.488</v>
      </c>
      <c r="H66" s="24">
        <v>1.151</v>
      </c>
      <c r="I66" s="23">
        <v>6.798</v>
      </c>
      <c r="J66" s="101">
        <v>1.03</v>
      </c>
      <c r="K66" s="31"/>
      <c r="L66" s="104">
        <v>22.989000000000001</v>
      </c>
      <c r="M66" s="23">
        <v>13.385</v>
      </c>
      <c r="N66" s="21">
        <v>0.91700000000000004</v>
      </c>
      <c r="O66" s="371">
        <v>8.3520000000000003</v>
      </c>
      <c r="P66" s="370">
        <f>SUM(C66:O66)</f>
        <v>322.20499999999987</v>
      </c>
      <c r="Q66" s="49"/>
      <c r="R66" s="104">
        <v>3.718</v>
      </c>
      <c r="S66" s="23">
        <v>0.45800000000000002</v>
      </c>
      <c r="T66" s="101">
        <v>218.797</v>
      </c>
      <c r="U66" s="50"/>
      <c r="V66" s="114">
        <v>43.875999999999998</v>
      </c>
      <c r="W66" s="405">
        <f t="shared" si="15"/>
        <v>266.84899999999999</v>
      </c>
      <c r="X66" s="57"/>
      <c r="Y66" s="1002">
        <v>269.34300000000002</v>
      </c>
      <c r="Z66" s="895" t="s">
        <v>96</v>
      </c>
      <c r="AA66" s="978"/>
      <c r="AB66" s="979"/>
      <c r="AC66" s="2274"/>
      <c r="AD66" s="2213"/>
      <c r="AE66" s="2303"/>
      <c r="AF66" s="2326">
        <v>55.35</v>
      </c>
      <c r="AG66" s="2315">
        <v>270.709</v>
      </c>
      <c r="AH66" s="1846">
        <f>W66-V66-(IF(AND(Motpart!$Y$25="",Motpart!$Z$25=""),0,IF(AND(Motpart!$Y$25=0,Motpart!$Z$25=0),0,((T66/($T$64+$T$65+$T$66))*(Motpart!$Y$25+Motpart!$Z$25)))))</f>
        <v>207.43309453836054</v>
      </c>
    </row>
    <row r="67" spans="1:34">
      <c r="A67" s="2104" t="s">
        <v>252</v>
      </c>
      <c r="B67" s="872" t="s">
        <v>21</v>
      </c>
      <c r="C67" s="363">
        <f>SUM(C58,C60:C61,C63:C66)</f>
        <v>80130.67300000001</v>
      </c>
      <c r="D67" s="26">
        <f t="shared" ref="D67:J67" si="16">SUM(D58,D60:D61,D63:D66)</f>
        <v>31620.595000000001</v>
      </c>
      <c r="E67" s="532">
        <f t="shared" si="16"/>
        <v>6310.148000000002</v>
      </c>
      <c r="F67" s="363">
        <f t="shared" si="16"/>
        <v>48874.453000000001</v>
      </c>
      <c r="G67" s="363">
        <f t="shared" si="16"/>
        <v>12842.960999999998</v>
      </c>
      <c r="H67" s="363">
        <f t="shared" si="16"/>
        <v>387.79699999999991</v>
      </c>
      <c r="I67" s="363">
        <f t="shared" si="16"/>
        <v>6052.954999999999</v>
      </c>
      <c r="J67" s="105">
        <f t="shared" si="16"/>
        <v>1617.5579999999998</v>
      </c>
      <c r="K67" s="148"/>
      <c r="L67" s="372">
        <f>SUM(L58,L60:L61,L63:L66)</f>
        <v>14679.069999999998</v>
      </c>
      <c r="M67" s="363">
        <f>SUM(M58,M60:M61,M63:M66)</f>
        <v>31383.317999999999</v>
      </c>
      <c r="N67" s="26">
        <f>SUM(N58,N60:N61,N63:N66)</f>
        <v>876.9290000000002</v>
      </c>
      <c r="O67" s="375">
        <f>SUM(O58,O60:O61,O63:O66)</f>
        <v>5484.02</v>
      </c>
      <c r="P67" s="105">
        <f>SUM(P58,P60:P61,P63:P66)</f>
        <v>240260.47700000001</v>
      </c>
      <c r="Q67" s="49"/>
      <c r="R67" s="372">
        <f>SUM(R58,R60:R61,R63:R66)</f>
        <v>128.03500000000003</v>
      </c>
      <c r="S67" s="363">
        <f>SUM(S58,S60:S61,S63:S66)</f>
        <v>67.77600000000001</v>
      </c>
      <c r="T67" s="105">
        <f>SUM(T58,T60:T61,T63:T66)</f>
        <v>31699.14</v>
      </c>
      <c r="U67" s="49"/>
      <c r="V67" s="117">
        <f>SUM(V58,V60:V61,V63:V66)</f>
        <v>22927.722999999998</v>
      </c>
      <c r="W67" s="118">
        <f>SUM(W58,W60:W61,W63:W66)</f>
        <v>54822.673999999999</v>
      </c>
      <c r="X67" s="57"/>
      <c r="Y67" s="982">
        <v>206505.30600000001</v>
      </c>
      <c r="Z67" s="985">
        <f>(P67-W67)*1000/invanare</f>
        <v>17866.127034639634</v>
      </c>
      <c r="AA67" s="986">
        <f>Y67*1000/invanare</f>
        <v>19895.889460700364</v>
      </c>
      <c r="AB67" s="986">
        <v>19491.78</v>
      </c>
      <c r="AC67" s="2284">
        <f>IF(ISERROR((AA67-AB67)/AB67)," ",((AA67-AB67)/AB67))</f>
        <v>2.0732301549697626E-2</v>
      </c>
      <c r="AD67" s="2213"/>
      <c r="AE67" s="2307">
        <f>IF(ISERROR(F67/(AA67/1000*invanare)),"",(F67/(AA67/100000*invanare)))</f>
        <v>23.667407848590585</v>
      </c>
      <c r="AF67" s="2326">
        <v>185437.79699999999</v>
      </c>
      <c r="AG67" s="2315">
        <v>168070.52299999999</v>
      </c>
      <c r="AH67" s="1846">
        <f>W67-V67-SUM(Motpart!Y17:Z25)</f>
        <v>21067.463000000003</v>
      </c>
    </row>
    <row r="68" spans="1:34" ht="12.75" customHeight="1" thickBot="1">
      <c r="A68" s="2117" t="s">
        <v>253</v>
      </c>
      <c r="B68" s="877" t="s">
        <v>97</v>
      </c>
      <c r="C68" s="377">
        <f t="shared" ref="C68:J68" si="17">SUM(C51,C67)</f>
        <v>123580.15800000001</v>
      </c>
      <c r="D68" s="378">
        <f t="shared" si="17"/>
        <v>48849.468999999997</v>
      </c>
      <c r="E68" s="377">
        <f t="shared" si="17"/>
        <v>8877.7160000000022</v>
      </c>
      <c r="F68" s="377">
        <f t="shared" si="17"/>
        <v>68486.501000000004</v>
      </c>
      <c r="G68" s="377">
        <f t="shared" si="17"/>
        <v>15168.521999999997</v>
      </c>
      <c r="H68" s="378">
        <f t="shared" si="17"/>
        <v>406.48699999999991</v>
      </c>
      <c r="I68" s="377">
        <f t="shared" si="17"/>
        <v>9262.1359999999986</v>
      </c>
      <c r="J68" s="379">
        <f t="shared" si="17"/>
        <v>2114.4639999999999</v>
      </c>
      <c r="K68" s="148"/>
      <c r="L68" s="380">
        <f>SUM(L51,L67)</f>
        <v>21880.163</v>
      </c>
      <c r="M68" s="377">
        <f>SUM(M51,M67)</f>
        <v>48718.187999999995</v>
      </c>
      <c r="N68" s="378">
        <f>SUM(N51,N67)</f>
        <v>1314.8600000000001</v>
      </c>
      <c r="O68" s="378">
        <f>SUM(O51,O67)</f>
        <v>8253.9000000000015</v>
      </c>
      <c r="P68" s="379">
        <f>SUM(P51,P67)</f>
        <v>356912.56400000001</v>
      </c>
      <c r="Q68" s="49"/>
      <c r="R68" s="380">
        <f>SUM(R51,R67)</f>
        <v>8363.8070000000007</v>
      </c>
      <c r="S68" s="377">
        <f>SUM(S51,S67)</f>
        <v>92.089000000000013</v>
      </c>
      <c r="T68" s="379">
        <f>SUM(T51,T67)</f>
        <v>39665.828000000001</v>
      </c>
      <c r="U68" s="49"/>
      <c r="V68" s="407">
        <f>SUM(V51,V67)</f>
        <v>35085.745999999999</v>
      </c>
      <c r="W68" s="406">
        <f>SUM(W51,W67)</f>
        <v>83207.47</v>
      </c>
      <c r="X68" s="57"/>
      <c r="Y68" s="1009">
        <v>310424.54300000001</v>
      </c>
      <c r="Z68" s="987"/>
      <c r="AA68" s="988"/>
      <c r="AB68" s="989"/>
      <c r="AC68" s="2279"/>
      <c r="AD68" s="2213"/>
      <c r="AE68" s="2305">
        <f>IF(ISERROR(F67/(AA67/1000*invanare)),"",(SUM(Motpart!D17:D25,Motpart!F17:F25)/(AA67/100000*invanare)))</f>
        <v>16.363602298916231</v>
      </c>
      <c r="AF68" s="2327">
        <v>273705.087</v>
      </c>
      <c r="AG68" s="2316">
        <v>252933.84899999999</v>
      </c>
      <c r="AH68" s="1848">
        <f>SUM(AH51,AH58,AH60:AH61,AH63:AH66)</f>
        <v>36719.401000000005</v>
      </c>
    </row>
    <row r="69" spans="1:34" ht="17.25" customHeight="1">
      <c r="A69" s="2121"/>
      <c r="B69" s="878" t="s">
        <v>98</v>
      </c>
      <c r="C69" s="501"/>
      <c r="D69" s="502"/>
      <c r="E69" s="503"/>
      <c r="F69" s="503"/>
      <c r="G69" s="503"/>
      <c r="H69" s="502"/>
      <c r="I69" s="503"/>
      <c r="J69" s="504"/>
      <c r="K69" s="38"/>
      <c r="L69" s="505"/>
      <c r="M69" s="503"/>
      <c r="N69" s="502"/>
      <c r="O69" s="502"/>
      <c r="P69" s="506"/>
      <c r="Q69" s="51"/>
      <c r="R69" s="505"/>
      <c r="S69" s="503"/>
      <c r="T69" s="504"/>
      <c r="U69" s="51"/>
      <c r="V69" s="507"/>
      <c r="W69" s="508"/>
      <c r="X69" s="38"/>
      <c r="Y69" s="1509"/>
      <c r="Z69" s="1660"/>
      <c r="AA69" s="1661"/>
      <c r="AB69" s="1662"/>
      <c r="AC69" s="2285"/>
      <c r="AD69" s="2213"/>
      <c r="AE69" s="2303"/>
      <c r="AF69" s="2328"/>
      <c r="AG69" s="2317"/>
      <c r="AH69" s="1847"/>
    </row>
    <row r="70" spans="1:34">
      <c r="A70" s="2104" t="s">
        <v>254</v>
      </c>
      <c r="B70" s="874" t="s">
        <v>99</v>
      </c>
      <c r="C70" s="20">
        <v>91.725999999999999</v>
      </c>
      <c r="D70" s="21">
        <v>36.631</v>
      </c>
      <c r="E70" s="20">
        <v>7.3570000000000002</v>
      </c>
      <c r="F70" s="20">
        <v>49.195</v>
      </c>
      <c r="G70" s="20">
        <v>37.445</v>
      </c>
      <c r="H70" s="21">
        <v>2.1999999999999999E-2</v>
      </c>
      <c r="I70" s="20">
        <v>1.66</v>
      </c>
      <c r="J70" s="100">
        <v>0.42699999999999999</v>
      </c>
      <c r="K70" s="31"/>
      <c r="L70" s="103">
        <v>8.8209999999999997</v>
      </c>
      <c r="M70" s="20">
        <v>136.97</v>
      </c>
      <c r="N70" s="21">
        <v>0</v>
      </c>
      <c r="O70" s="371">
        <v>4.7229999999999999</v>
      </c>
      <c r="P70" s="370">
        <f>SUM(C70:O70)</f>
        <v>374.97699999999998</v>
      </c>
      <c r="Q70" s="49"/>
      <c r="R70" s="103">
        <v>12.273999999999999</v>
      </c>
      <c r="S70" s="20">
        <v>6.4000000000000001E-2</v>
      </c>
      <c r="T70" s="100">
        <v>30.77</v>
      </c>
      <c r="U70" s="50"/>
      <c r="V70" s="113">
        <v>134.02500000000001</v>
      </c>
      <c r="W70" s="405">
        <f>SUM(R70:V70)</f>
        <v>177.13300000000001</v>
      </c>
      <c r="X70" s="57"/>
      <c r="Y70" s="982">
        <v>233.797</v>
      </c>
      <c r="Z70" s="1663"/>
      <c r="AA70" s="1657"/>
      <c r="AB70" s="1657"/>
      <c r="AC70" s="2286"/>
      <c r="AD70" s="2213"/>
      <c r="AE70" s="2303"/>
      <c r="AF70" s="2326">
        <v>197.845</v>
      </c>
      <c r="AG70" s="2315">
        <v>191.73699999999999</v>
      </c>
      <c r="AH70" s="1846">
        <f>W70-V70-(IF(AND(Motpart!$Y$26="",Motpart!$Z$26=""),0,IF(AND(Motpart!$Y$26=0,Motpart!$Z$26=0),0,((T70/($T$70+$T$71))*(Motpart!$Y$26+Motpart!$Z$26)))))</f>
        <v>38.654631751525642</v>
      </c>
    </row>
    <row r="71" spans="1:34" ht="21" customHeight="1" thickBot="1">
      <c r="A71" s="2104" t="s">
        <v>255</v>
      </c>
      <c r="B71" s="1898" t="s">
        <v>1067</v>
      </c>
      <c r="C71" s="23">
        <v>715.88400000000001</v>
      </c>
      <c r="D71" s="21">
        <v>281.029</v>
      </c>
      <c r="E71" s="23">
        <v>371.88799999999998</v>
      </c>
      <c r="F71" s="23">
        <v>288.45499999999998</v>
      </c>
      <c r="G71" s="23">
        <v>294.702</v>
      </c>
      <c r="H71" s="24">
        <v>1.145</v>
      </c>
      <c r="I71" s="23">
        <v>8.6430000000000007</v>
      </c>
      <c r="J71" s="101">
        <v>23.956</v>
      </c>
      <c r="K71" s="31"/>
      <c r="L71" s="104">
        <v>98.344999999999999</v>
      </c>
      <c r="M71" s="23">
        <v>168.65</v>
      </c>
      <c r="N71" s="21">
        <v>1.409</v>
      </c>
      <c r="O71" s="371">
        <v>43.585999999999999</v>
      </c>
      <c r="P71" s="370">
        <f>SUM(C71:O71)</f>
        <v>2297.6919999999996</v>
      </c>
      <c r="Q71" s="49"/>
      <c r="R71" s="104">
        <v>48.249000000000002</v>
      </c>
      <c r="S71" s="23">
        <v>0.875</v>
      </c>
      <c r="T71" s="101">
        <v>474.26400000000001</v>
      </c>
      <c r="U71" s="50"/>
      <c r="V71" s="114">
        <v>137.77799999999999</v>
      </c>
      <c r="W71" s="990">
        <f>SUM(R71:V71)</f>
        <v>661.16600000000005</v>
      </c>
      <c r="X71" s="57"/>
      <c r="Y71" s="1002">
        <v>2093.9740000000002</v>
      </c>
      <c r="Z71" s="1658"/>
      <c r="AA71" s="1659"/>
      <c r="AB71" s="1659"/>
      <c r="AC71" s="2287"/>
      <c r="AD71" s="2213"/>
      <c r="AE71" s="2303"/>
      <c r="AF71" s="2326">
        <v>1636.519</v>
      </c>
      <c r="AG71" s="2315">
        <v>1870.3119999999999</v>
      </c>
      <c r="AH71" s="1846">
        <f>W71-V71-(IF(AND(Motpart!$Y$26="",Motpart!$Z$26=""),0,IF(AND(Motpart!$Y$26=0,Motpart!$Z$26=0),0,((T71/($T$70+$T$71))*(Motpart!$Y$26+Motpart!$Z$26)))))</f>
        <v>454.7473682484744</v>
      </c>
    </row>
    <row r="72" spans="1:34" ht="36" customHeight="1" thickBot="1">
      <c r="A72" s="2126"/>
      <c r="B72" s="1664" t="s">
        <v>101</v>
      </c>
      <c r="C72" s="474"/>
      <c r="D72" s="473"/>
      <c r="E72" s="471"/>
      <c r="F72" s="471"/>
      <c r="G72" s="471"/>
      <c r="H72" s="473"/>
      <c r="I72" s="471"/>
      <c r="J72" s="472"/>
      <c r="K72" s="31"/>
      <c r="L72" s="470"/>
      <c r="M72" s="471"/>
      <c r="N72" s="473"/>
      <c r="O72" s="473"/>
      <c r="P72" s="472"/>
      <c r="Q72" s="50"/>
      <c r="R72" s="470"/>
      <c r="S72" s="471"/>
      <c r="T72" s="472"/>
      <c r="U72" s="50"/>
      <c r="V72" s="468"/>
      <c r="W72" s="469"/>
      <c r="X72" s="31"/>
      <c r="Y72" s="1653" t="s">
        <v>987</v>
      </c>
      <c r="Z72" s="2529"/>
      <c r="AA72" s="2527"/>
      <c r="AB72" s="2527"/>
      <c r="AC72" s="2528"/>
      <c r="AD72" s="2213"/>
      <c r="AE72" s="2308">
        <f>IF(ISERROR((F73+F74)/((AA73+AA74)/1000*invanare)),"",((F73+F74)/((AA73+AA74)/100000*invanare)))</f>
        <v>16.199549756278039</v>
      </c>
      <c r="AF72" s="2326"/>
      <c r="AG72" s="2315"/>
      <c r="AH72" s="1846"/>
    </row>
    <row r="73" spans="1:34">
      <c r="A73" s="2104" t="s">
        <v>437</v>
      </c>
      <c r="B73" s="880" t="s">
        <v>489</v>
      </c>
      <c r="C73" s="20">
        <v>59618.39</v>
      </c>
      <c r="D73" s="21">
        <v>23441.035</v>
      </c>
      <c r="E73" s="20">
        <v>5851.3729999999996</v>
      </c>
      <c r="F73" s="20">
        <v>20823.239000000001</v>
      </c>
      <c r="G73" s="20">
        <v>5120.3950000000004</v>
      </c>
      <c r="H73" s="21">
        <v>940.47799999999995</v>
      </c>
      <c r="I73" s="20">
        <v>4501.6580000000004</v>
      </c>
      <c r="J73" s="100">
        <v>632.72</v>
      </c>
      <c r="K73" s="31"/>
      <c r="L73" s="103">
        <v>5960.9219999999996</v>
      </c>
      <c r="M73" s="20">
        <v>19340.756000000001</v>
      </c>
      <c r="N73" s="21">
        <v>575.62699999999995</v>
      </c>
      <c r="O73" s="371">
        <v>3688.8919999999998</v>
      </c>
      <c r="P73" s="370">
        <f>SUM(C73:O73)</f>
        <v>150495.48500000002</v>
      </c>
      <c r="Q73" s="49"/>
      <c r="R73" s="1905">
        <v>5424.6610000000001</v>
      </c>
      <c r="S73" s="20">
        <v>4371.4570000000003</v>
      </c>
      <c r="T73" s="100">
        <v>11745.737999999999</v>
      </c>
      <c r="U73" s="50"/>
      <c r="V73" s="113">
        <v>14944.38</v>
      </c>
      <c r="W73" s="405">
        <f>SUM(R73:V73)</f>
        <v>36486.235999999997</v>
      </c>
      <c r="X73" s="57"/>
      <c r="Y73" s="982">
        <v>135269.63399999999</v>
      </c>
      <c r="Z73" s="985">
        <f>(P73-W73)*1000/invanare</f>
        <v>10984.296043228371</v>
      </c>
      <c r="AA73" s="986">
        <f>Y73*1000/invanare</f>
        <v>13032.641812377431</v>
      </c>
      <c r="AB73" s="1000">
        <v>12527.618</v>
      </c>
      <c r="AC73" s="2277">
        <f>IF(ISERROR((AA73-AB73)/AB73)," ",((AA73-AB73)/AB73))</f>
        <v>4.0312836197386501E-2</v>
      </c>
      <c r="AD73" s="2213"/>
      <c r="AE73" s="2307"/>
      <c r="AF73" s="2326">
        <v>114009.242</v>
      </c>
      <c r="AG73" s="2315">
        <v>113787.379</v>
      </c>
      <c r="AH73" s="1846">
        <f>W73-V73-SUM(Motpart!Y27:Z27)</f>
        <v>21260.393</v>
      </c>
    </row>
    <row r="74" spans="1:34" ht="18.75">
      <c r="A74" s="2104" t="s">
        <v>436</v>
      </c>
      <c r="B74" s="884" t="s">
        <v>372</v>
      </c>
      <c r="C74" s="20">
        <v>5949.817</v>
      </c>
      <c r="D74" s="21">
        <v>2306.7420000000002</v>
      </c>
      <c r="E74" s="20">
        <v>390.89</v>
      </c>
      <c r="F74" s="20">
        <v>3535.1790000000001</v>
      </c>
      <c r="G74" s="20">
        <v>624.67200000000003</v>
      </c>
      <c r="H74" s="21">
        <v>413.49900000000002</v>
      </c>
      <c r="I74" s="20">
        <v>446.04700000000003</v>
      </c>
      <c r="J74" s="100">
        <v>31.276</v>
      </c>
      <c r="K74" s="31"/>
      <c r="L74" s="103">
        <v>421.07499999999999</v>
      </c>
      <c r="M74" s="20">
        <v>1874.3119999999999</v>
      </c>
      <c r="N74" s="21">
        <v>64.483999999999995</v>
      </c>
      <c r="O74" s="371">
        <v>351.83</v>
      </c>
      <c r="P74" s="370">
        <f>SUM(C74:O74)</f>
        <v>16409.823000000004</v>
      </c>
      <c r="Q74" s="49"/>
      <c r="R74" s="1905">
        <v>297.05900000000003</v>
      </c>
      <c r="S74" s="20">
        <v>321.74599999999998</v>
      </c>
      <c r="T74" s="100">
        <v>1112.838</v>
      </c>
      <c r="U74" s="50"/>
      <c r="V74" s="113">
        <v>1274.549</v>
      </c>
      <c r="W74" s="405">
        <f>SUM(R74:V74)</f>
        <v>3006.192</v>
      </c>
      <c r="X74" s="57"/>
      <c r="Y74" s="982">
        <v>15095.15</v>
      </c>
      <c r="Z74" s="985">
        <f>(P74-W74)*1000/invanare</f>
        <v>1291.3816400824917</v>
      </c>
      <c r="AA74" s="986">
        <f>Y74*1000/invanare</f>
        <v>1454.3521501219495</v>
      </c>
      <c r="AB74" s="1000">
        <v>1435.2660000000001</v>
      </c>
      <c r="AC74" s="2277">
        <f>IF(ISERROR((AA74-AB74)/AB74)," ",((AA74-AB74)/AB74))</f>
        <v>1.3297988053747151E-2</v>
      </c>
      <c r="AD74" s="2213"/>
      <c r="AE74" s="2306">
        <f>(Y77-Y76)*1000/invanare</f>
        <v>20817.765368457105</v>
      </c>
      <c r="AF74" s="2326">
        <v>13403.615</v>
      </c>
      <c r="AG74" s="2315">
        <v>11186.584999999999</v>
      </c>
      <c r="AH74" s="1846">
        <f>W74-V74-SUM(Motpart!Y28:Z28)</f>
        <v>1691.5309999999999</v>
      </c>
    </row>
    <row r="75" spans="1:34">
      <c r="A75" s="2104" t="s">
        <v>256</v>
      </c>
      <c r="B75" s="880" t="s">
        <v>373</v>
      </c>
      <c r="C75" s="2337">
        <v>26959.117999999999</v>
      </c>
      <c r="D75" s="21">
        <v>10542.269</v>
      </c>
      <c r="E75" s="23">
        <v>1288.5360000000001</v>
      </c>
      <c r="F75" s="2337">
        <v>13893.053</v>
      </c>
      <c r="G75" s="23">
        <v>1586.7</v>
      </c>
      <c r="H75" s="24">
        <v>4983.8370000000004</v>
      </c>
      <c r="I75" s="23">
        <v>1669.546</v>
      </c>
      <c r="J75" s="101">
        <v>125.342</v>
      </c>
      <c r="K75" s="31"/>
      <c r="L75" s="104">
        <v>2167.518</v>
      </c>
      <c r="M75" s="2337">
        <v>5837.9570000000003</v>
      </c>
      <c r="N75" s="2342">
        <v>240.35599999999999</v>
      </c>
      <c r="O75" s="2344">
        <v>1444.0809999999999</v>
      </c>
      <c r="P75" s="370">
        <f>SUM(C75:O75)</f>
        <v>70738.312999999995</v>
      </c>
      <c r="Q75" s="49"/>
      <c r="R75" s="1903">
        <v>127.509</v>
      </c>
      <c r="S75" s="23">
        <v>1364.683</v>
      </c>
      <c r="T75" s="101">
        <v>8844.5010000000002</v>
      </c>
      <c r="U75" s="50"/>
      <c r="V75" s="2345">
        <v>4771.8879999999999</v>
      </c>
      <c r="W75" s="405">
        <f>SUM(R75:V75)</f>
        <v>15108.580999999998</v>
      </c>
      <c r="X75" s="57"/>
      <c r="Y75" s="982">
        <v>65708.944000000003</v>
      </c>
      <c r="Z75" s="985">
        <f>(P75-W75)*1000/invanare</f>
        <v>5359.6830998637188</v>
      </c>
      <c r="AA75" s="986">
        <f>Y75*1000/invanare</f>
        <v>6330.7714059577265</v>
      </c>
      <c r="AB75" s="1000">
        <v>6155.875</v>
      </c>
      <c r="AC75" s="2277">
        <f>IF(ISERROR((AA75-AB75)/AB75)," ",((AA75-AB75)/AB75))</f>
        <v>2.841129911795261E-2</v>
      </c>
      <c r="AD75" s="2213"/>
      <c r="AE75" s="2303"/>
      <c r="AF75" s="2326">
        <v>55629.745999999999</v>
      </c>
      <c r="AG75" s="2315">
        <v>47089.553</v>
      </c>
      <c r="AH75" s="1846">
        <f>W75-V75-SUM(Motpart!Y29:Z29)</f>
        <v>10079.186</v>
      </c>
    </row>
    <row r="76" spans="1:34">
      <c r="A76" s="2104" t="s">
        <v>257</v>
      </c>
      <c r="B76" s="872" t="s">
        <v>102</v>
      </c>
      <c r="C76" s="23">
        <v>113.398</v>
      </c>
      <c r="D76" s="21">
        <v>44.808</v>
      </c>
      <c r="E76" s="23">
        <v>64.436999999999998</v>
      </c>
      <c r="F76" s="23">
        <v>1368.4179999999999</v>
      </c>
      <c r="G76" s="23">
        <v>250.434</v>
      </c>
      <c r="H76" s="24">
        <v>34.960999999999999</v>
      </c>
      <c r="I76" s="23">
        <v>3.6139999999999999</v>
      </c>
      <c r="J76" s="101">
        <v>0.45500000000000002</v>
      </c>
      <c r="K76" s="31"/>
      <c r="L76" s="104">
        <v>3.5019999999999998</v>
      </c>
      <c r="M76" s="23">
        <v>78.183999999999997</v>
      </c>
      <c r="N76" s="21">
        <v>6.0810000000000004</v>
      </c>
      <c r="O76" s="371">
        <v>14.154</v>
      </c>
      <c r="P76" s="370">
        <f>SUM(C76:O76)</f>
        <v>1982.4459999999997</v>
      </c>
      <c r="Q76" s="49"/>
      <c r="R76" s="1903">
        <v>82.725999999999999</v>
      </c>
      <c r="S76" s="23">
        <v>7.4999999999999997E-2</v>
      </c>
      <c r="T76" s="101">
        <v>60.356999999999999</v>
      </c>
      <c r="U76" s="50"/>
      <c r="V76" s="114">
        <v>88.400999999999996</v>
      </c>
      <c r="W76" s="405">
        <f>SUM(R76:V76)</f>
        <v>231.55900000000003</v>
      </c>
      <c r="X76" s="57"/>
      <c r="Y76" s="982">
        <v>1886.2750000000001</v>
      </c>
      <c r="Z76" s="985">
        <f>(P76-W76)*1000/invanare</f>
        <v>168.69035902727495</v>
      </c>
      <c r="AA76" s="986">
        <f>Y76*1000/invanare</f>
        <v>181.7344048897348</v>
      </c>
      <c r="AB76" s="1003">
        <v>225.75800000000001</v>
      </c>
      <c r="AC76" s="2277">
        <f>IF(ISERROR((AA76-AB76)/AB76)," ",((AA76-AB76)/AB76))</f>
        <v>-0.19500347766309589</v>
      </c>
      <c r="AD76" s="2213"/>
      <c r="AE76" s="2306"/>
      <c r="AF76" s="2326">
        <v>1750.8989999999999</v>
      </c>
      <c r="AG76" s="2315">
        <v>490.678</v>
      </c>
      <c r="AH76" s="1846">
        <f>W76-V76-SUM(Motpart!Y30:Z30)</f>
        <v>135.37400000000002</v>
      </c>
    </row>
    <row r="77" spans="1:34">
      <c r="A77" s="2104" t="s">
        <v>500</v>
      </c>
      <c r="B77" s="872" t="s">
        <v>104</v>
      </c>
      <c r="C77" s="363">
        <f t="shared" ref="C77:J77" si="18">SUM(C73:C76)</f>
        <v>92640.722999999998</v>
      </c>
      <c r="D77" s="26">
        <f t="shared" si="18"/>
        <v>36334.853999999999</v>
      </c>
      <c r="E77" s="363">
        <f t="shared" si="18"/>
        <v>7595.2359999999999</v>
      </c>
      <c r="F77" s="363">
        <f t="shared" si="18"/>
        <v>39619.889000000003</v>
      </c>
      <c r="G77" s="363">
        <f t="shared" si="18"/>
        <v>7582.2010000000009</v>
      </c>
      <c r="H77" s="26">
        <f t="shared" si="18"/>
        <v>6372.7750000000005</v>
      </c>
      <c r="I77" s="363">
        <f t="shared" si="18"/>
        <v>6620.8649999999998</v>
      </c>
      <c r="J77" s="105">
        <f t="shared" si="18"/>
        <v>789.79300000000001</v>
      </c>
      <c r="K77" s="148"/>
      <c r="L77" s="372">
        <f>SUM(L73:L76)</f>
        <v>8553.0169999999998</v>
      </c>
      <c r="M77" s="363">
        <f>SUM(M73:M76)</f>
        <v>27131.209000000003</v>
      </c>
      <c r="N77" s="26">
        <f>SUM(N73:N76)</f>
        <v>886.548</v>
      </c>
      <c r="O77" s="26">
        <f>SUM(O73:O76)</f>
        <v>5498.9570000000003</v>
      </c>
      <c r="P77" s="105">
        <f>SUM(P73:P76)</f>
        <v>239626.06700000001</v>
      </c>
      <c r="Q77" s="49"/>
      <c r="R77" s="372">
        <f>SUM(R73:R76)</f>
        <v>5931.9549999999999</v>
      </c>
      <c r="S77" s="363">
        <f>SUM(S73:S76)</f>
        <v>6057.9610000000002</v>
      </c>
      <c r="T77" s="105">
        <f>SUM(T73:T76)</f>
        <v>21763.433999999997</v>
      </c>
      <c r="U77" s="49"/>
      <c r="V77" s="117">
        <f>SUM(V73:V76)</f>
        <v>21079.218000000001</v>
      </c>
      <c r="W77" s="118">
        <f>SUM(W73:W76)</f>
        <v>54832.567999999999</v>
      </c>
      <c r="X77" s="57"/>
      <c r="Y77" s="982">
        <v>217960.003</v>
      </c>
      <c r="Z77" s="1675">
        <f>(P77-W77)*1000/invanare</f>
        <v>17804.051142201854</v>
      </c>
      <c r="AA77" s="1003">
        <f>Y77*1000/invanare</f>
        <v>20999.499773346841</v>
      </c>
      <c r="AB77" s="1676">
        <v>20344.517</v>
      </c>
      <c r="AC77" s="2281">
        <f t="shared" ref="AC77:AC84" si="19">IF(ISERROR((AA77-AB77)/AB77)," ",((AA77-AB77)/AB77))</f>
        <v>3.2194560005865021E-2</v>
      </c>
      <c r="AD77" s="2213"/>
      <c r="AE77" s="2307">
        <f>IF(ISERROR(F77/(AA77/1000*invanare)),"",(F77/(AA77/100000*invanare)))</f>
        <v>18.177596097757441</v>
      </c>
      <c r="AF77" s="2326">
        <v>184793.49799999999</v>
      </c>
      <c r="AG77" s="2315">
        <v>172554.19099999999</v>
      </c>
      <c r="AH77" s="1846">
        <f>W77-V77-SUM(Motpart!Y27:Z30)</f>
        <v>33166.483999999997</v>
      </c>
    </row>
    <row r="78" spans="1:34" ht="13.5" customHeight="1">
      <c r="A78" s="2126"/>
      <c r="B78" s="885" t="s">
        <v>105</v>
      </c>
      <c r="C78" s="474"/>
      <c r="D78" s="473"/>
      <c r="E78" s="471"/>
      <c r="F78" s="471"/>
      <c r="G78" s="471"/>
      <c r="H78" s="473"/>
      <c r="I78" s="471"/>
      <c r="J78" s="472"/>
      <c r="K78" s="31"/>
      <c r="L78" s="470"/>
      <c r="M78" s="471"/>
      <c r="N78" s="473"/>
      <c r="O78" s="473"/>
      <c r="P78" s="472"/>
      <c r="Q78" s="50"/>
      <c r="R78" s="470"/>
      <c r="S78" s="471"/>
      <c r="T78" s="472"/>
      <c r="U78" s="50"/>
      <c r="V78" s="468"/>
      <c r="W78" s="469"/>
      <c r="X78" s="31"/>
      <c r="Y78" s="1651"/>
      <c r="Z78" s="1677"/>
      <c r="AA78" s="1694"/>
      <c r="AB78" s="1694"/>
      <c r="AC78" s="2288" t="str">
        <f t="shared" si="19"/>
        <v xml:space="preserve"> </v>
      </c>
      <c r="AD78" s="2213"/>
      <c r="AE78" s="2303">
        <f>IF(ISERROR(F77/(AA77/1000*invanare)),"",(SUM(Motpart!D27:D30,Motpart!F27:F30)/(AA77/100000*invanare)))</f>
        <v>16.641516563018214</v>
      </c>
      <c r="AF78" s="2326"/>
      <c r="AG78" s="2315"/>
      <c r="AH78" s="1846"/>
    </row>
    <row r="79" spans="1:34">
      <c r="A79" s="2104" t="s">
        <v>442</v>
      </c>
      <c r="B79" s="886" t="s">
        <v>201</v>
      </c>
      <c r="C79" s="20">
        <v>2584.7109999999998</v>
      </c>
      <c r="D79" s="21">
        <v>1022.298</v>
      </c>
      <c r="E79" s="20">
        <v>148.35300000000001</v>
      </c>
      <c r="F79" s="20">
        <v>3059.4470000000001</v>
      </c>
      <c r="G79" s="20">
        <v>386.50700000000001</v>
      </c>
      <c r="H79" s="21">
        <v>152.124</v>
      </c>
      <c r="I79" s="20">
        <v>478.08</v>
      </c>
      <c r="J79" s="100">
        <v>13.401999999999999</v>
      </c>
      <c r="K79" s="31"/>
      <c r="L79" s="103">
        <v>361.005</v>
      </c>
      <c r="M79" s="20">
        <v>583.96100000000001</v>
      </c>
      <c r="N79" s="21">
        <v>21.99</v>
      </c>
      <c r="O79" s="371">
        <v>173.80600000000001</v>
      </c>
      <c r="P79" s="370">
        <f>SUM(C79:O79)</f>
        <v>8985.6839999999993</v>
      </c>
      <c r="Q79" s="49"/>
      <c r="R79" s="103">
        <v>49.618000000000002</v>
      </c>
      <c r="S79" s="20">
        <v>316.721</v>
      </c>
      <c r="T79" s="100">
        <v>501.43599999999998</v>
      </c>
      <c r="U79" s="50"/>
      <c r="V79" s="113">
        <v>526.33000000000004</v>
      </c>
      <c r="W79" s="405">
        <f>SUM(R79:V79)</f>
        <v>1394.105</v>
      </c>
      <c r="X79" s="57"/>
      <c r="Y79" s="982">
        <v>8405.8960000000006</v>
      </c>
      <c r="Z79" s="985">
        <f t="shared" ref="Z79:Z84" si="20">(P79-W79)*1000/invanare</f>
        <v>731.4156693686806</v>
      </c>
      <c r="AA79" s="986">
        <f t="shared" ref="AA79:AA84" si="21">Y79*1000/invanare</f>
        <v>809.87157605598452</v>
      </c>
      <c r="AB79" s="986">
        <v>813.42200000000003</v>
      </c>
      <c r="AC79" s="2277">
        <f t="shared" si="19"/>
        <v>-4.364799506302394E-3</v>
      </c>
      <c r="AD79" s="2213"/>
      <c r="AE79" s="2306">
        <f>F85-F76-F71-F70</f>
        <v>50623.11</v>
      </c>
      <c r="AF79" s="2326">
        <v>7591.58</v>
      </c>
      <c r="AG79" s="2315">
        <v>5247.7759999999998</v>
      </c>
      <c r="AH79" s="1846">
        <f>W79-V79-SUM(Motpart!Y31:Z31)</f>
        <v>814.32499999999993</v>
      </c>
    </row>
    <row r="80" spans="1:34">
      <c r="A80" s="2104" t="s">
        <v>441</v>
      </c>
      <c r="B80" s="886" t="s">
        <v>106</v>
      </c>
      <c r="C80" s="20">
        <v>9045.75</v>
      </c>
      <c r="D80" s="21">
        <v>3365.2379999999998</v>
      </c>
      <c r="E80" s="20">
        <v>189.56800000000001</v>
      </c>
      <c r="F80" s="20">
        <v>8292.5959999999995</v>
      </c>
      <c r="G80" s="20">
        <v>1774.614</v>
      </c>
      <c r="H80" s="21">
        <v>120.343</v>
      </c>
      <c r="I80" s="20">
        <v>303.82600000000002</v>
      </c>
      <c r="J80" s="100">
        <v>32.619999999999997</v>
      </c>
      <c r="K80" s="31"/>
      <c r="L80" s="103">
        <v>452.13099999999997</v>
      </c>
      <c r="M80" s="20">
        <v>1048.203</v>
      </c>
      <c r="N80" s="21">
        <v>105.38</v>
      </c>
      <c r="O80" s="371">
        <v>516.82799999999997</v>
      </c>
      <c r="P80" s="370">
        <f>SUM(C80:O80)</f>
        <v>25247.097000000005</v>
      </c>
      <c r="Q80" s="49"/>
      <c r="R80" s="103">
        <v>62.661999999999999</v>
      </c>
      <c r="S80" s="20">
        <v>36.814</v>
      </c>
      <c r="T80" s="100">
        <v>1688.79</v>
      </c>
      <c r="U80" s="50"/>
      <c r="V80" s="113">
        <v>770.41399999999999</v>
      </c>
      <c r="W80" s="405">
        <f>SUM(R80:V80)</f>
        <v>2558.6800000000003</v>
      </c>
      <c r="X80" s="57"/>
      <c r="Y80" s="1002">
        <v>24311.77</v>
      </c>
      <c r="Z80" s="985">
        <f t="shared" si="20"/>
        <v>2185.9304509603016</v>
      </c>
      <c r="AA80" s="986">
        <f t="shared" si="21"/>
        <v>2342.3334629182427</v>
      </c>
      <c r="AB80" s="1000">
        <v>2238.328</v>
      </c>
      <c r="AC80" s="2276">
        <f t="shared" si="19"/>
        <v>4.6465693552617295E-2</v>
      </c>
      <c r="AD80" s="2213"/>
      <c r="AE80" s="2306">
        <f>H85-H76-H71-H70</f>
        <v>18285.123</v>
      </c>
      <c r="AF80" s="2326">
        <v>22688.405999999999</v>
      </c>
      <c r="AG80" s="2315">
        <v>16063.737999999999</v>
      </c>
      <c r="AH80" s="1846">
        <f>W80-V80-SUM(Motpart!Y33:Z33)</f>
        <v>1623.3570000000004</v>
      </c>
    </row>
    <row r="81" spans="1:34">
      <c r="A81" s="2104" t="s">
        <v>444</v>
      </c>
      <c r="B81" s="886" t="s">
        <v>168</v>
      </c>
      <c r="C81" s="20">
        <v>887.44299999999998</v>
      </c>
      <c r="D81" s="21">
        <v>350.27499999999998</v>
      </c>
      <c r="E81" s="20">
        <v>40.113</v>
      </c>
      <c r="F81" s="20">
        <v>828.68299999999999</v>
      </c>
      <c r="G81" s="20">
        <v>145.38999999999999</v>
      </c>
      <c r="H81" s="21">
        <v>328.245</v>
      </c>
      <c r="I81" s="20">
        <v>261.10300000000001</v>
      </c>
      <c r="J81" s="100">
        <v>5.7770000000000001</v>
      </c>
      <c r="K81" s="31"/>
      <c r="L81" s="103">
        <v>210.346</v>
      </c>
      <c r="M81" s="20">
        <v>237.73699999999999</v>
      </c>
      <c r="N81" s="21">
        <v>10.941000000000001</v>
      </c>
      <c r="O81" s="371">
        <v>64.247</v>
      </c>
      <c r="P81" s="370">
        <f>SUM(C81:O81)</f>
        <v>3370.2999999999997</v>
      </c>
      <c r="Q81" s="49"/>
      <c r="R81" s="103">
        <v>9.5190000000000001</v>
      </c>
      <c r="S81" s="20">
        <v>226.49299999999999</v>
      </c>
      <c r="T81" s="100">
        <v>292.25900000000001</v>
      </c>
      <c r="U81" s="50"/>
      <c r="V81" s="113">
        <v>126.048</v>
      </c>
      <c r="W81" s="405">
        <f>SUM(R81:V81)</f>
        <v>654.31899999999996</v>
      </c>
      <c r="X81" s="57"/>
      <c r="Y81" s="1002">
        <v>3196.538</v>
      </c>
      <c r="Z81" s="985">
        <f t="shared" si="20"/>
        <v>261.67297489858413</v>
      </c>
      <c r="AA81" s="986">
        <f t="shared" si="21"/>
        <v>307.97255497603641</v>
      </c>
      <c r="AB81" s="1000">
        <v>310.15499999999997</v>
      </c>
      <c r="AC81" s="2276">
        <f t="shared" si="19"/>
        <v>-7.0366269251295865E-3</v>
      </c>
      <c r="AD81" s="2213"/>
      <c r="AE81" s="2303"/>
      <c r="AF81" s="2326">
        <v>2715.9850000000001</v>
      </c>
      <c r="AG81" s="2315">
        <v>2087.3229999999999</v>
      </c>
      <c r="AH81" s="1846">
        <f>W81-V81-IFO!G29</f>
        <v>480.54499999999996</v>
      </c>
    </row>
    <row r="82" spans="1:34">
      <c r="A82" s="2104" t="s">
        <v>443</v>
      </c>
      <c r="B82" s="886" t="s">
        <v>107</v>
      </c>
      <c r="C82" s="20">
        <v>2238.5210000000002</v>
      </c>
      <c r="D82" s="21">
        <v>882.10599999999999</v>
      </c>
      <c r="E82" s="20">
        <v>49.558</v>
      </c>
      <c r="F82" s="20">
        <v>42.87</v>
      </c>
      <c r="G82" s="20">
        <v>303.42899999999997</v>
      </c>
      <c r="H82" s="21">
        <v>11341.098</v>
      </c>
      <c r="I82" s="20">
        <v>130.06800000000001</v>
      </c>
      <c r="J82" s="100">
        <v>13.568</v>
      </c>
      <c r="K82" s="31"/>
      <c r="L82" s="103">
        <v>133.90100000000001</v>
      </c>
      <c r="M82" s="20">
        <v>325.88200000000001</v>
      </c>
      <c r="N82" s="21">
        <v>31.132999999999999</v>
      </c>
      <c r="O82" s="371">
        <v>131.57599999999999</v>
      </c>
      <c r="P82" s="370">
        <f>SUM(C82:O82)</f>
        <v>15623.709999999997</v>
      </c>
      <c r="Q82" s="49"/>
      <c r="R82" s="103">
        <v>37.976999999999997</v>
      </c>
      <c r="S82" s="20">
        <v>29.998999999999999</v>
      </c>
      <c r="T82" s="100">
        <v>778.47799999999995</v>
      </c>
      <c r="U82" s="50"/>
      <c r="V82" s="113">
        <v>191.89699999999999</v>
      </c>
      <c r="W82" s="405">
        <f>SUM(R82:V82)</f>
        <v>1038.3509999999999</v>
      </c>
      <c r="X82" s="57"/>
      <c r="Y82" s="1002">
        <v>15419.556</v>
      </c>
      <c r="Z82" s="985">
        <f t="shared" si="20"/>
        <v>1405.2360010964132</v>
      </c>
      <c r="AA82" s="986">
        <f t="shared" si="21"/>
        <v>1485.6072594525929</v>
      </c>
      <c r="AB82" s="1000">
        <v>1432.4780000000001</v>
      </c>
      <c r="AC82" s="2276">
        <f t="shared" si="19"/>
        <v>3.7089057879138666E-2</v>
      </c>
      <c r="AD82" s="2213"/>
      <c r="AE82" s="2303"/>
      <c r="AF82" s="2326">
        <v>14585.378000000001</v>
      </c>
      <c r="AG82" s="2315">
        <v>4047.846</v>
      </c>
      <c r="AH82" s="1846">
        <f>W82-V82-IFO!G30</f>
        <v>834.18499999999995</v>
      </c>
    </row>
    <row r="83" spans="1:34">
      <c r="A83" s="2104" t="s">
        <v>351</v>
      </c>
      <c r="B83" s="872" t="s">
        <v>108</v>
      </c>
      <c r="C83" s="363">
        <f>SUM(C79:C82)</f>
        <v>14756.424999999999</v>
      </c>
      <c r="D83" s="26">
        <f t="shared" ref="D83:J83" si="22">SUM(D79:D82)</f>
        <v>5619.9169999999995</v>
      </c>
      <c r="E83" s="373">
        <f t="shared" si="22"/>
        <v>427.59200000000004</v>
      </c>
      <c r="F83" s="363">
        <f t="shared" si="22"/>
        <v>12223.596</v>
      </c>
      <c r="G83" s="363">
        <f t="shared" si="22"/>
        <v>2609.94</v>
      </c>
      <c r="H83" s="26">
        <f t="shared" si="22"/>
        <v>11941.81</v>
      </c>
      <c r="I83" s="532">
        <f t="shared" si="22"/>
        <v>1173.077</v>
      </c>
      <c r="J83" s="105">
        <f t="shared" si="22"/>
        <v>65.367000000000004</v>
      </c>
      <c r="K83" s="148"/>
      <c r="L83" s="372">
        <f>SUM(L79:L82)</f>
        <v>1157.383</v>
      </c>
      <c r="M83" s="363">
        <f>SUM(M79:M82)</f>
        <v>2195.7829999999999</v>
      </c>
      <c r="N83" s="26">
        <f>SUM(N79:N82)</f>
        <v>169.44399999999999</v>
      </c>
      <c r="O83" s="381">
        <f t="shared" ref="O83" si="23">IF(I$120=0,0,(SUM(C83:E83,G83,I83:M83)-V83)/(SUM(C$110:E$110,G$110,I$110:M$110)-V$110)*I$120)</f>
        <v>888.91368319342735</v>
      </c>
      <c r="P83" s="370">
        <f>SUM(P79:P82)</f>
        <v>53226.791000000005</v>
      </c>
      <c r="Q83" s="49"/>
      <c r="R83" s="372">
        <f>SUM(R79:R82)</f>
        <v>159.77600000000001</v>
      </c>
      <c r="S83" s="363">
        <f>SUM(S79:S82)</f>
        <v>610.02700000000004</v>
      </c>
      <c r="T83" s="105">
        <f>SUM(T79:T82)</f>
        <v>3260.9630000000002</v>
      </c>
      <c r="U83" s="49"/>
      <c r="V83" s="117">
        <f>SUM(V79:V82)</f>
        <v>1614.6890000000001</v>
      </c>
      <c r="W83" s="405">
        <f>SUM(W79:W82)</f>
        <v>5645.4549999999999</v>
      </c>
      <c r="X83" s="57"/>
      <c r="Y83" s="1004">
        <v>51333.754999999997</v>
      </c>
      <c r="Z83" s="985">
        <f>(P83+P84-W83-W84)*1000/invanare</f>
        <v>4676.4306246233491</v>
      </c>
      <c r="AA83" s="986">
        <f>SUM(Y83:Y84)*1000/invanare</f>
        <v>5043.8686827958927</v>
      </c>
      <c r="AB83" s="986">
        <v>4890.5060000000003</v>
      </c>
      <c r="AC83" s="2276">
        <f t="shared" si="19"/>
        <v>3.1359266872567459E-2</v>
      </c>
      <c r="AD83" s="2213"/>
      <c r="AE83" s="2307">
        <f>IF(ISERROR((F83+F84)/((F83+F84)/1000*invanare)),"",((F83+F84)/(AA83/100000*invanare)))</f>
        <v>23.631735229128029</v>
      </c>
      <c r="AF83" s="2326">
        <v>47581.332999999999</v>
      </c>
      <c r="AG83" s="2315">
        <v>27446.681</v>
      </c>
      <c r="AH83" s="1846">
        <f>W83-V83-IFO!G31</f>
        <v>3752.4119999999998</v>
      </c>
    </row>
    <row r="84" spans="1:34">
      <c r="A84" s="2104" t="s">
        <v>450</v>
      </c>
      <c r="B84" s="872" t="s">
        <v>109</v>
      </c>
      <c r="C84" s="23">
        <v>536.649</v>
      </c>
      <c r="D84" s="21">
        <v>209.928</v>
      </c>
      <c r="E84" s="23">
        <v>9.2460000000000004</v>
      </c>
      <c r="F84" s="23">
        <v>148.04300000000001</v>
      </c>
      <c r="G84" s="23">
        <v>70.147999999999996</v>
      </c>
      <c r="H84" s="24">
        <v>5.4989999999999997</v>
      </c>
      <c r="I84" s="23">
        <v>15.472</v>
      </c>
      <c r="J84" s="101">
        <v>1.7390000000000001</v>
      </c>
      <c r="K84" s="30"/>
      <c r="L84" s="104">
        <v>27.009</v>
      </c>
      <c r="M84" s="23">
        <v>56.802999999999997</v>
      </c>
      <c r="N84" s="24">
        <v>4.7460000000000004</v>
      </c>
      <c r="O84" s="371">
        <v>29.792000000000002</v>
      </c>
      <c r="P84" s="370">
        <f>SUM(C84:O84)</f>
        <v>1115.0740000000001</v>
      </c>
      <c r="Q84" s="49"/>
      <c r="R84" s="104">
        <v>12.81</v>
      </c>
      <c r="S84" s="23">
        <v>0.67800000000000005</v>
      </c>
      <c r="T84" s="101">
        <v>113.605</v>
      </c>
      <c r="U84" s="206"/>
      <c r="V84" s="114">
        <v>31.263999999999999</v>
      </c>
      <c r="W84" s="405">
        <f>SUM(R84:V84)</f>
        <v>158.357</v>
      </c>
      <c r="X84" s="57"/>
      <c r="Y84" s="1002">
        <v>1018.046</v>
      </c>
      <c r="Z84" s="985">
        <f t="shared" si="20"/>
        <v>92.175528299369091</v>
      </c>
      <c r="AA84" s="986">
        <f t="shared" si="21"/>
        <v>98.084311121323751</v>
      </c>
      <c r="AB84" s="1000">
        <v>96.125</v>
      </c>
      <c r="AC84" s="2276">
        <f t="shared" si="19"/>
        <v>2.0382950546931084E-2</v>
      </c>
      <c r="AD84" s="2213"/>
      <c r="AE84" s="2303">
        <f>IF(ISERROR(F83+F84/(F83+F84/1000*invanare)),"",(SUM(Motpart!D31,Motpart!D33,Motpart!D35,Motpart!F31,Motpart!F33,Motpart!F35)/(AA83/100000*invanare)))</f>
        <v>19.254926874435512</v>
      </c>
      <c r="AF84" s="2326">
        <v>956.71699999999998</v>
      </c>
      <c r="AG84" s="2315">
        <v>930.26700000000005</v>
      </c>
      <c r="AH84" s="1846">
        <f>W84-V84-SUM(IFO!G33:G34)</f>
        <v>61.334000000000003</v>
      </c>
    </row>
    <row r="85" spans="1:34" ht="13.5" thickBot="1">
      <c r="A85" s="2117" t="s">
        <v>352</v>
      </c>
      <c r="B85" s="877" t="s">
        <v>110</v>
      </c>
      <c r="C85" s="377">
        <f t="shared" ref="C85:J85" si="24">SUM(C70:C71,C77,C83,C84)</f>
        <v>108741.40700000001</v>
      </c>
      <c r="D85" s="378">
        <f t="shared" si="24"/>
        <v>42482.359000000004</v>
      </c>
      <c r="E85" s="374">
        <f t="shared" si="24"/>
        <v>8411.3189999999995</v>
      </c>
      <c r="F85" s="377">
        <f t="shared" si="24"/>
        <v>52329.178</v>
      </c>
      <c r="G85" s="377">
        <f t="shared" si="24"/>
        <v>10594.436</v>
      </c>
      <c r="H85" s="378">
        <f t="shared" si="24"/>
        <v>18321.251</v>
      </c>
      <c r="I85" s="377">
        <f t="shared" si="24"/>
        <v>7819.7169999999996</v>
      </c>
      <c r="J85" s="379">
        <f t="shared" si="24"/>
        <v>881.28200000000004</v>
      </c>
      <c r="K85" s="148"/>
      <c r="L85" s="380">
        <f>SUM(L70:L71,L77,L83,L84)</f>
        <v>9844.5749999999989</v>
      </c>
      <c r="M85" s="377">
        <f>SUM(M70:M71,M77,M83,M84)</f>
        <v>29689.415000000001</v>
      </c>
      <c r="N85" s="378">
        <f>SUM(N70:N71,N77,N83,N84)</f>
        <v>1062.1470000000002</v>
      </c>
      <c r="O85" s="378">
        <f>SUM(O70:O71,O77,O83,O84)</f>
        <v>6465.9716831934284</v>
      </c>
      <c r="P85" s="379">
        <f>SUM(P70:P71,P77,P83,P84)</f>
        <v>296640.60100000002</v>
      </c>
      <c r="Q85" s="49"/>
      <c r="R85" s="380">
        <f>SUM(R70:R71,R77,R83,R84)</f>
        <v>6165.0640000000003</v>
      </c>
      <c r="S85" s="377">
        <f>SUM(S70:S71,S77,S83,S84)</f>
        <v>6669.6050000000005</v>
      </c>
      <c r="T85" s="379">
        <f>SUM(T70:T71,T77,T83,T84)</f>
        <v>25643.035999999996</v>
      </c>
      <c r="U85" s="49"/>
      <c r="V85" s="407">
        <f>SUM(V70:V71,V77,V83,V84)</f>
        <v>22996.973999999998</v>
      </c>
      <c r="W85" s="406">
        <f>SUM(W70:W71,W77,W83,W84)</f>
        <v>61474.679000000004</v>
      </c>
      <c r="X85" s="57"/>
      <c r="Y85" s="1510">
        <v>272639.57299999997</v>
      </c>
      <c r="Z85" s="987"/>
      <c r="AA85" s="988"/>
      <c r="AB85" s="989"/>
      <c r="AC85" s="2279"/>
      <c r="AD85" s="2213"/>
      <c r="AE85" s="2309">
        <f>IF(ISERROR((F83)/((F83)/1000*invanare)),"",SUM(AA77,AA83)*100/AA90)</f>
        <v>39.276612819604999</v>
      </c>
      <c r="AF85" s="2327">
        <v>235165.92300000001</v>
      </c>
      <c r="AG85" s="2316">
        <v>202993.185</v>
      </c>
      <c r="AH85" s="1848">
        <f>SUM(AH70,AH71,AH77,AH83,AH84)</f>
        <v>37473.631999999998</v>
      </c>
    </row>
    <row r="86" spans="1:34" ht="40.5" customHeight="1" thickBot="1">
      <c r="A86" s="2126"/>
      <c r="B86" s="881" t="s">
        <v>111</v>
      </c>
      <c r="C86" s="450"/>
      <c r="D86" s="449"/>
      <c r="E86" s="447"/>
      <c r="F86" s="447"/>
      <c r="G86" s="447"/>
      <c r="H86" s="449"/>
      <c r="I86" s="447"/>
      <c r="J86" s="448"/>
      <c r="K86" s="31"/>
      <c r="L86" s="446"/>
      <c r="M86" s="447"/>
      <c r="N86" s="449"/>
      <c r="O86" s="449"/>
      <c r="P86" s="448"/>
      <c r="Q86" s="50"/>
      <c r="R86" s="446"/>
      <c r="S86" s="447"/>
      <c r="T86" s="448"/>
      <c r="U86" s="50"/>
      <c r="V86" s="444"/>
      <c r="W86" s="445"/>
      <c r="X86" s="31"/>
      <c r="Y86" s="1653" t="s">
        <v>980</v>
      </c>
      <c r="Z86" s="2529"/>
      <c r="AA86" s="2527"/>
      <c r="AB86" s="2527"/>
      <c r="AC86" s="2528"/>
      <c r="AD86" s="2213"/>
      <c r="AE86" s="2310">
        <f>IF(ISERROR((F83)/((F83)/1000*invanare)),"",(F83/((AA83-AA84)/100000*invanare)))</f>
        <v>23.812004401392418</v>
      </c>
      <c r="AF86" s="2328"/>
      <c r="AG86" s="2317"/>
      <c r="AH86" s="1847"/>
    </row>
    <row r="87" spans="1:34">
      <c r="A87" s="2104" t="s">
        <v>258</v>
      </c>
      <c r="B87" s="874" t="s">
        <v>113</v>
      </c>
      <c r="C87" s="20">
        <v>1778.423</v>
      </c>
      <c r="D87" s="21">
        <v>668.52700000000004</v>
      </c>
      <c r="E87" s="20">
        <v>73.673000000000002</v>
      </c>
      <c r="F87" s="20">
        <v>1133.6579999999999</v>
      </c>
      <c r="G87" s="20">
        <v>358.02</v>
      </c>
      <c r="H87" s="21">
        <v>908.83900000000006</v>
      </c>
      <c r="I87" s="20">
        <v>635.98500000000001</v>
      </c>
      <c r="J87" s="100">
        <v>21.2</v>
      </c>
      <c r="K87" s="31"/>
      <c r="L87" s="103">
        <v>516.04899999999998</v>
      </c>
      <c r="M87" s="20">
        <v>533.29499999999996</v>
      </c>
      <c r="N87" s="21">
        <v>28.709</v>
      </c>
      <c r="O87" s="371">
        <v>152.28399999999999</v>
      </c>
      <c r="P87" s="370">
        <f>SUM(C87:O87)</f>
        <v>6808.6619999999984</v>
      </c>
      <c r="Q87" s="49"/>
      <c r="R87" s="103">
        <v>8.2959999999999994</v>
      </c>
      <c r="S87" s="20">
        <v>396.017</v>
      </c>
      <c r="T87" s="100">
        <v>5340.7439999999997</v>
      </c>
      <c r="U87" s="50"/>
      <c r="V87" s="113">
        <v>250.99100000000001</v>
      </c>
      <c r="W87" s="405">
        <f>SUM(R87:V87)</f>
        <v>5996.0479999999998</v>
      </c>
      <c r="X87" s="57"/>
      <c r="Y87" s="982">
        <v>6493.6040000000003</v>
      </c>
      <c r="Z87" s="985">
        <f>(P87-W87)*1000/invanare</f>
        <v>78.291830032771855</v>
      </c>
      <c r="AA87" s="986">
        <f>Y87*1000/invanare</f>
        <v>625.63054619798356</v>
      </c>
      <c r="AB87" s="1008">
        <v>950.18899999999996</v>
      </c>
      <c r="AC87" s="2277">
        <f>IF(ISERROR((AA87-AB87)/AB87)," ",((AA87-AB87)/AB87))</f>
        <v>-0.34157252273181066</v>
      </c>
      <c r="AD87" s="2213"/>
      <c r="AE87" s="2303"/>
      <c r="AF87" s="2326">
        <v>812.59500000000003</v>
      </c>
      <c r="AG87" s="2315">
        <v>4515.1610000000001</v>
      </c>
      <c r="AH87" s="1846">
        <f>W87-V87-SUM(Motpart!Y36:Z36)</f>
        <v>5681.0039999999999</v>
      </c>
    </row>
    <row r="88" spans="1:34">
      <c r="A88" s="2104" t="s">
        <v>259</v>
      </c>
      <c r="B88" s="872" t="s">
        <v>114</v>
      </c>
      <c r="C88" s="23">
        <v>5565.3239999999996</v>
      </c>
      <c r="D88" s="21">
        <v>2160.8530000000001</v>
      </c>
      <c r="E88" s="23">
        <v>251.767</v>
      </c>
      <c r="F88" s="23">
        <v>169.917</v>
      </c>
      <c r="G88" s="23">
        <v>391.44499999999999</v>
      </c>
      <c r="H88" s="24">
        <v>155.059</v>
      </c>
      <c r="I88" s="23">
        <v>219.48</v>
      </c>
      <c r="J88" s="101">
        <v>23.283999999999999</v>
      </c>
      <c r="K88" s="31"/>
      <c r="L88" s="104">
        <v>245.64599999999999</v>
      </c>
      <c r="M88" s="23">
        <v>528.45000000000005</v>
      </c>
      <c r="N88" s="24">
        <v>49.094000000000001</v>
      </c>
      <c r="O88" s="371">
        <v>292.88200000000001</v>
      </c>
      <c r="P88" s="370">
        <f>SUM(C88:O88)</f>
        <v>10053.200999999999</v>
      </c>
      <c r="Q88" s="49"/>
      <c r="R88" s="104">
        <v>13.894</v>
      </c>
      <c r="S88" s="23">
        <v>5.1820000000000004</v>
      </c>
      <c r="T88" s="101">
        <v>4293.6099999999997</v>
      </c>
      <c r="U88" s="50"/>
      <c r="V88" s="114">
        <v>675.18499999999995</v>
      </c>
      <c r="W88" s="405">
        <f>SUM(R88:V88)</f>
        <v>4987.8709999999992</v>
      </c>
      <c r="X88" s="57"/>
      <c r="Y88" s="1651">
        <v>9330.9719999999998</v>
      </c>
      <c r="Z88" s="985">
        <f>(P88-W88)*1000/invanare</f>
        <v>488.02254873765509</v>
      </c>
      <c r="AA88" s="986">
        <f>Y88*1000/invanare</f>
        <v>898.99863140993682</v>
      </c>
      <c r="AB88" s="1008">
        <v>975.86</v>
      </c>
      <c r="AC88" s="2277">
        <f>IF(ISERROR((AA88-AB88)/AB88)," ",((AA88-AB88)/AB88))</f>
        <v>-7.8762700172220604E-2</v>
      </c>
      <c r="AD88" s="2213"/>
      <c r="AE88" s="2303"/>
      <c r="AF88" s="2326">
        <v>5065.34</v>
      </c>
      <c r="AG88" s="2315">
        <v>9053.0480000000007</v>
      </c>
      <c r="AH88" s="1846">
        <f>W88-V88-SUM(Motpart!Y37:Z37)</f>
        <v>4265.643</v>
      </c>
    </row>
    <row r="89" spans="1:34" ht="12.75" customHeight="1" thickBot="1">
      <c r="A89" s="2117" t="s">
        <v>260</v>
      </c>
      <c r="B89" s="877" t="s">
        <v>115</v>
      </c>
      <c r="C89" s="383">
        <f>SUM(C87:C88)</f>
        <v>7343.7469999999994</v>
      </c>
      <c r="D89" s="384">
        <f t="shared" ref="D89:P89" si="25">SUM(D87:D88)</f>
        <v>2829.38</v>
      </c>
      <c r="E89" s="383">
        <f t="shared" si="25"/>
        <v>325.44</v>
      </c>
      <c r="F89" s="383">
        <f t="shared" si="25"/>
        <v>1303.5749999999998</v>
      </c>
      <c r="G89" s="383">
        <f t="shared" si="25"/>
        <v>749.46499999999992</v>
      </c>
      <c r="H89" s="384">
        <f t="shared" si="25"/>
        <v>1063.8980000000001</v>
      </c>
      <c r="I89" s="383">
        <f t="shared" si="25"/>
        <v>855.46500000000003</v>
      </c>
      <c r="J89" s="385">
        <f t="shared" si="25"/>
        <v>44.483999999999995</v>
      </c>
      <c r="K89" s="149"/>
      <c r="L89" s="382">
        <f>SUM(L87:L88)</f>
        <v>761.69499999999994</v>
      </c>
      <c r="M89" s="383">
        <f t="shared" si="25"/>
        <v>1061.7449999999999</v>
      </c>
      <c r="N89" s="384">
        <f t="shared" si="25"/>
        <v>77.802999999999997</v>
      </c>
      <c r="O89" s="384">
        <f t="shared" si="25"/>
        <v>445.166</v>
      </c>
      <c r="P89" s="385">
        <f t="shared" si="25"/>
        <v>16861.862999999998</v>
      </c>
      <c r="Q89" s="52"/>
      <c r="R89" s="382">
        <f>SUM(R87:R88)</f>
        <v>22.189999999999998</v>
      </c>
      <c r="S89" s="383">
        <f>SUM(S87:S88)</f>
        <v>401.19900000000001</v>
      </c>
      <c r="T89" s="385">
        <f>SUM(T87:T88)</f>
        <v>9634.3539999999994</v>
      </c>
      <c r="U89" s="52"/>
      <c r="V89" s="409">
        <f>SUM(V87:V88)</f>
        <v>926.17599999999993</v>
      </c>
      <c r="W89" s="408">
        <f>SUM(W87:W88)</f>
        <v>10983.918999999998</v>
      </c>
      <c r="X89" s="58"/>
      <c r="Y89" s="1651">
        <v>15824.576999999999</v>
      </c>
      <c r="Z89" s="1010">
        <f>(P89-W89)*1000/invanare</f>
        <v>566.31437877042697</v>
      </c>
      <c r="AA89" s="1011">
        <f>Y89*1000/invanare</f>
        <v>1524.6292739535777</v>
      </c>
      <c r="AB89" s="983">
        <v>1926.048</v>
      </c>
      <c r="AC89" s="2289">
        <f>IF(ISERROR((AA89-AB89)/AB89)," ",((AA89-AB89)/AB89))</f>
        <v>-0.20841574355697381</v>
      </c>
      <c r="AD89" s="2213"/>
      <c r="AE89" s="2303"/>
      <c r="AF89" s="2333">
        <v>5877.9260000000004</v>
      </c>
      <c r="AG89" s="2320">
        <v>13568.21</v>
      </c>
      <c r="AH89" s="1851">
        <f>W89-V89-SUM(Motpart!Y36:Z37)</f>
        <v>9946.646999999999</v>
      </c>
    </row>
    <row r="90" spans="1:34" ht="12.75" customHeight="1" thickBot="1">
      <c r="A90" s="2117" t="s">
        <v>261</v>
      </c>
      <c r="B90" s="877" t="s">
        <v>22</v>
      </c>
      <c r="C90" s="377">
        <f t="shared" ref="C90:J90" si="26">SUM(C17,C30,C43,C68,C85,C89)</f>
        <v>263288.57</v>
      </c>
      <c r="D90" s="378">
        <f t="shared" si="26"/>
        <v>103328.588</v>
      </c>
      <c r="E90" s="377">
        <f t="shared" si="26"/>
        <v>26325.184000000001</v>
      </c>
      <c r="F90" s="377">
        <f t="shared" si="26"/>
        <v>132140.666</v>
      </c>
      <c r="G90" s="377">
        <f t="shared" si="26"/>
        <v>36336.91399999999</v>
      </c>
      <c r="H90" s="378">
        <f t="shared" si="26"/>
        <v>27560.227000000003</v>
      </c>
      <c r="I90" s="377">
        <f t="shared" si="26"/>
        <v>21668.022000000001</v>
      </c>
      <c r="J90" s="379">
        <f t="shared" si="26"/>
        <v>13034.469000000001</v>
      </c>
      <c r="K90" s="148"/>
      <c r="L90" s="380">
        <f>SUM(L17,L30,L43,L68,L85,L89)</f>
        <v>40462.398999999998</v>
      </c>
      <c r="M90" s="377">
        <f>SUM(M17,M30,M43,M68,M85,M89)</f>
        <v>87766.904999999999</v>
      </c>
      <c r="N90" s="378">
        <f>SUM(N17,N30,N43,N68,N85,N89)</f>
        <v>2900.3460000000005</v>
      </c>
      <c r="O90" s="378">
        <f>SUM(O17,O30,O43,O68,O85,O89)</f>
        <v>17587.293683193431</v>
      </c>
      <c r="P90" s="379">
        <f>SUM(P17,P30,P43,P68,P85,P89)</f>
        <v>772397.12699999998</v>
      </c>
      <c r="Q90" s="49"/>
      <c r="R90" s="380">
        <f>SUM(R17,R30,R43,R68,R85,R89)</f>
        <v>24017.190999999995</v>
      </c>
      <c r="S90" s="377">
        <f>SUM(S17,S30,S43,S68,S85,S89)</f>
        <v>8032.3220000000001</v>
      </c>
      <c r="T90" s="379">
        <f>SUM(T17,T30,T43,T68,T85,T89)</f>
        <v>85076.011999999988</v>
      </c>
      <c r="U90" s="49"/>
      <c r="V90" s="407">
        <f>SUM(V17,V30,V43,V68,V85,V89)</f>
        <v>68729.259000000005</v>
      </c>
      <c r="W90" s="406">
        <f>SUM(W17,W30,W43,W68,W85,W89)</f>
        <v>185854.78399999999</v>
      </c>
      <c r="X90" s="57"/>
      <c r="Y90" s="1009">
        <v>690553.63800000004</v>
      </c>
      <c r="Z90" s="1010">
        <f>(P90-W90)*1000/invanare</f>
        <v>56510.80762229034</v>
      </c>
      <c r="AA90" s="1011">
        <f>SUM(AA17,AA30,AA37,AA42,AA51,AA67,AA77,AA83,AA89)</f>
        <v>66307.572335115241</v>
      </c>
      <c r="AB90" s="983">
        <v>65268.192999999999</v>
      </c>
      <c r="AC90" s="2289">
        <f>IF(ISERROR((AA90-AB90)/AB90)," ",((AA90-AB90)/AB90))</f>
        <v>1.592474507629224E-2</v>
      </c>
      <c r="AD90" s="2213"/>
      <c r="AE90" s="2311">
        <f>IF(ISERROR(F90/(AA90/1000*invanare)),"",(F90/(AA90/100000*invanare)))</f>
        <v>19.200189186731716</v>
      </c>
      <c r="AF90" s="2334">
        <v>586542.31400000001</v>
      </c>
      <c r="AG90" s="2321">
        <v>543967.005</v>
      </c>
      <c r="AH90" s="1852">
        <f>SUM(AH17,AH30,AH43,AH51,AH67,AH85,AH89)</f>
        <v>104011.22600000001</v>
      </c>
    </row>
    <row r="91" spans="1:34" ht="38.25" customHeight="1" thickBot="1">
      <c r="A91" s="2121"/>
      <c r="B91" s="878" t="s">
        <v>116</v>
      </c>
      <c r="C91" s="454"/>
      <c r="D91" s="455"/>
      <c r="E91" s="456"/>
      <c r="F91" s="456"/>
      <c r="G91" s="456"/>
      <c r="H91" s="455"/>
      <c r="I91" s="456"/>
      <c r="J91" s="457"/>
      <c r="K91" s="31"/>
      <c r="L91" s="462"/>
      <c r="M91" s="456"/>
      <c r="N91" s="455"/>
      <c r="O91" s="455"/>
      <c r="P91" s="457"/>
      <c r="Q91" s="50"/>
      <c r="R91" s="462"/>
      <c r="S91" s="456"/>
      <c r="T91" s="457"/>
      <c r="U91" s="50"/>
      <c r="V91" s="464"/>
      <c r="W91" s="465"/>
      <c r="X91" s="31"/>
      <c r="Y91" s="1653" t="s">
        <v>983</v>
      </c>
      <c r="Z91" s="2529"/>
      <c r="AA91" s="2527"/>
      <c r="AB91" s="2527"/>
      <c r="AC91" s="2528"/>
      <c r="AD91" s="2213"/>
      <c r="AE91" s="2303">
        <f>IF(ISERROR(F90/(AA90/1000*invanare)),"",((SUM(Motpart!D40,Motpart!F40)-SUM(Motpart!D38,Motpart!D39,Motpart!F38,Motpart!F39))/(AA90/100000*invanare)))</f>
        <v>15.16538043338314</v>
      </c>
      <c r="AF91" s="2329"/>
      <c r="AG91" s="2318"/>
      <c r="AH91" s="1849"/>
    </row>
    <row r="92" spans="1:34">
      <c r="A92" s="2121"/>
      <c r="B92" s="878" t="s">
        <v>117</v>
      </c>
      <c r="C92" s="458"/>
      <c r="D92" s="459"/>
      <c r="E92" s="460"/>
      <c r="F92" s="460"/>
      <c r="G92" s="460"/>
      <c r="H92" s="459"/>
      <c r="I92" s="460"/>
      <c r="J92" s="461"/>
      <c r="K92" s="31"/>
      <c r="L92" s="463"/>
      <c r="M92" s="460"/>
      <c r="N92" s="459"/>
      <c r="O92" s="459"/>
      <c r="P92" s="461"/>
      <c r="Q92" s="50"/>
      <c r="R92" s="463"/>
      <c r="S92" s="460"/>
      <c r="T92" s="461"/>
      <c r="U92" s="50"/>
      <c r="V92" s="466"/>
      <c r="W92" s="467"/>
      <c r="X92" s="31"/>
      <c r="Y92" s="1507"/>
      <c r="Z92" s="978"/>
      <c r="AA92" s="978"/>
      <c r="AB92" s="979"/>
      <c r="AC92" s="2274"/>
      <c r="AD92" s="2213"/>
      <c r="AE92" s="2306">
        <f>(C113-C109+D113-D109)*1000/invanare</f>
        <v>38379.570674116119</v>
      </c>
      <c r="AF92" s="2332"/>
      <c r="AG92" s="2319"/>
      <c r="AH92" s="1850"/>
    </row>
    <row r="93" spans="1:34" s="538" customFormat="1">
      <c r="A93" s="2127" t="s">
        <v>262</v>
      </c>
      <c r="B93" s="887" t="s">
        <v>118</v>
      </c>
      <c r="C93" s="66">
        <v>137.23699999999999</v>
      </c>
      <c r="D93" s="1386">
        <v>62.780999999999999</v>
      </c>
      <c r="E93" s="66">
        <v>342.625</v>
      </c>
      <c r="F93" s="66">
        <v>29.632000000000001</v>
      </c>
      <c r="G93" s="66">
        <v>433.87299999999999</v>
      </c>
      <c r="H93" s="1386">
        <v>11.586</v>
      </c>
      <c r="I93" s="66">
        <v>234.21899999999999</v>
      </c>
      <c r="J93" s="99">
        <v>525.80200000000002</v>
      </c>
      <c r="K93" s="534"/>
      <c r="L93" s="439">
        <v>85.08</v>
      </c>
      <c r="M93" s="66">
        <v>177.90600000000001</v>
      </c>
      <c r="N93" s="1386">
        <v>1.575</v>
      </c>
      <c r="O93" s="1387">
        <v>58.112000000000002</v>
      </c>
      <c r="P93" s="436">
        <f>SUM(C93:O93)</f>
        <v>2100.4279999999999</v>
      </c>
      <c r="Q93" s="535"/>
      <c r="R93" s="439">
        <v>39.442999999999998</v>
      </c>
      <c r="S93" s="66">
        <v>980.50699999999995</v>
      </c>
      <c r="T93" s="99">
        <v>1745.6679999999999</v>
      </c>
      <c r="U93" s="536"/>
      <c r="V93" s="1388">
        <v>696.88900000000001</v>
      </c>
      <c r="W93" s="1389">
        <f>SUM(R93:V93)</f>
        <v>3462.5070000000001</v>
      </c>
      <c r="X93" s="537"/>
      <c r="Y93" s="982">
        <v>1400.7380000000001</v>
      </c>
      <c r="Z93" s="1012"/>
      <c r="AA93" s="1013"/>
      <c r="AB93" s="1013"/>
      <c r="AC93" s="2290"/>
      <c r="AD93" s="2213"/>
      <c r="AE93" s="2312">
        <f>IF(ISERROR(F90/(AA90/1000*invanare)),"",AE92*invanare/10/(P125-P109+J109))</f>
        <v>56.889277024501162</v>
      </c>
      <c r="AF93" s="2326">
        <v>-1362.0930000000001</v>
      </c>
      <c r="AG93" s="2315">
        <v>1362.307</v>
      </c>
      <c r="AH93" s="1846">
        <f>W93-V93-(IF(AND(Motpart!$Y$38="",Motpart!$Z$38=""),0,IF(AND(Motpart!$Y$38=0,Motpart!$Z$38=0),0,((T93/$T$109)*(Motpart!$Y$38+Motpart!$Z$38)))))</f>
        <v>2729.0613025911239</v>
      </c>
    </row>
    <row r="94" spans="1:34">
      <c r="A94" s="2104" t="s">
        <v>263</v>
      </c>
      <c r="B94" s="872" t="s">
        <v>23</v>
      </c>
      <c r="C94" s="23">
        <v>35.412999999999997</v>
      </c>
      <c r="D94" s="21">
        <v>13.84</v>
      </c>
      <c r="E94" s="23">
        <v>56.392000000000003</v>
      </c>
      <c r="F94" s="23">
        <v>13.303000000000001</v>
      </c>
      <c r="G94" s="23">
        <v>45.898000000000003</v>
      </c>
      <c r="H94" s="24">
        <v>2.9380000000000002</v>
      </c>
      <c r="I94" s="23">
        <v>2.944</v>
      </c>
      <c r="J94" s="101">
        <v>385.66300000000001</v>
      </c>
      <c r="K94" s="31"/>
      <c r="L94" s="104">
        <v>5.9850000000000003</v>
      </c>
      <c r="M94" s="23">
        <v>112.499</v>
      </c>
      <c r="N94" s="24">
        <v>0.3</v>
      </c>
      <c r="O94" s="371">
        <v>14.378</v>
      </c>
      <c r="P94" s="370">
        <f>SUM(C94:O94)</f>
        <v>689.553</v>
      </c>
      <c r="Q94" s="49"/>
      <c r="R94" s="104">
        <v>110.369</v>
      </c>
      <c r="S94" s="23">
        <v>24.204000000000001</v>
      </c>
      <c r="T94" s="101">
        <v>361.86200000000002</v>
      </c>
      <c r="U94" s="50"/>
      <c r="V94" s="114">
        <v>94.236999999999995</v>
      </c>
      <c r="W94" s="405">
        <f>SUM(R94:V94)</f>
        <v>590.67200000000003</v>
      </c>
      <c r="X94" s="57"/>
      <c r="Y94" s="982">
        <v>588.68700000000001</v>
      </c>
      <c r="Z94" s="1005"/>
      <c r="AA94" s="1006"/>
      <c r="AB94" s="1007"/>
      <c r="AC94" s="2291"/>
      <c r="AD94" s="2213"/>
      <c r="AE94" s="2303"/>
      <c r="AF94" s="2326">
        <v>98.879000000000005</v>
      </c>
      <c r="AG94" s="2315">
        <v>579.07500000000005</v>
      </c>
      <c r="AH94" s="1846">
        <f>W94-V94-(IF(AND(Motpart!$Y$38="",Motpart!$Z$38=""),0,IF(AND(Motpart!$Y$38=0,Motpart!$Z$38=0),0,((T94/$T$109)*(Motpart!$Y$38+Motpart!$Z$38)))))</f>
        <v>488.85711025362747</v>
      </c>
    </row>
    <row r="95" spans="1:34">
      <c r="A95" s="2104" t="s">
        <v>264</v>
      </c>
      <c r="B95" s="872" t="s">
        <v>24</v>
      </c>
      <c r="C95" s="23">
        <v>197.40700000000001</v>
      </c>
      <c r="D95" s="21">
        <v>75.856999999999999</v>
      </c>
      <c r="E95" s="23">
        <v>264.24700000000001</v>
      </c>
      <c r="F95" s="23">
        <v>69.507999999999996</v>
      </c>
      <c r="G95" s="23">
        <v>324.78399999999999</v>
      </c>
      <c r="H95" s="24">
        <v>20.54</v>
      </c>
      <c r="I95" s="23">
        <v>56.771999999999998</v>
      </c>
      <c r="J95" s="101">
        <v>270.49599999999998</v>
      </c>
      <c r="K95" s="31"/>
      <c r="L95" s="104">
        <v>30.202000000000002</v>
      </c>
      <c r="M95" s="23">
        <v>177.977</v>
      </c>
      <c r="N95" s="24">
        <v>2.5630000000000002</v>
      </c>
      <c r="O95" s="371">
        <v>28.818999999999999</v>
      </c>
      <c r="P95" s="370">
        <f>SUM(C95:O95)</f>
        <v>1519.172</v>
      </c>
      <c r="Q95" s="49"/>
      <c r="R95" s="104">
        <v>175.386</v>
      </c>
      <c r="S95" s="23">
        <v>230.221</v>
      </c>
      <c r="T95" s="101">
        <v>1155.8389999999999</v>
      </c>
      <c r="U95" s="50"/>
      <c r="V95" s="114">
        <v>471.06799999999998</v>
      </c>
      <c r="W95" s="405">
        <f>SUM(R95:V95)</f>
        <v>2032.5139999999999</v>
      </c>
      <c r="X95" s="57"/>
      <c r="Y95" s="982">
        <v>1013.3440000000001</v>
      </c>
      <c r="Z95" s="1005"/>
      <c r="AA95" s="1006"/>
      <c r="AB95" s="1007"/>
      <c r="AC95" s="2291"/>
      <c r="AD95" s="2213"/>
      <c r="AE95" s="2303"/>
      <c r="AF95" s="2326">
        <v>-513.34500000000003</v>
      </c>
      <c r="AG95" s="2315">
        <v>958.06399999999996</v>
      </c>
      <c r="AH95" s="1846">
        <f>W95-V95-(IF(AND(Motpart!$Y$38="",Motpart!$Z$38=""),0,IF(AND(Motpart!$Y$38=0,Motpart!$Z$38=0),0,((T95/$T$109)*(Motpart!$Y$38+Motpart!$Z$38)))))</f>
        <v>1537.2411359729467</v>
      </c>
    </row>
    <row r="96" spans="1:34">
      <c r="A96" s="2104" t="s">
        <v>265</v>
      </c>
      <c r="B96" s="872" t="s">
        <v>25</v>
      </c>
      <c r="C96" s="23">
        <v>172.655</v>
      </c>
      <c r="D96" s="21">
        <v>76.194999999999993</v>
      </c>
      <c r="E96" s="23">
        <v>282.77600000000001</v>
      </c>
      <c r="F96" s="23">
        <v>12.708</v>
      </c>
      <c r="G96" s="23">
        <v>222.27199999999999</v>
      </c>
      <c r="H96" s="24">
        <v>17.161000000000001</v>
      </c>
      <c r="I96" s="23">
        <v>633.47299999999996</v>
      </c>
      <c r="J96" s="101">
        <v>1566.27</v>
      </c>
      <c r="K96" s="31"/>
      <c r="L96" s="104">
        <v>100</v>
      </c>
      <c r="M96" s="23">
        <v>210.66200000000001</v>
      </c>
      <c r="N96" s="24">
        <v>-3.8450000000000002</v>
      </c>
      <c r="O96" s="371">
        <v>145.077</v>
      </c>
      <c r="P96" s="370">
        <f>SUM(C96:O96)</f>
        <v>3435.4040000000005</v>
      </c>
      <c r="Q96" s="49"/>
      <c r="R96" s="104">
        <v>15.635999999999999</v>
      </c>
      <c r="S96" s="23">
        <v>820.62699999999995</v>
      </c>
      <c r="T96" s="101">
        <v>2190.4340000000002</v>
      </c>
      <c r="U96" s="50"/>
      <c r="V96" s="114">
        <v>325.34500000000003</v>
      </c>
      <c r="W96" s="405">
        <f>SUM(R96:V96)</f>
        <v>3352.0420000000004</v>
      </c>
      <c r="X96" s="57"/>
      <c r="Y96" s="982">
        <v>3088.5880000000002</v>
      </c>
      <c r="Z96" s="1005"/>
      <c r="AA96" s="1006"/>
      <c r="AB96" s="1007"/>
      <c r="AC96" s="2291"/>
      <c r="AD96" s="2213"/>
      <c r="AE96" s="2303"/>
      <c r="AF96" s="2326">
        <v>83.367999999999995</v>
      </c>
      <c r="AG96" s="2315">
        <v>3080.1959999999999</v>
      </c>
      <c r="AH96" s="1846">
        <f>W96-V96-(IF(AND(Motpart!$Y$38="",Motpart!$Z$38=""),0,IF(AND(Motpart!$Y$38=0,Motpart!$Z$38=0),0,((T96/$T$109)*(Motpart!$Y$38+Motpart!$Z$38)))))</f>
        <v>2980.826288655051</v>
      </c>
    </row>
    <row r="97" spans="1:34">
      <c r="A97" s="2104" t="s">
        <v>266</v>
      </c>
      <c r="B97" s="872" t="s">
        <v>26</v>
      </c>
      <c r="C97" s="363">
        <f>SUM(C93:C96)</f>
        <v>542.71199999999999</v>
      </c>
      <c r="D97" s="26">
        <f t="shared" ref="D97:P97" si="27">SUM(D93:D96)</f>
        <v>228.673</v>
      </c>
      <c r="E97" s="363">
        <f t="shared" si="27"/>
        <v>946.04</v>
      </c>
      <c r="F97" s="363">
        <f t="shared" si="27"/>
        <v>125.151</v>
      </c>
      <c r="G97" s="363">
        <f t="shared" si="27"/>
        <v>1026.827</v>
      </c>
      <c r="H97" s="26">
        <f t="shared" si="27"/>
        <v>52.225000000000001</v>
      </c>
      <c r="I97" s="363">
        <f t="shared" si="27"/>
        <v>927.4079999999999</v>
      </c>
      <c r="J97" s="105">
        <f t="shared" si="27"/>
        <v>2748.2309999999998</v>
      </c>
      <c r="K97" s="148"/>
      <c r="L97" s="372">
        <f>SUM(L93:L96)</f>
        <v>221.267</v>
      </c>
      <c r="M97" s="363">
        <f t="shared" si="27"/>
        <v>679.04399999999998</v>
      </c>
      <c r="N97" s="26">
        <f t="shared" si="27"/>
        <v>0.59300000000000042</v>
      </c>
      <c r="O97" s="26">
        <f t="shared" si="27"/>
        <v>246.38600000000002</v>
      </c>
      <c r="P97" s="105">
        <f t="shared" si="27"/>
        <v>7744.5570000000007</v>
      </c>
      <c r="Q97" s="49"/>
      <c r="R97" s="372">
        <f>SUM(R93:R96)</f>
        <v>340.834</v>
      </c>
      <c r="S97" s="363">
        <f>SUM(S93:S96)</f>
        <v>2055.5589999999997</v>
      </c>
      <c r="T97" s="105">
        <f>SUM(T93:T96)</f>
        <v>5453.8029999999999</v>
      </c>
      <c r="U97" s="50"/>
      <c r="V97" s="117">
        <f>SUM(V93:V96)</f>
        <v>1587.539</v>
      </c>
      <c r="W97" s="118">
        <f>SUM(W93:W96)</f>
        <v>9437.7350000000006</v>
      </c>
      <c r="X97" s="57"/>
      <c r="Y97" s="982">
        <v>6091.3609999999999</v>
      </c>
      <c r="Z97" s="1005"/>
      <c r="AA97" s="1006"/>
      <c r="AB97" s="1007"/>
      <c r="AC97" s="2291"/>
      <c r="AD97" s="2213"/>
      <c r="AE97" s="2303"/>
      <c r="AF97" s="2326">
        <v>-1693.183</v>
      </c>
      <c r="AG97" s="2315">
        <v>5979.6450000000004</v>
      </c>
      <c r="AH97" s="1846">
        <f>SUM(AH93:AH96)</f>
        <v>7735.9858374727492</v>
      </c>
    </row>
    <row r="98" spans="1:34">
      <c r="A98" s="2126"/>
      <c r="B98" s="881" t="s">
        <v>119</v>
      </c>
      <c r="C98" s="474"/>
      <c r="D98" s="473"/>
      <c r="E98" s="471"/>
      <c r="F98" s="471"/>
      <c r="G98" s="471"/>
      <c r="H98" s="473"/>
      <c r="I98" s="471"/>
      <c r="J98" s="472"/>
      <c r="K98" s="31"/>
      <c r="L98" s="470"/>
      <c r="M98" s="471"/>
      <c r="N98" s="473"/>
      <c r="O98" s="473"/>
      <c r="P98" s="472"/>
      <c r="Q98" s="50"/>
      <c r="R98" s="470"/>
      <c r="S98" s="471"/>
      <c r="T98" s="472"/>
      <c r="U98" s="50"/>
      <c r="V98" s="468"/>
      <c r="W98" s="469"/>
      <c r="X98" s="31"/>
      <c r="Y98" s="982"/>
      <c r="Z98" s="1005"/>
      <c r="AA98" s="1006"/>
      <c r="AB98" s="1007"/>
      <c r="AC98" s="2291"/>
      <c r="AD98" s="2213"/>
      <c r="AE98" s="2303"/>
      <c r="AF98" s="2326"/>
      <c r="AG98" s="2315"/>
      <c r="AH98" s="1846"/>
    </row>
    <row r="99" spans="1:34">
      <c r="A99" s="2104" t="s">
        <v>267</v>
      </c>
      <c r="B99" s="874" t="s">
        <v>120</v>
      </c>
      <c r="C99" s="20">
        <v>23.803000000000001</v>
      </c>
      <c r="D99" s="21">
        <v>9.5559999999999992</v>
      </c>
      <c r="E99" s="20">
        <v>14.199</v>
      </c>
      <c r="F99" s="20">
        <v>8.8689999999999998</v>
      </c>
      <c r="G99" s="20">
        <v>72.34</v>
      </c>
      <c r="H99" s="21">
        <v>121.232</v>
      </c>
      <c r="I99" s="20">
        <v>6.0000000000000001E-3</v>
      </c>
      <c r="J99" s="100">
        <v>24.277000000000001</v>
      </c>
      <c r="K99" s="31"/>
      <c r="L99" s="103">
        <v>5.2350000000000003</v>
      </c>
      <c r="M99" s="20">
        <v>2.0539999999999998</v>
      </c>
      <c r="N99" s="21">
        <v>0.126</v>
      </c>
      <c r="O99" s="371">
        <v>4.8600000000000003</v>
      </c>
      <c r="P99" s="370">
        <f>SUM(C99:O99)</f>
        <v>286.55699999999996</v>
      </c>
      <c r="Q99" s="49"/>
      <c r="R99" s="103">
        <v>11.173</v>
      </c>
      <c r="S99" s="20">
        <v>4.1669999999999998</v>
      </c>
      <c r="T99" s="100">
        <v>105.706</v>
      </c>
      <c r="U99" s="50"/>
      <c r="V99" s="113">
        <v>7.3150000000000004</v>
      </c>
      <c r="W99" s="405">
        <f>SUM(R99:V99)</f>
        <v>128.36100000000002</v>
      </c>
      <c r="X99" s="57"/>
      <c r="Y99" s="982">
        <v>278.84699999999998</v>
      </c>
      <c r="Z99" s="1005"/>
      <c r="AA99" s="1006"/>
      <c r="AB99" s="1007"/>
      <c r="AC99" s="2291"/>
      <c r="AD99" s="2213"/>
      <c r="AE99" s="2303"/>
      <c r="AF99" s="2326">
        <v>158.19999999999999</v>
      </c>
      <c r="AG99" s="2315">
        <v>149.14099999999999</v>
      </c>
      <c r="AH99" s="1846">
        <f>W99-V99-(IF(AND(Motpart!$Y$38="",Motpart!$Z$38=""),0,IF(AND(Motpart!$Y$38=0,Motpart!$Z$38=0),0,((T99/$T$109)*(Motpart!$Y$38+Motpart!$Z$38)))))</f>
        <v>118.83237045743942</v>
      </c>
    </row>
    <row r="100" spans="1:34">
      <c r="A100" s="2104" t="s">
        <v>268</v>
      </c>
      <c r="B100" s="880" t="s">
        <v>855</v>
      </c>
      <c r="C100" s="23">
        <v>135.10599999999999</v>
      </c>
      <c r="D100" s="21">
        <v>61.427</v>
      </c>
      <c r="E100" s="23">
        <v>58.457000000000001</v>
      </c>
      <c r="F100" s="23">
        <v>875.63</v>
      </c>
      <c r="G100" s="23">
        <v>302.72800000000001</v>
      </c>
      <c r="H100" s="24">
        <v>1035.194</v>
      </c>
      <c r="I100" s="23">
        <v>27.437000000000001</v>
      </c>
      <c r="J100" s="101">
        <v>92.292000000000002</v>
      </c>
      <c r="K100" s="31"/>
      <c r="L100" s="104">
        <v>17.013000000000002</v>
      </c>
      <c r="M100" s="23">
        <v>54.673999999999999</v>
      </c>
      <c r="N100" s="24">
        <v>1.48</v>
      </c>
      <c r="O100" s="371">
        <v>17.684000000000001</v>
      </c>
      <c r="P100" s="370">
        <f>SUM(C100:O100)</f>
        <v>2679.1219999999998</v>
      </c>
      <c r="Q100" s="49"/>
      <c r="R100" s="1903">
        <v>49.448999999999998</v>
      </c>
      <c r="S100" s="23">
        <v>9.23</v>
      </c>
      <c r="T100" s="101">
        <v>161.62899999999999</v>
      </c>
      <c r="U100" s="50"/>
      <c r="V100" s="114">
        <v>69.468999999999994</v>
      </c>
      <c r="W100" s="405">
        <f>SUM(R100:V100)</f>
        <v>289.77699999999999</v>
      </c>
      <c r="X100" s="57"/>
      <c r="Y100" s="982">
        <v>2609.1750000000002</v>
      </c>
      <c r="Z100" s="1014"/>
      <c r="AA100" s="1006"/>
      <c r="AB100" s="1007"/>
      <c r="AC100" s="2291"/>
      <c r="AD100" s="2213"/>
      <c r="AE100" s="2306"/>
      <c r="AF100" s="2326">
        <v>2389.348</v>
      </c>
      <c r="AG100" s="2315">
        <v>698.82500000000005</v>
      </c>
      <c r="AH100" s="1846">
        <f>W100-V100-(IF(AND(Motpart!$Y$38="",Motpart!$Z$38=""),0,IF(AND(Motpart!$Y$38=0,Motpart!$Z$38=0),0,((T100/$T$109)*(Motpart!$Y$38+Motpart!$Z$38)))))</f>
        <v>216.92326564873775</v>
      </c>
    </row>
    <row r="101" spans="1:34">
      <c r="A101" s="2104" t="s">
        <v>269</v>
      </c>
      <c r="B101" s="872" t="s">
        <v>27</v>
      </c>
      <c r="C101" s="23">
        <v>17.158000000000001</v>
      </c>
      <c r="D101" s="21">
        <v>6.55</v>
      </c>
      <c r="E101" s="23">
        <v>3.1549999999999998</v>
      </c>
      <c r="F101" s="23">
        <v>83.566999999999993</v>
      </c>
      <c r="G101" s="23">
        <v>14.595000000000001</v>
      </c>
      <c r="H101" s="24">
        <v>14.069000000000001</v>
      </c>
      <c r="I101" s="23">
        <v>0.19600000000000001</v>
      </c>
      <c r="J101" s="101">
        <v>6.6150000000000002</v>
      </c>
      <c r="K101" s="31"/>
      <c r="L101" s="104">
        <v>0.309</v>
      </c>
      <c r="M101" s="23">
        <v>2.5960000000000001</v>
      </c>
      <c r="N101" s="24">
        <v>0</v>
      </c>
      <c r="O101" s="371">
        <v>2.077</v>
      </c>
      <c r="P101" s="370">
        <f>SUM(C101:O101)</f>
        <v>150.887</v>
      </c>
      <c r="Q101" s="49"/>
      <c r="R101" s="104">
        <v>32.826999999999998</v>
      </c>
      <c r="S101" s="23">
        <v>0.105</v>
      </c>
      <c r="T101" s="101">
        <v>76.001999999999995</v>
      </c>
      <c r="U101" s="50"/>
      <c r="V101" s="114">
        <v>1.786</v>
      </c>
      <c r="W101" s="405">
        <f>SUM(R101:V101)</f>
        <v>110.72</v>
      </c>
      <c r="X101" s="57"/>
      <c r="Y101" s="982">
        <v>138.749</v>
      </c>
      <c r="Z101" s="1005"/>
      <c r="AA101" s="1006"/>
      <c r="AB101" s="1007"/>
      <c r="AC101" s="2291"/>
      <c r="AD101" s="2213"/>
      <c r="AE101" s="2303"/>
      <c r="AF101" s="2326">
        <v>40.17</v>
      </c>
      <c r="AG101" s="2315">
        <v>51.466000000000001</v>
      </c>
      <c r="AH101" s="1846">
        <f>W101-V101-(IF(AND(Motpart!$Y$38="",Motpart!$Z$38=""),0,IF(AND(Motpart!$Y$38=0,Motpart!$Z$38=0),0,((T101/$T$109)*(Motpart!$Y$38+Motpart!$Z$38)))))</f>
        <v>107.34241321690641</v>
      </c>
    </row>
    <row r="102" spans="1:34">
      <c r="A102" s="2104" t="s">
        <v>270</v>
      </c>
      <c r="B102" s="872" t="s">
        <v>28</v>
      </c>
      <c r="C102" s="363">
        <f>SUM(C99:C101)</f>
        <v>176.06700000000001</v>
      </c>
      <c r="D102" s="26">
        <f t="shared" ref="D102:P102" si="28">SUM(D99:D101)</f>
        <v>77.533000000000001</v>
      </c>
      <c r="E102" s="363">
        <f t="shared" si="28"/>
        <v>75.811000000000007</v>
      </c>
      <c r="F102" s="363">
        <f t="shared" si="28"/>
        <v>968.06600000000003</v>
      </c>
      <c r="G102" s="363">
        <f t="shared" si="28"/>
        <v>389.66300000000001</v>
      </c>
      <c r="H102" s="26">
        <f t="shared" si="28"/>
        <v>1170.4949999999999</v>
      </c>
      <c r="I102" s="363">
        <f t="shared" si="28"/>
        <v>27.639000000000003</v>
      </c>
      <c r="J102" s="105">
        <f t="shared" si="28"/>
        <v>123.184</v>
      </c>
      <c r="K102" s="148"/>
      <c r="L102" s="372">
        <f>SUM(L99:L101)</f>
        <v>22.557000000000002</v>
      </c>
      <c r="M102" s="363">
        <f t="shared" si="28"/>
        <v>59.323999999999998</v>
      </c>
      <c r="N102" s="26">
        <f t="shared" si="28"/>
        <v>1.6059999999999999</v>
      </c>
      <c r="O102" s="26">
        <f t="shared" si="28"/>
        <v>24.621000000000002</v>
      </c>
      <c r="P102" s="105">
        <f t="shared" si="28"/>
        <v>3116.5659999999998</v>
      </c>
      <c r="Q102" s="49"/>
      <c r="R102" s="372">
        <f>SUM(R99:R101)</f>
        <v>93.448999999999998</v>
      </c>
      <c r="S102" s="363">
        <f>SUM(S99:S101)</f>
        <v>13.502000000000001</v>
      </c>
      <c r="T102" s="105">
        <f>SUM(T99:T101)</f>
        <v>343.33699999999999</v>
      </c>
      <c r="U102" s="49"/>
      <c r="V102" s="117">
        <f>SUM(V99:V101)</f>
        <v>78.569999999999993</v>
      </c>
      <c r="W102" s="118">
        <f>SUM(W99:W101)</f>
        <v>528.85800000000006</v>
      </c>
      <c r="X102" s="57"/>
      <c r="Y102" s="982">
        <v>3026.7730000000001</v>
      </c>
      <c r="Z102" s="1005"/>
      <c r="AA102" s="1006"/>
      <c r="AB102" s="1007"/>
      <c r="AC102" s="2291"/>
      <c r="AD102" s="2213"/>
      <c r="AE102" s="2303"/>
      <c r="AF102" s="2326">
        <v>2587.7179999999998</v>
      </c>
      <c r="AG102" s="2315">
        <v>899.43499999999995</v>
      </c>
      <c r="AH102" s="1846">
        <f>SUM(AH99:AH101)</f>
        <v>443.09804932308361</v>
      </c>
    </row>
    <row r="103" spans="1:34">
      <c r="A103" s="2126"/>
      <c r="B103" s="881" t="s">
        <v>121</v>
      </c>
      <c r="C103" s="474"/>
      <c r="D103" s="473"/>
      <c r="E103" s="471"/>
      <c r="F103" s="471"/>
      <c r="G103" s="471"/>
      <c r="H103" s="473"/>
      <c r="I103" s="471"/>
      <c r="J103" s="472"/>
      <c r="K103" s="31"/>
      <c r="L103" s="470"/>
      <c r="M103" s="471"/>
      <c r="N103" s="473"/>
      <c r="O103" s="473"/>
      <c r="P103" s="472"/>
      <c r="Q103" s="50"/>
      <c r="R103" s="470"/>
      <c r="S103" s="471"/>
      <c r="T103" s="472"/>
      <c r="U103" s="50"/>
      <c r="V103" s="468"/>
      <c r="W103" s="469"/>
      <c r="X103" s="31"/>
      <c r="Y103" s="982"/>
      <c r="Z103" s="977"/>
      <c r="AA103" s="1692"/>
      <c r="AB103" s="1693"/>
      <c r="AC103" s="2292"/>
      <c r="AD103" s="2213"/>
      <c r="AE103" s="2303"/>
      <c r="AF103" s="2326"/>
      <c r="AG103" s="2315"/>
      <c r="AH103" s="1846"/>
    </row>
    <row r="104" spans="1:34">
      <c r="A104" s="2104" t="s">
        <v>271</v>
      </c>
      <c r="B104" s="874" t="s">
        <v>122</v>
      </c>
      <c r="C104" s="20">
        <v>29.728999999999999</v>
      </c>
      <c r="D104" s="21">
        <v>11.904</v>
      </c>
      <c r="E104" s="20">
        <v>160.65799999999999</v>
      </c>
      <c r="F104" s="20">
        <v>19.387</v>
      </c>
      <c r="G104" s="20">
        <v>77.057000000000002</v>
      </c>
      <c r="H104" s="21">
        <v>0.111</v>
      </c>
      <c r="I104" s="20">
        <v>0.63</v>
      </c>
      <c r="J104" s="100">
        <v>111.23099999999999</v>
      </c>
      <c r="K104" s="31"/>
      <c r="L104" s="103">
        <v>0.29399999999999998</v>
      </c>
      <c r="M104" s="20">
        <v>40.405999999999999</v>
      </c>
      <c r="N104" s="21">
        <v>0.86599999999999999</v>
      </c>
      <c r="O104" s="371">
        <v>7.5679999999999996</v>
      </c>
      <c r="P104" s="370">
        <f>SUM(C104:O104)</f>
        <v>459.84099999999995</v>
      </c>
      <c r="Q104" s="49"/>
      <c r="R104" s="1905">
        <v>148.65899999999999</v>
      </c>
      <c r="S104" s="20">
        <v>0</v>
      </c>
      <c r="T104" s="100">
        <v>528.87</v>
      </c>
      <c r="U104" s="50"/>
      <c r="V104" s="113">
        <v>80.093999999999994</v>
      </c>
      <c r="W104" s="405">
        <f>SUM(R104:V104)</f>
        <v>757.62300000000005</v>
      </c>
      <c r="X104" s="57"/>
      <c r="Y104" s="982">
        <v>378.80700000000002</v>
      </c>
      <c r="Z104" s="1650"/>
      <c r="AA104" s="1637"/>
      <c r="AB104" s="1637"/>
      <c r="AC104" s="2270"/>
      <c r="AD104" s="2213"/>
      <c r="AE104" s="2303"/>
      <c r="AF104" s="2326">
        <v>-297.786</v>
      </c>
      <c r="AG104" s="2315">
        <v>360.24299999999999</v>
      </c>
      <c r="AH104" s="1846">
        <f>W104-V104-(IF(AND(Motpart!$Y$38="",Motpart!$Z$38=""),0,IF(AND(Motpart!$Y$38=0,Motpart!$Z$38=0),0,((T104/$T$109)*(Motpart!$Y$38+Motpart!$Z$38)))))</f>
        <v>666.45373221790601</v>
      </c>
    </row>
    <row r="105" spans="1:34">
      <c r="A105" s="2104" t="s">
        <v>272</v>
      </c>
      <c r="B105" s="872" t="s">
        <v>29</v>
      </c>
      <c r="C105" s="23">
        <v>10.608000000000001</v>
      </c>
      <c r="D105" s="21">
        <v>3.9860000000000002</v>
      </c>
      <c r="E105" s="23">
        <v>95.212000000000003</v>
      </c>
      <c r="F105" s="23">
        <v>0.41099999999999998</v>
      </c>
      <c r="G105" s="23">
        <v>17.581</v>
      </c>
      <c r="H105" s="24">
        <v>3.0910000000000002</v>
      </c>
      <c r="I105" s="23">
        <v>0</v>
      </c>
      <c r="J105" s="101">
        <v>56.081000000000003</v>
      </c>
      <c r="K105" s="31"/>
      <c r="L105" s="104">
        <v>0.438</v>
      </c>
      <c r="M105" s="23">
        <v>15.269</v>
      </c>
      <c r="N105" s="24">
        <v>0.15</v>
      </c>
      <c r="O105" s="371">
        <v>6.7629999999999999</v>
      </c>
      <c r="P105" s="370">
        <f>SUM(C105:O105)</f>
        <v>209.59000000000003</v>
      </c>
      <c r="Q105" s="49"/>
      <c r="R105" s="1903">
        <v>118.102</v>
      </c>
      <c r="S105" s="23">
        <v>0</v>
      </c>
      <c r="T105" s="101">
        <v>15.507</v>
      </c>
      <c r="U105" s="50"/>
      <c r="V105" s="114">
        <v>42.246000000000002</v>
      </c>
      <c r="W105" s="405">
        <f>SUM(R105:V105)</f>
        <v>175.85500000000002</v>
      </c>
      <c r="X105" s="57"/>
      <c r="Y105" s="982">
        <v>166.65</v>
      </c>
      <c r="Z105" s="1636"/>
      <c r="AA105" s="1637"/>
      <c r="AB105" s="1637"/>
      <c r="AC105" s="2270"/>
      <c r="AD105" s="2213"/>
      <c r="AE105" s="2303"/>
      <c r="AF105" s="2326">
        <v>33.729999999999997</v>
      </c>
      <c r="AG105" s="2315">
        <v>163.84200000000001</v>
      </c>
      <c r="AH105" s="1846">
        <f>W105-V105-(IF(AND(Motpart!$Y$38="",Motpart!$Z$38=""),0,IF(AND(Motpart!$Y$38=0,Motpart!$Z$38=0),0,((T105/$T$109)*(Motpart!$Y$38+Motpart!$Z$38)))))</f>
        <v>133.28426201619126</v>
      </c>
    </row>
    <row r="106" spans="1:34">
      <c r="A106" s="2104" t="s">
        <v>273</v>
      </c>
      <c r="B106" s="872" t="s">
        <v>30</v>
      </c>
      <c r="C106" s="23">
        <v>1587.7850000000001</v>
      </c>
      <c r="D106" s="21">
        <v>621.66</v>
      </c>
      <c r="E106" s="23">
        <v>2272.2159999999999</v>
      </c>
      <c r="F106" s="23">
        <v>1794.03</v>
      </c>
      <c r="G106" s="23">
        <v>1288.529</v>
      </c>
      <c r="H106" s="24">
        <v>9.93</v>
      </c>
      <c r="I106" s="23">
        <v>39.676000000000002</v>
      </c>
      <c r="J106" s="101">
        <v>2500.3789999999999</v>
      </c>
      <c r="K106" s="31"/>
      <c r="L106" s="104">
        <v>109.349</v>
      </c>
      <c r="M106" s="23">
        <v>1361.931</v>
      </c>
      <c r="N106" s="24">
        <v>16.966000000000001</v>
      </c>
      <c r="O106" s="371">
        <v>291.53100000000001</v>
      </c>
      <c r="P106" s="370">
        <f>SUM(C106:O106)</f>
        <v>11893.982000000002</v>
      </c>
      <c r="Q106" s="49"/>
      <c r="R106" s="1903">
        <v>10088.444</v>
      </c>
      <c r="S106" s="23">
        <v>24.113</v>
      </c>
      <c r="T106" s="101">
        <v>425.024</v>
      </c>
      <c r="U106" s="50"/>
      <c r="V106" s="114">
        <v>1290.9929999999999</v>
      </c>
      <c r="W106" s="405">
        <f>SUM(R106:V106)</f>
        <v>11828.573999999999</v>
      </c>
      <c r="X106" s="57"/>
      <c r="Y106" s="982">
        <v>10543.737999999999</v>
      </c>
      <c r="Z106" s="1636"/>
      <c r="AA106" s="1637"/>
      <c r="AB106" s="1637"/>
      <c r="AC106" s="2270"/>
      <c r="AD106" s="2213"/>
      <c r="AE106" s="2303"/>
      <c r="AF106" s="2326">
        <v>65.397000000000006</v>
      </c>
      <c r="AG106" s="2315">
        <v>8799.0229999999992</v>
      </c>
      <c r="AH106" s="1846">
        <f>W106-V106-(IF(AND(Motpart!$Y$38="",Motpart!$Z$38=""),0,IF(AND(Motpart!$Y$38=0,Motpart!$Z$38=0),0,((T106/$T$109)*(Motpart!$Y$38+Motpart!$Z$38)))))</f>
        <v>10528.680410793168</v>
      </c>
    </row>
    <row r="107" spans="1:34">
      <c r="A107" s="2104" t="s">
        <v>274</v>
      </c>
      <c r="B107" s="872" t="s">
        <v>31</v>
      </c>
      <c r="C107" s="23">
        <v>528.66800000000001</v>
      </c>
      <c r="D107" s="21">
        <v>210.06700000000001</v>
      </c>
      <c r="E107" s="23">
        <v>338.8</v>
      </c>
      <c r="F107" s="23">
        <v>2177.9140000000002</v>
      </c>
      <c r="G107" s="23">
        <v>798.95600000000002</v>
      </c>
      <c r="H107" s="24">
        <v>1.7969999999999999</v>
      </c>
      <c r="I107" s="23">
        <v>27.622</v>
      </c>
      <c r="J107" s="101">
        <v>238.797</v>
      </c>
      <c r="K107" s="31"/>
      <c r="L107" s="104">
        <v>27.585000000000001</v>
      </c>
      <c r="M107" s="23">
        <v>480.74900000000002</v>
      </c>
      <c r="N107" s="24">
        <v>6.2830000000000004</v>
      </c>
      <c r="O107" s="371">
        <v>72.674000000000007</v>
      </c>
      <c r="P107" s="370">
        <f>SUM(C107:O107)</f>
        <v>4909.9120000000003</v>
      </c>
      <c r="Q107" s="49"/>
      <c r="R107" s="1903">
        <v>3826.74</v>
      </c>
      <c r="S107" s="23">
        <v>15.621</v>
      </c>
      <c r="T107" s="101">
        <v>424.00700000000001</v>
      </c>
      <c r="U107" s="50"/>
      <c r="V107" s="114">
        <v>379.95699999999999</v>
      </c>
      <c r="W107" s="405">
        <f>SUM(R107:V107)</f>
        <v>4646.3249999999998</v>
      </c>
      <c r="X107" s="57"/>
      <c r="Y107" s="982">
        <v>4517.1390000000001</v>
      </c>
      <c r="Z107" s="1636"/>
      <c r="AA107" s="1637"/>
      <c r="AB107" s="1637"/>
      <c r="AC107" s="2270"/>
      <c r="AD107" s="2213"/>
      <c r="AE107" s="2303"/>
      <c r="AF107" s="2326">
        <v>263.58999999999997</v>
      </c>
      <c r="AG107" s="2315">
        <v>2350.2489999999998</v>
      </c>
      <c r="AH107" s="1846">
        <f>W107-V107-(IF(AND(Motpart!$Y$38="",Motpart!$Z$38=""),0,IF(AND(Motpart!$Y$38=0,Motpart!$Z$38=0),0,((T107/$T$109)*(Motpart!$Y$38+Motpart!$Z$38)))))</f>
        <v>4257.4887081769002</v>
      </c>
    </row>
    <row r="108" spans="1:34" ht="12.75" customHeight="1">
      <c r="A108" s="2104" t="s">
        <v>275</v>
      </c>
      <c r="B108" s="872" t="s">
        <v>123</v>
      </c>
      <c r="C108" s="363">
        <f>SUM(C104:C107)</f>
        <v>2156.79</v>
      </c>
      <c r="D108" s="26">
        <f t="shared" ref="D108:P108" si="29">SUM(D104:D107)</f>
        <v>847.61699999999996</v>
      </c>
      <c r="E108" s="363">
        <f t="shared" si="29"/>
        <v>2866.886</v>
      </c>
      <c r="F108" s="363">
        <f t="shared" si="29"/>
        <v>3991.7420000000002</v>
      </c>
      <c r="G108" s="363">
        <f t="shared" si="29"/>
        <v>2182.123</v>
      </c>
      <c r="H108" s="26">
        <f t="shared" si="29"/>
        <v>14.929</v>
      </c>
      <c r="I108" s="363">
        <f t="shared" si="29"/>
        <v>67.927999999999997</v>
      </c>
      <c r="J108" s="105">
        <f t="shared" si="29"/>
        <v>2906.4879999999998</v>
      </c>
      <c r="K108" s="148"/>
      <c r="L108" s="372">
        <f>SUM(L104:L107)</f>
        <v>137.666</v>
      </c>
      <c r="M108" s="363">
        <f t="shared" si="29"/>
        <v>1898.355</v>
      </c>
      <c r="N108" s="26">
        <f t="shared" si="29"/>
        <v>24.265000000000001</v>
      </c>
      <c r="O108" s="26">
        <f t="shared" si="29"/>
        <v>378.53600000000006</v>
      </c>
      <c r="P108" s="105">
        <f t="shared" si="29"/>
        <v>17473.325000000004</v>
      </c>
      <c r="Q108" s="49"/>
      <c r="R108" s="372">
        <f>SUM(R104:R107)</f>
        <v>14181.945</v>
      </c>
      <c r="S108" s="363">
        <f>SUM(S104:S107)</f>
        <v>39.734000000000002</v>
      </c>
      <c r="T108" s="105">
        <f>SUM(T104:T107)</f>
        <v>1393.4079999999999</v>
      </c>
      <c r="U108" s="49"/>
      <c r="V108" s="117">
        <f>SUM(V104:V107)</f>
        <v>1793.29</v>
      </c>
      <c r="W108" s="118">
        <f>SUM(W104:W107)</f>
        <v>17408.377</v>
      </c>
      <c r="X108" s="57"/>
      <c r="Y108" s="982">
        <v>15606.331</v>
      </c>
      <c r="Z108" s="1636"/>
      <c r="AA108" s="1637"/>
      <c r="AB108" s="1637"/>
      <c r="AC108" s="2270"/>
      <c r="AD108" s="2213"/>
      <c r="AE108" s="2303"/>
      <c r="AF108" s="2326">
        <v>64.933999999999997</v>
      </c>
      <c r="AG108" s="2315">
        <v>11673.352000000001</v>
      </c>
      <c r="AH108" s="1846">
        <f>SUM(AH104:AH107)</f>
        <v>15585.907113204164</v>
      </c>
    </row>
    <row r="109" spans="1:34" ht="12.75" customHeight="1">
      <c r="A109" s="2104" t="s">
        <v>276</v>
      </c>
      <c r="B109" s="872" t="s">
        <v>32</v>
      </c>
      <c r="C109" s="363">
        <f>SUM(C97,C102,C108)</f>
        <v>2875.569</v>
      </c>
      <c r="D109" s="26">
        <f t="shared" ref="D109:P109" si="30">SUM(D97,D102,D108)</f>
        <v>1153.8229999999999</v>
      </c>
      <c r="E109" s="363">
        <f t="shared" si="30"/>
        <v>3888.7370000000001</v>
      </c>
      <c r="F109" s="363">
        <f t="shared" si="30"/>
        <v>5084.9590000000007</v>
      </c>
      <c r="G109" s="363">
        <f t="shared" si="30"/>
        <v>3598.6130000000003</v>
      </c>
      <c r="H109" s="26">
        <f t="shared" si="30"/>
        <v>1237.6489999999999</v>
      </c>
      <c r="I109" s="363">
        <f t="shared" si="30"/>
        <v>1022.9749999999999</v>
      </c>
      <c r="J109" s="105">
        <f t="shared" si="30"/>
        <v>5777.9030000000002</v>
      </c>
      <c r="K109" s="148"/>
      <c r="L109" s="372">
        <f>SUM(L97,L102,L108)</f>
        <v>381.49</v>
      </c>
      <c r="M109" s="363">
        <f t="shared" si="30"/>
        <v>2636.723</v>
      </c>
      <c r="N109" s="26">
        <f t="shared" si="30"/>
        <v>26.464000000000002</v>
      </c>
      <c r="O109" s="26">
        <f t="shared" si="30"/>
        <v>649.54300000000012</v>
      </c>
      <c r="P109" s="105">
        <f t="shared" si="30"/>
        <v>28334.448000000004</v>
      </c>
      <c r="Q109" s="49"/>
      <c r="R109" s="372">
        <f>SUM(R97,R102,R108)</f>
        <v>14616.227999999999</v>
      </c>
      <c r="S109" s="363">
        <f>SUM(S97,S102,S108)</f>
        <v>2108.7949999999996</v>
      </c>
      <c r="T109" s="105">
        <f>SUM(T97,T102,T108)</f>
        <v>7190.5479999999989</v>
      </c>
      <c r="U109" s="49"/>
      <c r="V109" s="117">
        <f>SUM(V97,V102,V108)</f>
        <v>3459.3989999999999</v>
      </c>
      <c r="W109" s="118">
        <f>SUM(W97,W102,W108)</f>
        <v>27374.97</v>
      </c>
      <c r="X109" s="57"/>
      <c r="Y109" s="982">
        <v>24724.468000000001</v>
      </c>
      <c r="Z109" s="985">
        <f>(P109-W109)*1000/invanare</f>
        <v>92.441538659417887</v>
      </c>
      <c r="AA109" s="986">
        <f>Y109*1000/invanare</f>
        <v>2382.0951230309956</v>
      </c>
      <c r="AB109" s="1000">
        <v>2467.0450000000001</v>
      </c>
      <c r="AC109" s="2277">
        <f>IF(ISERROR((AA109-AB109)/AB109)," ",((AA109-AB109)/AB109))</f>
        <v>-3.4433857902472158E-2</v>
      </c>
      <c r="AD109" s="2213"/>
      <c r="AE109" s="2307">
        <f>IF(ISERROR(F109/(AA109/1000*invanare)),"",(F109/(AA109/100000*invanare)))</f>
        <v>20.56650521256919</v>
      </c>
      <c r="AF109" s="2326">
        <v>959.46600000000001</v>
      </c>
      <c r="AG109" s="2315">
        <v>18552.437999999998</v>
      </c>
      <c r="AH109" s="1846">
        <f>W109-V109-SUM(Motpart!Y38:Z38)</f>
        <v>23764.990999999998</v>
      </c>
    </row>
    <row r="110" spans="1:34" ht="12.75" customHeight="1" thickBot="1">
      <c r="A110" s="2117" t="s">
        <v>277</v>
      </c>
      <c r="B110" s="872" t="s">
        <v>124</v>
      </c>
      <c r="C110" s="363">
        <f>SUM(C90,C109)</f>
        <v>266164.13900000002</v>
      </c>
      <c r="D110" s="386">
        <f t="shared" ref="D110:P110" si="31">SUM(D90,D109)</f>
        <v>104482.41100000001</v>
      </c>
      <c r="E110" s="363">
        <f t="shared" si="31"/>
        <v>30213.921000000002</v>
      </c>
      <c r="F110" s="363">
        <f t="shared" si="31"/>
        <v>137225.625</v>
      </c>
      <c r="G110" s="363">
        <f t="shared" si="31"/>
        <v>39935.526999999987</v>
      </c>
      <c r="H110" s="26">
        <f t="shared" si="31"/>
        <v>28797.876000000004</v>
      </c>
      <c r="I110" s="363">
        <f t="shared" si="31"/>
        <v>22690.996999999999</v>
      </c>
      <c r="J110" s="105">
        <f t="shared" si="31"/>
        <v>18812.372000000003</v>
      </c>
      <c r="K110" s="148"/>
      <c r="L110" s="372">
        <f>SUM(L90,L109)</f>
        <v>40843.888999999996</v>
      </c>
      <c r="M110" s="363">
        <f t="shared" si="31"/>
        <v>90403.627999999997</v>
      </c>
      <c r="N110" s="378">
        <f t="shared" si="31"/>
        <v>2926.8100000000004</v>
      </c>
      <c r="O110" s="378">
        <f t="shared" si="31"/>
        <v>18236.836683193433</v>
      </c>
      <c r="P110" s="105">
        <f t="shared" si="31"/>
        <v>800731.57499999995</v>
      </c>
      <c r="Q110" s="49"/>
      <c r="R110" s="372">
        <f>SUM(R90,R109)</f>
        <v>38633.418999999994</v>
      </c>
      <c r="S110" s="363">
        <f>SUM(S90,S109)</f>
        <v>10141.117</v>
      </c>
      <c r="T110" s="105">
        <f>SUM(T90,T109)</f>
        <v>92266.559999999983</v>
      </c>
      <c r="U110" s="49"/>
      <c r="V110" s="117">
        <f>SUM(V90,V109)</f>
        <v>72188.65800000001</v>
      </c>
      <c r="W110" s="118">
        <f>SUM(W90,W109)</f>
        <v>213229.75399999999</v>
      </c>
      <c r="X110" s="57"/>
      <c r="Y110" s="1004">
        <v>715278.11</v>
      </c>
      <c r="Z110" s="1010">
        <f>Z90+Z109</f>
        <v>56603.249160949759</v>
      </c>
      <c r="AA110" s="1011">
        <f>AA90+AA109</f>
        <v>68689.667458146243</v>
      </c>
      <c r="AB110" s="1011">
        <f>AB90+AB109</f>
        <v>67735.237999999998</v>
      </c>
      <c r="AC110" s="2293"/>
      <c r="AD110" s="2213"/>
      <c r="AE110" s="2305">
        <f>IF(ISERROR(F109/(AA109/1000*invanare)),"",SUM(Motpart!D38,Motpart!F38)/(AA109/100000*invanare))</f>
        <v>11.421673461285398</v>
      </c>
      <c r="AF110" s="2335">
        <v>587501.78300000005</v>
      </c>
      <c r="AG110" s="2322">
        <v>562519.44700000004</v>
      </c>
      <c r="AH110" s="1853">
        <f>AH90+AH109</f>
        <v>127776.217</v>
      </c>
    </row>
    <row r="111" spans="1:34">
      <c r="A111" s="2104" t="s">
        <v>278</v>
      </c>
      <c r="B111" s="888" t="s">
        <v>33</v>
      </c>
      <c r="C111" s="28">
        <v>3087.277</v>
      </c>
      <c r="D111" s="29">
        <v>1232.3620000000001</v>
      </c>
      <c r="E111" s="28">
        <v>7262.4170000000004</v>
      </c>
      <c r="F111" s="28">
        <v>396.81900000000002</v>
      </c>
      <c r="G111" s="28">
        <v>4869.826</v>
      </c>
      <c r="H111" s="29">
        <v>8.2249999999999996</v>
      </c>
      <c r="I111" s="28">
        <v>12553.369000000001</v>
      </c>
      <c r="J111" s="102">
        <v>13686.761</v>
      </c>
      <c r="K111" s="31"/>
      <c r="L111" s="106">
        <v>585.23199999999997</v>
      </c>
      <c r="M111" s="28">
        <v>3954.248</v>
      </c>
      <c r="N111" s="387">
        <v>0</v>
      </c>
      <c r="O111" s="388">
        <v>0</v>
      </c>
      <c r="P111" s="116">
        <f>SUM(C111:O111)</f>
        <v>47636.536</v>
      </c>
      <c r="Q111" s="49"/>
      <c r="R111" s="106">
        <v>81.930999999999997</v>
      </c>
      <c r="S111" s="28">
        <v>3651.6039999999998</v>
      </c>
      <c r="T111" s="102">
        <v>1047.71</v>
      </c>
      <c r="U111" s="50"/>
      <c r="V111" s="115">
        <v>42915.834999999999</v>
      </c>
      <c r="W111" s="116">
        <f>SUM(R111:V111)</f>
        <v>47697.08</v>
      </c>
      <c r="X111" s="57"/>
      <c r="Y111" s="1015"/>
      <c r="Z111" s="1005"/>
      <c r="AA111" s="1006"/>
      <c r="AB111" s="1007"/>
      <c r="AC111" s="2291"/>
      <c r="AD111" s="2213"/>
      <c r="AE111" s="2300"/>
      <c r="AF111" s="2325"/>
      <c r="AG111" s="1601"/>
      <c r="AH111" s="1844"/>
    </row>
    <row r="112" spans="1:34" ht="13.5" thickBot="1">
      <c r="A112" s="2119" t="s">
        <v>279</v>
      </c>
      <c r="B112" s="872" t="s">
        <v>34</v>
      </c>
      <c r="C112" s="23">
        <v>19677.702000000001</v>
      </c>
      <c r="D112" s="21">
        <v>7738.3869999999997</v>
      </c>
      <c r="E112" s="23">
        <v>5494.6279999999997</v>
      </c>
      <c r="F112" s="23">
        <v>473.46699999999998</v>
      </c>
      <c r="G112" s="23">
        <v>12119.699000000001</v>
      </c>
      <c r="H112" s="24">
        <v>456.678</v>
      </c>
      <c r="I112" s="23">
        <v>759.14099999999996</v>
      </c>
      <c r="J112" s="101">
        <v>2838.9679999999998</v>
      </c>
      <c r="K112" s="31"/>
      <c r="L112" s="104">
        <v>1609.17</v>
      </c>
      <c r="M112" s="23">
        <v>8136.0749999999998</v>
      </c>
      <c r="N112" s="389"/>
      <c r="O112" s="390"/>
      <c r="P112" s="391">
        <f>SUM(C112:O112)</f>
        <v>59303.914999999994</v>
      </c>
      <c r="Q112" s="49"/>
      <c r="R112" s="107">
        <v>441.34300000000002</v>
      </c>
      <c r="S112" s="108">
        <v>158.14099999999999</v>
      </c>
      <c r="T112" s="109">
        <v>6198.0140000000001</v>
      </c>
      <c r="U112" s="50"/>
      <c r="V112" s="1907">
        <f>SUM(I118:I120)</f>
        <v>52506.416999999987</v>
      </c>
      <c r="W112" s="118">
        <f>SUM(R112:V112)</f>
        <v>59303.914999999986</v>
      </c>
      <c r="X112" s="57"/>
      <c r="Y112" s="981"/>
      <c r="Z112" s="1016"/>
      <c r="AA112" s="988"/>
      <c r="AB112" s="989"/>
      <c r="AC112" s="2279"/>
      <c r="AD112" s="2213"/>
      <c r="AE112" s="2300"/>
      <c r="AF112" s="2325"/>
      <c r="AG112" s="1601"/>
      <c r="AH112" s="1844"/>
    </row>
    <row r="113" spans="1:34" ht="12.75" customHeight="1" thickBot="1">
      <c r="A113" s="2118" t="s">
        <v>280</v>
      </c>
      <c r="B113" s="889" t="s">
        <v>35</v>
      </c>
      <c r="C113" s="395">
        <f>SUM(C110:C112)</f>
        <v>288929.11800000002</v>
      </c>
      <c r="D113" s="394">
        <f t="shared" ref="D113:W113" si="32">SUM(D110:D112)</f>
        <v>113453.16</v>
      </c>
      <c r="E113" s="393">
        <f t="shared" si="32"/>
        <v>42970.966</v>
      </c>
      <c r="F113" s="393">
        <f t="shared" si="32"/>
        <v>138095.91099999999</v>
      </c>
      <c r="G113" s="393">
        <f t="shared" si="32"/>
        <v>56925.051999999989</v>
      </c>
      <c r="H113" s="394">
        <f t="shared" si="32"/>
        <v>29262.779000000002</v>
      </c>
      <c r="I113" s="396">
        <f t="shared" si="32"/>
        <v>36003.507000000005</v>
      </c>
      <c r="J113" s="397">
        <f t="shared" si="32"/>
        <v>35338.101000000002</v>
      </c>
      <c r="K113" s="148"/>
      <c r="L113" s="392">
        <f>SUM(L110:L112)</f>
        <v>43038.290999999997</v>
      </c>
      <c r="M113" s="393">
        <f t="shared" si="32"/>
        <v>102493.951</v>
      </c>
      <c r="N113" s="394">
        <f t="shared" si="32"/>
        <v>2926.8100000000004</v>
      </c>
      <c r="O113" s="394">
        <f>SUM(O110:O112)</f>
        <v>18236.836683193433</v>
      </c>
      <c r="P113" s="1678">
        <f t="shared" si="32"/>
        <v>907672.02599999995</v>
      </c>
      <c r="Q113" s="49"/>
      <c r="R113" s="395">
        <f t="shared" si="32"/>
        <v>39156.692999999992</v>
      </c>
      <c r="S113" s="393">
        <f t="shared" si="32"/>
        <v>13950.861999999999</v>
      </c>
      <c r="T113" s="394">
        <f t="shared" si="32"/>
        <v>99512.283999999985</v>
      </c>
      <c r="U113" s="112"/>
      <c r="V113" s="410">
        <f t="shared" si="32"/>
        <v>167610.91</v>
      </c>
      <c r="W113" s="1679">
        <f t="shared" si="32"/>
        <v>320230.74899999995</v>
      </c>
      <c r="X113" s="57"/>
      <c r="Y113" s="1017"/>
      <c r="Z113" s="1018"/>
      <c r="AA113" s="1019"/>
      <c r="AB113" s="1020"/>
      <c r="AC113" s="2294"/>
      <c r="AD113" s="2213"/>
      <c r="AE113" s="2313"/>
      <c r="AF113" s="2336"/>
      <c r="AG113" s="2323"/>
      <c r="AH113" s="1854"/>
    </row>
    <row r="114" spans="1:34">
      <c r="A114" s="1239"/>
      <c r="B114" s="1240"/>
      <c r="C114" s="1241"/>
      <c r="D114" s="1689"/>
      <c r="E114" s="14"/>
      <c r="F114" s="208"/>
      <c r="G114" s="30"/>
      <c r="H114" s="42"/>
      <c r="I114" s="2551" t="s">
        <v>539</v>
      </c>
      <c r="J114" s="2552"/>
      <c r="K114" s="2552"/>
      <c r="L114" s="2553"/>
      <c r="M114" s="398">
        <f>I118</f>
        <v>31345.190999999999</v>
      </c>
      <c r="N114" s="179"/>
      <c r="O114" s="32"/>
      <c r="P114" s="1989"/>
      <c r="Q114" s="205"/>
      <c r="R114" s="32"/>
      <c r="S114" s="32"/>
      <c r="T114" s="32"/>
      <c r="U114" s="205"/>
      <c r="V114" s="32"/>
      <c r="W114" s="32"/>
      <c r="X114" s="32"/>
      <c r="Y114" s="32"/>
      <c r="Z114" s="56"/>
      <c r="AA114" s="56"/>
      <c r="AB114" s="56"/>
      <c r="AC114" s="56"/>
      <c r="AD114" s="2213"/>
      <c r="AE114" s="417"/>
      <c r="AF114" s="171"/>
    </row>
    <row r="115" spans="1:34" ht="13.5" thickBot="1">
      <c r="A115" s="11"/>
      <c r="B115" s="41"/>
      <c r="C115" s="2213"/>
      <c r="D115" s="2213"/>
      <c r="E115" s="172"/>
      <c r="F115" s="172"/>
      <c r="G115" s="172"/>
      <c r="H115" s="32"/>
      <c r="I115" s="32"/>
      <c r="J115" s="34"/>
      <c r="K115" s="34"/>
      <c r="L115" s="210"/>
      <c r="M115" s="211"/>
      <c r="N115" s="211"/>
      <c r="O115" s="211"/>
      <c r="P115" s="53"/>
      <c r="Q115" s="1552"/>
      <c r="R115" s="1553"/>
      <c r="S115" s="209"/>
      <c r="T115" s="32"/>
      <c r="U115" s="205"/>
      <c r="V115" s="32"/>
      <c r="W115" s="40"/>
      <c r="X115" s="1552"/>
      <c r="Y115" s="1553"/>
      <c r="Z115" s="185"/>
      <c r="AA115" s="185"/>
      <c r="AB115" s="5"/>
      <c r="AC115" s="12"/>
      <c r="AD115" s="2213"/>
      <c r="AE115" s="417"/>
      <c r="AF115" s="171"/>
    </row>
    <row r="116" spans="1:34" ht="16.5" thickBot="1">
      <c r="A116" s="2213"/>
      <c r="B116" s="2213"/>
      <c r="C116" s="2213"/>
      <c r="D116" s="2213"/>
      <c r="E116" s="36" t="s">
        <v>146</v>
      </c>
      <c r="F116" s="35"/>
      <c r="G116" s="32"/>
      <c r="H116" s="30"/>
      <c r="I116" s="30"/>
      <c r="J116" s="185"/>
      <c r="K116" s="185"/>
      <c r="L116" s="1021">
        <v>960</v>
      </c>
      <c r="M116" s="1034" t="s">
        <v>208</v>
      </c>
      <c r="N116" s="1035"/>
      <c r="O116" s="1035"/>
      <c r="P116" s="399">
        <f>-SUM(D113,J113)</f>
        <v>-148791.261</v>
      </c>
      <c r="Q116" s="1391"/>
      <c r="R116" s="1392"/>
      <c r="S116" s="1021">
        <v>970</v>
      </c>
      <c r="T116" s="1022" t="s">
        <v>147</v>
      </c>
      <c r="U116" s="1023"/>
      <c r="V116" s="1024"/>
      <c r="W116" s="399">
        <f>-V113</f>
        <v>-167610.91</v>
      </c>
      <c r="X116" s="1598"/>
      <c r="Y116" s="1338"/>
      <c r="AA116" s="1242"/>
      <c r="AB116" s="1242"/>
      <c r="AC116" s="1242"/>
      <c r="AD116" s="2213"/>
      <c r="AE116" s="417"/>
      <c r="AF116" s="171"/>
    </row>
    <row r="117" spans="1:34" ht="16.5" customHeight="1">
      <c r="A117" s="2213"/>
      <c r="B117" s="2213"/>
      <c r="C117" s="2213"/>
      <c r="D117" s="2213"/>
      <c r="E117" s="1021">
        <v>922</v>
      </c>
      <c r="F117" s="1035" t="s">
        <v>125</v>
      </c>
      <c r="G117" s="1035"/>
      <c r="H117" s="1035"/>
      <c r="I117" s="401">
        <f>P112-SUM(R112:T112)</f>
        <v>52506.416999999994</v>
      </c>
      <c r="J117" s="281"/>
      <c r="K117" s="185"/>
      <c r="L117" s="1026">
        <v>965</v>
      </c>
      <c r="M117" s="1036" t="s">
        <v>209</v>
      </c>
      <c r="N117" s="1037"/>
      <c r="O117" s="1038"/>
      <c r="P117" s="400">
        <f>-SUM(L113:O113)</f>
        <v>-166695.88868319342</v>
      </c>
      <c r="S117" s="1026">
        <v>982</v>
      </c>
      <c r="T117" s="2521" t="s">
        <v>536</v>
      </c>
      <c r="U117" s="2522"/>
      <c r="V117" s="2523"/>
      <c r="W117" s="215">
        <v>10965.312</v>
      </c>
      <c r="Y117" s="1242"/>
      <c r="Z117" s="1242"/>
      <c r="AA117" s="1242"/>
      <c r="AB117" s="1242"/>
      <c r="AC117" s="1242"/>
      <c r="AD117" s="2213"/>
      <c r="AE117" s="417"/>
      <c r="AF117" s="171"/>
    </row>
    <row r="118" spans="1:34" ht="19.5" customHeight="1">
      <c r="A118" s="2213"/>
      <c r="B118" s="2213"/>
      <c r="C118" s="2213"/>
      <c r="D118" s="2213"/>
      <c r="E118" s="1026">
        <v>924</v>
      </c>
      <c r="F118" s="2534" t="s">
        <v>1089</v>
      </c>
      <c r="G118" s="2535"/>
      <c r="H118" s="2536"/>
      <c r="I118" s="119">
        <v>31345.190999999999</v>
      </c>
      <c r="J118" s="1501"/>
      <c r="K118" s="185"/>
      <c r="L118" s="1026">
        <v>975</v>
      </c>
      <c r="M118" s="2518" t="s">
        <v>1171</v>
      </c>
      <c r="N118" s="2519"/>
      <c r="O118" s="2520"/>
      <c r="P118" s="215">
        <v>122980.887</v>
      </c>
      <c r="S118" s="1026">
        <v>985</v>
      </c>
      <c r="T118" s="1345" t="s">
        <v>949</v>
      </c>
      <c r="U118" s="1346"/>
      <c r="V118" s="1347"/>
      <c r="W118" s="215">
        <v>2319.596</v>
      </c>
      <c r="X118" s="1554"/>
      <c r="Y118" s="1554"/>
      <c r="Z118" s="1242"/>
      <c r="AB118" s="1242"/>
      <c r="AC118" s="1242"/>
      <c r="AD118" s="2213"/>
      <c r="AE118" s="417"/>
      <c r="AF118" s="171"/>
    </row>
    <row r="119" spans="1:34" ht="19.5" customHeight="1">
      <c r="A119" s="2213"/>
      <c r="B119" s="2213"/>
      <c r="C119" s="2213"/>
      <c r="D119" s="2213"/>
      <c r="E119" s="1026">
        <v>926</v>
      </c>
      <c r="F119" s="1040" t="s">
        <v>861</v>
      </c>
      <c r="G119" s="1041"/>
      <c r="H119" s="1041"/>
      <c r="I119" s="402">
        <f>N113</f>
        <v>2926.8100000000004</v>
      </c>
      <c r="J119" s="281"/>
      <c r="K119" s="185"/>
      <c r="L119" s="1026">
        <v>980</v>
      </c>
      <c r="M119" s="2515" t="s">
        <v>1172</v>
      </c>
      <c r="N119" s="2516"/>
      <c r="O119" s="2517"/>
      <c r="P119" s="215">
        <v>3113.9870000000001</v>
      </c>
      <c r="S119" s="1026">
        <v>989</v>
      </c>
      <c r="T119" s="1345" t="s">
        <v>211</v>
      </c>
      <c r="U119" s="1346"/>
      <c r="V119" s="1347"/>
      <c r="W119" s="2002">
        <v>262.42899999999997</v>
      </c>
      <c r="X119" s="179"/>
      <c r="Y119" s="197"/>
      <c r="Z119" s="197"/>
      <c r="AA119" s="1243"/>
      <c r="AB119" s="1243"/>
      <c r="AC119" s="1243"/>
      <c r="AD119" s="2213"/>
      <c r="AE119" s="1243"/>
      <c r="AF119" s="171"/>
    </row>
    <row r="120" spans="1:34" ht="13.5" customHeight="1" thickBot="1">
      <c r="A120" s="2213"/>
      <c r="B120" s="2213"/>
      <c r="C120" s="2213"/>
      <c r="D120" s="2213"/>
      <c r="E120" s="1030">
        <v>928</v>
      </c>
      <c r="F120" s="1390" t="s">
        <v>862</v>
      </c>
      <c r="G120" s="1042"/>
      <c r="H120" s="1043"/>
      <c r="I120" s="403">
        <f>I117-I118-I119</f>
        <v>18234.415999999994</v>
      </c>
      <c r="J120" s="281"/>
      <c r="K120" s="185"/>
      <c r="L120" s="1026">
        <v>982</v>
      </c>
      <c r="M120" s="1345" t="s">
        <v>1066</v>
      </c>
      <c r="N120" s="1346"/>
      <c r="O120" s="1347"/>
      <c r="P120" s="215">
        <v>795.36300000000006</v>
      </c>
      <c r="S120" s="1026"/>
      <c r="T120" s="1524"/>
      <c r="U120" s="1491"/>
      <c r="V120" s="1492"/>
      <c r="W120" s="1968"/>
      <c r="X120" s="1253"/>
      <c r="Y120" s="1493"/>
      <c r="Z120" s="197"/>
      <c r="AA120" s="1243"/>
      <c r="AB120" s="1243"/>
      <c r="AC120" s="1243"/>
      <c r="AD120" s="2213"/>
      <c r="AE120" s="1243"/>
      <c r="AF120" s="171"/>
    </row>
    <row r="121" spans="1:34" ht="13.5" customHeight="1">
      <c r="A121" s="197"/>
      <c r="B121" s="197"/>
      <c r="C121" s="2213"/>
      <c r="D121" s="2213"/>
      <c r="E121" s="185"/>
      <c r="F121" s="2213"/>
      <c r="G121" s="2213"/>
      <c r="H121" s="2213"/>
      <c r="I121" s="2010"/>
      <c r="J121" s="185"/>
      <c r="K121" s="185"/>
      <c r="L121" s="1026">
        <v>985</v>
      </c>
      <c r="M121" s="1431" t="s">
        <v>847</v>
      </c>
      <c r="N121" s="1431"/>
      <c r="O121" s="1432"/>
      <c r="P121" s="176">
        <v>1274.6220000000001</v>
      </c>
      <c r="Q121" s="2507"/>
      <c r="R121" s="2508"/>
      <c r="S121" s="1025">
        <v>887</v>
      </c>
      <c r="T121" s="1027" t="s">
        <v>452</v>
      </c>
      <c r="U121" s="1028"/>
      <c r="V121" s="1029"/>
      <c r="W121" s="404">
        <f>SUM(W113,W116:W119)</f>
        <v>166167.17599999995</v>
      </c>
      <c r="X121" s="1393"/>
      <c r="Y121" s="197"/>
      <c r="Z121" s="197"/>
      <c r="AA121" s="1243"/>
      <c r="AB121" s="1243"/>
      <c r="AC121" s="1243"/>
      <c r="AD121" s="2213"/>
      <c r="AE121" s="1243"/>
      <c r="AF121" s="171"/>
    </row>
    <row r="122" spans="1:34" ht="12.75" customHeight="1" thickBot="1">
      <c r="A122" s="197"/>
      <c r="B122" s="197"/>
      <c r="C122" s="2213"/>
      <c r="D122" s="2213"/>
      <c r="E122" s="185"/>
      <c r="F122" s="2213"/>
      <c r="G122" s="2213"/>
      <c r="H122" s="2213"/>
      <c r="I122" s="2023"/>
      <c r="J122" s="2011"/>
      <c r="K122" s="185"/>
      <c r="L122" s="2339">
        <v>988</v>
      </c>
      <c r="M122" s="2340" t="s">
        <v>1188</v>
      </c>
      <c r="N122" s="2341"/>
      <c r="O122" s="2343"/>
      <c r="P122" s="176">
        <v>1652.097</v>
      </c>
      <c r="Q122" s="179"/>
      <c r="R122" s="212"/>
      <c r="S122" s="1030">
        <v>990</v>
      </c>
      <c r="T122" s="1031" t="s">
        <v>94</v>
      </c>
      <c r="U122" s="1032"/>
      <c r="V122" s="1033"/>
      <c r="W122" s="120">
        <f>RR!C7</f>
        <v>166167.29300000001</v>
      </c>
      <c r="X122" s="1393"/>
      <c r="Y122" s="197"/>
      <c r="Z122" s="185"/>
      <c r="AA122" s="185"/>
      <c r="AB122" s="5"/>
      <c r="AC122" s="5"/>
      <c r="AD122" s="2213"/>
      <c r="AE122" s="417"/>
      <c r="AF122" s="171"/>
    </row>
    <row r="123" spans="1:34">
      <c r="A123" s="197"/>
      <c r="B123" s="197"/>
      <c r="C123" s="2213"/>
      <c r="D123" s="2213"/>
      <c r="E123" s="212"/>
      <c r="F123" s="2213"/>
      <c r="G123" s="2213"/>
      <c r="H123" s="2213"/>
      <c r="I123" s="2012"/>
      <c r="J123" s="2011"/>
      <c r="K123" s="185"/>
      <c r="L123" s="1026">
        <v>989</v>
      </c>
      <c r="M123" s="1039" t="s">
        <v>210</v>
      </c>
      <c r="N123" s="1683"/>
      <c r="O123" s="1347"/>
      <c r="P123" s="2002">
        <v>777.16099999999994</v>
      </c>
      <c r="Q123" s="179"/>
      <c r="R123" s="197"/>
      <c r="S123" s="213"/>
      <c r="T123" s="213"/>
      <c r="U123" s="213"/>
      <c r="V123" s="213"/>
      <c r="W123" s="230"/>
      <c r="X123" s="197"/>
      <c r="Y123" s="197"/>
      <c r="Z123" s="185"/>
      <c r="AA123" s="185"/>
      <c r="AB123" s="5"/>
      <c r="AC123" s="5"/>
      <c r="AD123" s="2213"/>
      <c r="AE123" s="417"/>
      <c r="AF123" s="171"/>
    </row>
    <row r="124" spans="1:34">
      <c r="A124" s="303"/>
      <c r="B124" s="197"/>
      <c r="C124" s="197"/>
      <c r="D124" s="185"/>
      <c r="E124" s="185"/>
      <c r="F124" s="2213"/>
      <c r="G124" s="2213"/>
      <c r="H124" s="2213"/>
      <c r="I124" s="2012"/>
      <c r="J124" s="2011"/>
      <c r="K124" s="197"/>
      <c r="L124" s="1025">
        <v>886</v>
      </c>
      <c r="M124" s="1027" t="s">
        <v>452</v>
      </c>
      <c r="N124" s="1028"/>
      <c r="O124" s="1029"/>
      <c r="P124" s="404">
        <f>SUM(P110:P112,P116:P123)</f>
        <v>722778.99331680639</v>
      </c>
      <c r="Q124" s="1393"/>
      <c r="R124" s="197"/>
      <c r="S124" s="213"/>
      <c r="T124" s="213"/>
      <c r="U124" s="213"/>
      <c r="V124" s="213"/>
      <c r="W124" s="213"/>
      <c r="X124" s="197"/>
      <c r="Y124" s="197"/>
      <c r="Z124" s="185"/>
      <c r="AA124" s="185"/>
      <c r="AB124" s="5"/>
      <c r="AC124" s="5"/>
      <c r="AD124" s="2213"/>
      <c r="AE124" s="417"/>
      <c r="AF124" s="171"/>
    </row>
    <row r="125" spans="1:34" ht="22.5" customHeight="1" thickBot="1">
      <c r="A125" s="303"/>
      <c r="B125" s="197"/>
      <c r="C125" s="197"/>
      <c r="D125" s="185"/>
      <c r="E125" s="185"/>
      <c r="F125" s="2213"/>
      <c r="G125" s="2213"/>
      <c r="H125" s="2213"/>
      <c r="I125" s="2012"/>
      <c r="J125" s="2011"/>
      <c r="K125" s="197"/>
      <c r="L125" s="1030">
        <v>990</v>
      </c>
      <c r="M125" s="1031" t="s">
        <v>91</v>
      </c>
      <c r="N125" s="1032"/>
      <c r="O125" s="1033"/>
      <c r="P125" s="1967">
        <f>RR!C8</f>
        <v>722781.45</v>
      </c>
      <c r="Q125" s="197"/>
      <c r="R125" s="197"/>
      <c r="S125" s="213"/>
      <c r="T125" s="213"/>
      <c r="U125" s="213"/>
      <c r="V125" s="213"/>
      <c r="W125" s="213"/>
      <c r="X125" s="197"/>
      <c r="Y125" s="197"/>
      <c r="Z125" s="185"/>
      <c r="AA125" s="185"/>
      <c r="AB125" s="5"/>
      <c r="AC125" s="5"/>
      <c r="AD125" s="2213"/>
      <c r="AE125" s="417"/>
      <c r="AF125" s="171"/>
    </row>
    <row r="126" spans="1:34" ht="31.5" customHeight="1">
      <c r="A126" s="213"/>
      <c r="B126" s="213"/>
      <c r="C126" s="213"/>
      <c r="D126" s="212"/>
      <c r="E126" s="212"/>
      <c r="F126" s="2013"/>
      <c r="G126" s="2013"/>
      <c r="H126" s="2013"/>
      <c r="I126" s="2012"/>
      <c r="J126" s="212"/>
      <c r="K126" s="197"/>
      <c r="L126" s="1680"/>
      <c r="M126" s="1681"/>
      <c r="N126" s="1682"/>
      <c r="O126" s="1682"/>
      <c r="P126" s="1699"/>
      <c r="Q126" s="185"/>
      <c r="R126" s="212"/>
      <c r="S126" s="213"/>
      <c r="T126" s="213"/>
      <c r="U126" s="197"/>
      <c r="V126" s="213"/>
      <c r="W126" s="213"/>
      <c r="X126" s="197"/>
      <c r="Y126" s="213"/>
      <c r="Z126" s="212"/>
      <c r="AA126" s="212"/>
      <c r="AB126" s="1"/>
      <c r="AC126" s="1"/>
      <c r="AD126" s="2213"/>
      <c r="AE126" s="418"/>
      <c r="AF126" s="171"/>
    </row>
    <row r="127" spans="1:34" hidden="1">
      <c r="L127" s="212"/>
      <c r="M127" s="212"/>
      <c r="N127" s="212"/>
      <c r="O127" s="212"/>
      <c r="P127" s="230"/>
    </row>
    <row r="128" spans="1:34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spans="16:16" hidden="1"/>
    <row r="290" spans="16:16" hidden="1"/>
    <row r="291" spans="16:16" hidden="1"/>
    <row r="292" spans="16:16" hidden="1"/>
    <row r="293" spans="16:16" hidden="1"/>
    <row r="294" spans="16:16" hidden="1"/>
    <row r="295" spans="16:16" hidden="1"/>
    <row r="296" spans="16:16" hidden="1"/>
    <row r="297" spans="16:16" hidden="1"/>
    <row r="298" spans="16:16" hidden="1"/>
    <row r="299" spans="16:16" hidden="1"/>
    <row r="300" spans="16:16" hidden="1"/>
    <row r="301" spans="16:16" hidden="1"/>
    <row r="302" spans="16:16" hidden="1"/>
    <row r="303" spans="16:16" hidden="1">
      <c r="P303" s="214" t="str">
        <f>IF(P124&lt;&gt;P125,"Differens mot vht kostnader i RR, måste rättas!","")</f>
        <v>Differens mot vht kostnader i RR, måste rättas!</v>
      </c>
    </row>
    <row r="304" spans="16:16" hidden="1"/>
  </sheetData>
  <customSheetViews>
    <customSheetView guid="{97D6DB71-3F4C-4C5F-8C5B-51E3EBF78932}" showPageBreaks="1" showGridLines="0" hiddenRows="1" hiddenColumns="1">
      <pane xSplit="2" ySplit="12" topLeftCell="H13" activePane="bottomRight" state="frozen"/>
      <selection pane="bottomRight" activeCell="S6" sqref="S6"/>
      <rowBreaks count="1" manualBreakCount="1">
        <brk id="43" max="16383" man="1"/>
      </rowBreaks>
      <pageMargins left="0.70866141732283472" right="0.70866141732283472" top="0.74803149606299213" bottom="0" header="0.31496062992125984" footer="0.31496062992125984"/>
      <pageSetup paperSize="9" scale="75" orientation="landscape" r:id="rId1"/>
      <headerFooter>
        <oddHeader>&amp;L&amp;8Statistiska Centralbyrån
Offentlig ekonomi&amp;R&amp;P</oddHeader>
      </headerFooter>
    </customSheetView>
    <customSheetView guid="{99FBDEB7-DD08-4F57-81F4-3C180403E153}" showPageBreaks="1" showGridLines="0" hiddenRows="1" hiddenColumns="1">
      <pane xSplit="2" ySplit="12" topLeftCell="H13" activePane="bottomRight" state="frozen"/>
      <selection pane="bottomRight" activeCell="AD14" sqref="AD14"/>
      <rowBreaks count="1" manualBreakCount="1">
        <brk id="43" max="16383" man="1"/>
      </rowBreaks>
      <pageMargins left="0.70866141732283472" right="0.70866141732283472" top="0.74803149606299213" bottom="0" header="0.31496062992125984" footer="0.31496062992125984"/>
      <pageSetup paperSize="9" scale="75" orientation="landscape" r:id="rId2"/>
      <headerFooter>
        <oddHeader>&amp;L&amp;8Statistiska Centralbyrån
Offentlig ekonomi&amp;R&amp;P</oddHeader>
      </headerFooter>
    </customSheetView>
    <customSheetView guid="{27C9E95B-0E2B-454F-B637-1CECC9579A10}" showGridLines="0" hiddenRows="1" hiddenColumns="1" showRuler="0">
      <pane xSplit="2" ySplit="10" topLeftCell="E111" activePane="bottomRight" state="frozen"/>
      <selection pane="bottomRight" activeCell="P125" sqref="P125"/>
      <rowBreaks count="1" manualBreakCount="1">
        <brk id="43" max="16383" man="1"/>
      </rowBreaks>
      <pageMargins left="0.70866141732283472" right="0.70866141732283472" top="0.74803149606299213" bottom="0" header="0.31496062992125984" footer="0.31496062992125984"/>
      <pageSetup paperSize="9" scale="75" orientation="landscape" r:id="rId3"/>
      <headerFooter alignWithMargins="0">
        <oddHeader>&amp;L&amp;8Statistiska Centralbyrån
Offentlig ekonomi&amp;R&amp;P</oddHeader>
      </headerFooter>
    </customSheetView>
  </customSheetViews>
  <mergeCells count="26">
    <mergeCell ref="C4:D4"/>
    <mergeCell ref="E4:H4"/>
    <mergeCell ref="L4:O4"/>
    <mergeCell ref="I4:J4"/>
    <mergeCell ref="I114:L114"/>
    <mergeCell ref="F118:H118"/>
    <mergeCell ref="AH5:AH6"/>
    <mergeCell ref="Z44:AC44"/>
    <mergeCell ref="AG5:AG6"/>
    <mergeCell ref="AF5:AF6"/>
    <mergeCell ref="Z18:AC18"/>
    <mergeCell ref="Z11:AC11"/>
    <mergeCell ref="Q121:R121"/>
    <mergeCell ref="R4:T4"/>
    <mergeCell ref="Z4:AB4"/>
    <mergeCell ref="M119:O119"/>
    <mergeCell ref="M118:O118"/>
    <mergeCell ref="T117:V117"/>
    <mergeCell ref="Y5:Y6"/>
    <mergeCell ref="Z31:AC31"/>
    <mergeCell ref="Z72:AC72"/>
    <mergeCell ref="Z91:AC91"/>
    <mergeCell ref="Z45:AA45"/>
    <mergeCell ref="Z52:AC52"/>
    <mergeCell ref="N5:O5"/>
    <mergeCell ref="Z86:AC86"/>
  </mergeCells>
  <phoneticPr fontId="87" type="noConversion"/>
  <conditionalFormatting sqref="T51">
    <cfRule type="expression" dxfId="95" priority="48" stopIfTrue="1">
      <formula>T51-SUM(AB53:AB55)&lt;0</formula>
    </cfRule>
  </conditionalFormatting>
  <conditionalFormatting sqref="P117">
    <cfRule type="expression" dxfId="94" priority="49" stopIfTrue="1">
      <formula>ABS(P117-W116)&lt;10000</formula>
    </cfRule>
    <cfRule type="expression" dxfId="93" priority="50" stopIfTrue="1">
      <formula>ABS((P117-W116)/W116)&gt;0.05</formula>
    </cfRule>
  </conditionalFormatting>
  <conditionalFormatting sqref="W116">
    <cfRule type="expression" dxfId="92" priority="51" stopIfTrue="1">
      <formula>ABS(P117-W116)&lt;10000</formula>
    </cfRule>
    <cfRule type="expression" dxfId="91" priority="52" stopIfTrue="1">
      <formula>ABS((P117-W116)/W116)&gt;0.05</formula>
    </cfRule>
  </conditionalFormatting>
  <conditionalFormatting sqref="P111">
    <cfRule type="expression" dxfId="90" priority="53" stopIfTrue="1">
      <formula>ABS(P111-W111)&lt;10000</formula>
    </cfRule>
    <cfRule type="expression" dxfId="89" priority="54" stopIfTrue="1">
      <formula>ABS((P111-W111)/W111)&gt;0.05</formula>
    </cfRule>
  </conditionalFormatting>
  <conditionalFormatting sqref="W111">
    <cfRule type="expression" dxfId="88" priority="75" stopIfTrue="1">
      <formula>ABS(P111-W111)&lt;10000</formula>
    </cfRule>
    <cfRule type="expression" dxfId="87" priority="76" stopIfTrue="1">
      <formula>ABS((P111-W111)/W111)&gt;0.05</formula>
    </cfRule>
  </conditionalFormatting>
  <conditionalFormatting sqref="P13:P14 P23:P24">
    <cfRule type="expression" dxfId="86" priority="58" stopIfTrue="1">
      <formula>$P$124&lt;100000</formula>
    </cfRule>
    <cfRule type="cellIs" dxfId="85" priority="59" stopIfTrue="1" operator="lessThan">
      <formula>1</formula>
    </cfRule>
  </conditionalFormatting>
  <conditionalFormatting sqref="P118 W117:W118 I118">
    <cfRule type="cellIs" dxfId="84" priority="32" stopIfTrue="1" operator="lessThan">
      <formula>-500</formula>
    </cfRule>
  </conditionalFormatting>
  <conditionalFormatting sqref="H47">
    <cfRule type="cellIs" dxfId="83" priority="24" stopIfTrue="1" operator="greaterThan">
      <formula>$F$47</formula>
    </cfRule>
  </conditionalFormatting>
  <conditionalFormatting sqref="H50">
    <cfRule type="cellIs" dxfId="82" priority="22" stopIfTrue="1" operator="greaterThan">
      <formula>$F$50</formula>
    </cfRule>
  </conditionalFormatting>
  <conditionalFormatting sqref="R53">
    <cfRule type="cellIs" dxfId="81" priority="21" stopIfTrue="1" operator="greaterThan">
      <formula>100</formula>
    </cfRule>
  </conditionalFormatting>
  <conditionalFormatting sqref="R100">
    <cfRule type="expression" dxfId="80" priority="17" stopIfTrue="1">
      <formula>AND(C100&gt;5000,R100&lt;50)</formula>
    </cfRule>
  </conditionalFormatting>
  <conditionalFormatting sqref="R104">
    <cfRule type="expression" dxfId="79" priority="16" stopIfTrue="1">
      <formula>AND(C104&gt;5000,R104&lt;50)</formula>
    </cfRule>
  </conditionalFormatting>
  <conditionalFormatting sqref="R105">
    <cfRule type="expression" dxfId="78" priority="15" stopIfTrue="1">
      <formula>AND(C105&gt;5000,R105&lt;50)</formula>
    </cfRule>
  </conditionalFormatting>
  <conditionalFormatting sqref="R106">
    <cfRule type="expression" dxfId="77" priority="14" stopIfTrue="1">
      <formula>AND(C106&gt;5000,R106&lt;50)</formula>
    </cfRule>
  </conditionalFormatting>
  <conditionalFormatting sqref="R107">
    <cfRule type="expression" dxfId="76" priority="13" stopIfTrue="1">
      <formula>AND(C107&gt;5000,R107&lt;50)</formula>
    </cfRule>
  </conditionalFormatting>
  <conditionalFormatting sqref="R76">
    <cfRule type="expression" dxfId="75" priority="12" stopIfTrue="1">
      <formula>AND(C76&gt;5000,R76&lt;50)</formula>
    </cfRule>
  </conditionalFormatting>
  <conditionalFormatting sqref="R74">
    <cfRule type="expression" dxfId="74" priority="11" stopIfTrue="1">
      <formula>AND(C74&gt;5000,R74&lt;50)</formula>
    </cfRule>
  </conditionalFormatting>
  <conditionalFormatting sqref="R73">
    <cfRule type="expression" dxfId="73" priority="10" stopIfTrue="1">
      <formula>AND(C73&gt;5000,R73&lt;50)</formula>
    </cfRule>
  </conditionalFormatting>
  <conditionalFormatting sqref="R48">
    <cfRule type="expression" dxfId="72" priority="9" stopIfTrue="1">
      <formula>AND(C48&gt;5000,R48&lt;50)</formula>
    </cfRule>
  </conditionalFormatting>
  <conditionalFormatting sqref="J122:J125">
    <cfRule type="expression" dxfId="71" priority="1">
      <formula>(L119+L120-M120)/M120&gt;0.1</formula>
    </cfRule>
  </conditionalFormatting>
  <dataValidations count="1">
    <dataValidation type="decimal" operator="lessThan" allowBlank="1" showInputMessage="1" showErrorMessage="1" error="Beloppet ska vara i 1000 tal kr" sqref="V111 R111:U112 R93:V96 C93:N96 R99:V101 R84:V84 G114 R104:V107 C99:N101 C104:N107 C87:N88 C84:N84 I118 C79:N82 R79:V82 C111:O112 C63:N66 C70:N71 C73:N76 R73:V76 R70:V71 R63:V66 C13:N16 C19:N29 C33:N36 C39:N41 C46:N50 C53:N57 R53:V57 R46:V50 R39:V41 R33:V36 R19:V29 R13:V16 R60:V61 C60:N61 R87:V88 W117:W120 P118:P123">
      <formula1>99999999</formula1>
    </dataValidation>
  </dataValidations>
  <pageMargins left="0.43307086614173229" right="0.70866141732283472" top="0.43307086614173229" bottom="0" header="7.874015748031496E-2" footer="3.937007874015748E-2"/>
  <pageSetup paperSize="9" scale="83" orientation="landscape" r:id="rId4"/>
  <headerFooter>
    <oddHeader>&amp;LStatistiska Centralbyrån
Offentlig ekonomi</oddHeader>
  </headerFooter>
  <rowBreaks count="3" manualBreakCount="3">
    <brk id="43" max="16383" man="1"/>
    <brk id="68" max="16383" man="1"/>
    <brk id="90" max="16383" man="1"/>
  </rowBreaks>
  <colBreaks count="1" manualBreakCount="1">
    <brk id="16" max="1048575" man="1"/>
  </colBreaks>
  <ignoredErrors>
    <ignoredError sqref="A13:A11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tabColor rgb="FFFFFF00"/>
  </sheetPr>
  <dimension ref="A1:AD89"/>
  <sheetViews>
    <sheetView showGridLines="0" zoomScaleNormal="100" workbookViewId="0">
      <pane xSplit="2" ySplit="8" topLeftCell="C9" activePane="bottomRight" state="frozen"/>
      <selection activeCell="F36" sqref="F36"/>
      <selection pane="topRight" activeCell="F36" sqref="F36"/>
      <selection pane="bottomLeft" activeCell="F36" sqref="F36"/>
      <selection pane="bottomRight" activeCell="U33" sqref="U33"/>
    </sheetView>
  </sheetViews>
  <sheetFormatPr defaultColWidth="0" defaultRowHeight="9" zeroHeight="1"/>
  <cols>
    <col min="1" max="1" width="5.28515625" style="145" customWidth="1"/>
    <col min="2" max="2" width="30.85546875" style="145" customWidth="1"/>
    <col min="3" max="3" width="8.5703125" style="145" customWidth="1"/>
    <col min="4" max="4" width="8.7109375" style="145" customWidth="1"/>
    <col min="5" max="11" width="9.140625" style="145" customWidth="1"/>
    <col min="12" max="12" width="8" style="145" customWidth="1"/>
    <col min="13" max="13" width="9.140625" style="145" customWidth="1"/>
    <col min="14" max="14" width="8.28515625" style="145" customWidth="1"/>
    <col min="15" max="22" width="9.140625" style="145" customWidth="1"/>
    <col min="23" max="23" width="8.28515625" style="145" customWidth="1"/>
    <col min="24" max="24" width="8.140625" style="145" customWidth="1"/>
    <col min="25" max="25" width="9.140625" style="145" customWidth="1"/>
    <col min="26" max="26" width="10.5703125" style="145" customWidth="1"/>
    <col min="27" max="27" width="9.140625" style="145" customWidth="1"/>
    <col min="28" max="28" width="8" style="145" customWidth="1"/>
    <col min="29" max="29" width="11.28515625" style="145" customWidth="1"/>
    <col min="30" max="30" width="25.7109375" style="145" customWidth="1"/>
    <col min="31" max="16384" width="0" style="145" hidden="1"/>
  </cols>
  <sheetData>
    <row r="1" spans="1:30" s="170" customFormat="1" ht="18.75" customHeight="1">
      <c r="A1" s="169"/>
      <c r="B1" s="78"/>
      <c r="C1" s="77" t="str">
        <f>"Motpartsredovisning "&amp;År&amp;", miljoner kr"</f>
        <v>Motpartsredovisning 2020, miljoner kr</v>
      </c>
      <c r="D1" s="78"/>
      <c r="E1" s="169"/>
      <c r="F1" s="169"/>
      <c r="G1" s="169"/>
      <c r="H1" s="169"/>
      <c r="I1" s="169"/>
      <c r="J1" s="514" t="s">
        <v>459</v>
      </c>
      <c r="K1" s="515" t="str">
        <f>'Kn Information'!A2</f>
        <v>RIKSTOTAL</v>
      </c>
      <c r="L1" s="169"/>
      <c r="M1" s="169"/>
      <c r="N1" s="77"/>
      <c r="O1" s="169"/>
      <c r="P1" s="169"/>
      <c r="Q1" s="169"/>
      <c r="R1" s="169"/>
      <c r="S1" s="77" t="str">
        <f>"Motpartsredovisning "&amp;År&amp;", miljoner kr"</f>
        <v>Motpartsredovisning 2020, miljoner kr</v>
      </c>
      <c r="T1" s="169"/>
      <c r="U1" s="169"/>
      <c r="V1" s="169"/>
      <c r="W1" s="169"/>
      <c r="X1" s="169"/>
      <c r="Y1" s="169"/>
      <c r="Z1" s="514" t="s">
        <v>459</v>
      </c>
      <c r="AA1" s="515" t="str">
        <f>'Kn Information'!A2</f>
        <v>RIKSTOTAL</v>
      </c>
      <c r="AB1" s="169"/>
      <c r="AC1" s="169"/>
      <c r="AD1" s="2213"/>
    </row>
    <row r="2" spans="1:30" s="170" customFormat="1" ht="11.25" customHeight="1">
      <c r="A2" s="2213"/>
      <c r="B2" s="2213"/>
      <c r="C2" s="2213"/>
      <c r="D2" s="2213"/>
      <c r="E2" s="2213"/>
      <c r="F2" s="2213"/>
      <c r="G2" s="2213"/>
      <c r="H2" s="2213"/>
      <c r="I2" s="2213"/>
      <c r="J2" s="2213"/>
      <c r="K2" s="2213"/>
      <c r="L2" s="2213"/>
      <c r="M2" s="2213"/>
      <c r="N2" s="2213"/>
      <c r="O2" s="2213"/>
      <c r="P2" s="2213"/>
      <c r="Q2" s="2213"/>
      <c r="R2" s="2213"/>
      <c r="S2" s="2213"/>
      <c r="T2" s="2213"/>
      <c r="U2" s="2213"/>
      <c r="V2" s="2213"/>
      <c r="W2" s="2213"/>
      <c r="X2" s="2213"/>
      <c r="Y2" s="2213"/>
      <c r="Z2" s="2213"/>
      <c r="AA2" s="2213"/>
      <c r="AB2" s="2213"/>
      <c r="AC2" s="2213"/>
      <c r="AD2" s="2213"/>
    </row>
    <row r="3" spans="1:30" ht="11.25" customHeight="1" thickBot="1">
      <c r="A3" s="2213"/>
      <c r="B3" s="2213"/>
      <c r="C3" s="2213"/>
      <c r="D3" s="2213"/>
      <c r="E3" s="2213"/>
      <c r="F3" s="2213"/>
      <c r="G3" s="2213"/>
      <c r="H3" s="2213"/>
      <c r="I3" s="2213"/>
      <c r="J3" s="2213"/>
      <c r="K3" s="2213"/>
      <c r="L3" s="2213"/>
      <c r="M3" s="2213"/>
      <c r="N3" s="2213"/>
      <c r="O3" s="2213"/>
      <c r="P3" s="2213"/>
      <c r="Q3" s="2213"/>
      <c r="R3" s="2213"/>
      <c r="S3" s="2213"/>
      <c r="T3" s="2213"/>
      <c r="U3" s="2213"/>
      <c r="V3" s="2213"/>
      <c r="W3" s="2213"/>
      <c r="X3" s="2213"/>
      <c r="Y3" s="2213"/>
      <c r="Z3" s="2213"/>
      <c r="AA3" s="2213"/>
      <c r="AB3" s="2213"/>
      <c r="AC3" s="2213"/>
      <c r="AD3" s="2213"/>
    </row>
    <row r="4" spans="1:30" s="1305" customFormat="1" ht="18" customHeight="1">
      <c r="A4" s="1298" t="s">
        <v>626</v>
      </c>
      <c r="B4" s="1299" t="s">
        <v>15</v>
      </c>
      <c r="C4" s="1287"/>
      <c r="D4" s="1306" t="s">
        <v>819</v>
      </c>
      <c r="E4" s="1299"/>
      <c r="F4" s="1299"/>
      <c r="G4" s="1299"/>
      <c r="H4" s="1299"/>
      <c r="I4" s="1299"/>
      <c r="J4" s="1299"/>
      <c r="K4" s="1299"/>
      <c r="L4" s="1299"/>
      <c r="M4" s="1300"/>
      <c r="N4" s="1306" t="s">
        <v>792</v>
      </c>
      <c r="O4" s="1299"/>
      <c r="P4" s="1299"/>
      <c r="Q4" s="1299"/>
      <c r="R4" s="1299"/>
      <c r="S4" s="1299"/>
      <c r="T4" s="1299"/>
      <c r="U4" s="1299"/>
      <c r="V4" s="1299"/>
      <c r="W4" s="1299"/>
      <c r="X4" s="1301"/>
      <c r="Y4" s="1307" t="s">
        <v>551</v>
      </c>
      <c r="Z4" s="1302"/>
      <c r="AA4" s="1303"/>
      <c r="AB4" s="1303"/>
      <c r="AC4" s="1304"/>
      <c r="AD4" s="2213"/>
    </row>
    <row r="5" spans="1:30" ht="36.75" customHeight="1">
      <c r="A5" s="789" t="s">
        <v>629</v>
      </c>
      <c r="B5" s="1052"/>
      <c r="C5" s="1412" t="s">
        <v>503</v>
      </c>
      <c r="D5" s="1053" t="s">
        <v>470</v>
      </c>
      <c r="E5" s="1047" t="s">
        <v>495</v>
      </c>
      <c r="F5" s="1047" t="s">
        <v>471</v>
      </c>
      <c r="G5" s="1047" t="s">
        <v>126</v>
      </c>
      <c r="H5" s="1047" t="s">
        <v>1110</v>
      </c>
      <c r="I5" s="1047" t="s">
        <v>472</v>
      </c>
      <c r="J5" s="1047" t="s">
        <v>840</v>
      </c>
      <c r="K5" s="1047" t="s">
        <v>1179</v>
      </c>
      <c r="L5" s="1047" t="s">
        <v>152</v>
      </c>
      <c r="M5" s="1049" t="s">
        <v>514</v>
      </c>
      <c r="N5" s="1380" t="s">
        <v>503</v>
      </c>
      <c r="O5" s="1047" t="s">
        <v>470</v>
      </c>
      <c r="P5" s="1288" t="s">
        <v>495</v>
      </c>
      <c r="Q5" s="1288" t="s">
        <v>471</v>
      </c>
      <c r="R5" s="1288" t="s">
        <v>126</v>
      </c>
      <c r="S5" s="1288" t="s">
        <v>1110</v>
      </c>
      <c r="T5" s="1288" t="s">
        <v>1179</v>
      </c>
      <c r="U5" s="1288" t="s">
        <v>841</v>
      </c>
      <c r="V5" s="1288" t="s">
        <v>840</v>
      </c>
      <c r="W5" s="1288" t="s">
        <v>152</v>
      </c>
      <c r="X5" s="1046" t="s">
        <v>514</v>
      </c>
      <c r="Y5" s="2158" t="s">
        <v>1112</v>
      </c>
      <c r="Z5" s="1047" t="s">
        <v>1183</v>
      </c>
      <c r="AA5" s="1048" t="s">
        <v>1076</v>
      </c>
      <c r="AB5" s="1048" t="s">
        <v>473</v>
      </c>
      <c r="AC5" s="1049" t="s">
        <v>474</v>
      </c>
      <c r="AD5" s="2213"/>
    </row>
    <row r="6" spans="1:30" ht="30.75" customHeight="1">
      <c r="A6" s="1054"/>
      <c r="B6" s="2071" t="s">
        <v>1184</v>
      </c>
      <c r="C6" s="1379"/>
      <c r="D6" s="1571" t="s">
        <v>793</v>
      </c>
      <c r="E6" s="1572" t="s">
        <v>794</v>
      </c>
      <c r="F6" s="1572" t="s">
        <v>795</v>
      </c>
      <c r="G6" s="1572" t="s">
        <v>796</v>
      </c>
      <c r="H6" s="1572" t="s">
        <v>797</v>
      </c>
      <c r="I6" s="1572" t="s">
        <v>798</v>
      </c>
      <c r="J6" s="1572" t="s">
        <v>799</v>
      </c>
      <c r="K6" s="1572" t="s">
        <v>800</v>
      </c>
      <c r="L6" s="1572" t="s">
        <v>801</v>
      </c>
      <c r="M6" s="1050"/>
      <c r="N6" s="1381"/>
      <c r="O6" s="1571" t="s">
        <v>793</v>
      </c>
      <c r="P6" s="1572" t="s">
        <v>794</v>
      </c>
      <c r="Q6" s="1572" t="s">
        <v>795</v>
      </c>
      <c r="R6" s="1572" t="s">
        <v>796</v>
      </c>
      <c r="S6" s="1572" t="s">
        <v>797</v>
      </c>
      <c r="T6" s="1572" t="s">
        <v>800</v>
      </c>
      <c r="U6" s="1572" t="s">
        <v>798</v>
      </c>
      <c r="V6" s="1572" t="s">
        <v>799</v>
      </c>
      <c r="W6" s="1572" t="s">
        <v>801</v>
      </c>
      <c r="X6" s="1050"/>
      <c r="Y6" s="2159" t="s">
        <v>1111</v>
      </c>
      <c r="Z6" s="1576" t="s">
        <v>802</v>
      </c>
      <c r="AA6" s="1572" t="s">
        <v>803</v>
      </c>
      <c r="AB6" s="1572" t="s">
        <v>134</v>
      </c>
      <c r="AC6" s="2346" t="s">
        <v>1211</v>
      </c>
      <c r="AD6" s="2213"/>
    </row>
    <row r="7" spans="1:30" ht="4.5" customHeight="1">
      <c r="A7" s="1055"/>
      <c r="B7" s="1573"/>
      <c r="C7" s="1574"/>
      <c r="D7" s="1566"/>
      <c r="E7" s="1567"/>
      <c r="F7" s="1567"/>
      <c r="G7" s="1567"/>
      <c r="H7" s="1567"/>
      <c r="I7" s="1567"/>
      <c r="J7" s="1567"/>
      <c r="K7" s="1567"/>
      <c r="L7" s="1575"/>
      <c r="M7" s="1050"/>
      <c r="N7" s="1565"/>
      <c r="O7" s="1566"/>
      <c r="P7" s="1567"/>
      <c r="Q7" s="1567"/>
      <c r="R7" s="1567"/>
      <c r="S7" s="1567"/>
      <c r="T7" s="1567"/>
      <c r="U7" s="1568"/>
      <c r="V7" s="1567"/>
      <c r="W7" s="560"/>
      <c r="X7" s="1050"/>
      <c r="Y7" s="1577"/>
      <c r="Z7" s="1578"/>
      <c r="AA7" s="1578"/>
      <c r="AB7" s="1579"/>
      <c r="AC7" s="1580"/>
      <c r="AD7" s="2213"/>
    </row>
    <row r="8" spans="1:30" ht="12" hidden="1" customHeight="1">
      <c r="A8" s="1054"/>
      <c r="B8" s="1569"/>
      <c r="C8" s="1570"/>
      <c r="D8" s="1555"/>
      <c r="E8" s="1556"/>
      <c r="F8" s="1556"/>
      <c r="G8" s="1556"/>
      <c r="H8" s="1556"/>
      <c r="I8" s="1556"/>
      <c r="J8" s="1556"/>
      <c r="K8" s="1556"/>
      <c r="L8" s="1557"/>
      <c r="M8" s="1051"/>
      <c r="N8" s="1558"/>
      <c r="O8" s="1555"/>
      <c r="P8" s="1556"/>
      <c r="Q8" s="1556"/>
      <c r="R8" s="1556"/>
      <c r="S8" s="1556"/>
      <c r="T8" s="1556"/>
      <c r="U8" s="1559"/>
      <c r="V8" s="1556"/>
      <c r="W8" s="1560"/>
      <c r="X8" s="1051"/>
      <c r="Y8" s="1561"/>
      <c r="Z8" s="1562"/>
      <c r="AA8" s="1562"/>
      <c r="AB8" s="1563"/>
      <c r="AC8" s="1564"/>
      <c r="AD8" s="2213"/>
    </row>
    <row r="9" spans="1:30" ht="14.25" customHeight="1">
      <c r="A9" s="1499">
        <v>190</v>
      </c>
      <c r="B9" s="1057" t="s">
        <v>17</v>
      </c>
      <c r="C9" s="83">
        <f>Drift!F17</f>
        <v>222.40199999999999</v>
      </c>
      <c r="D9" s="66">
        <v>3.3719999999999999</v>
      </c>
      <c r="E9" s="66">
        <v>0.40500000000000003</v>
      </c>
      <c r="F9" s="66">
        <v>17.425999999999998</v>
      </c>
      <c r="G9" s="66">
        <v>183.804</v>
      </c>
      <c r="H9" s="66">
        <v>4.0179999999999998</v>
      </c>
      <c r="I9" s="66">
        <v>0.35699999999999998</v>
      </c>
      <c r="J9" s="1223">
        <v>0</v>
      </c>
      <c r="K9" s="186">
        <v>13.013999999999999</v>
      </c>
      <c r="L9" s="186">
        <v>5.0000000000000001E-3</v>
      </c>
      <c r="M9" s="436">
        <f>C9-SUM(D9:L9)</f>
        <v>9.9999999997635314E-4</v>
      </c>
      <c r="N9" s="437">
        <f>Drift!H17</f>
        <v>610.37800000000004</v>
      </c>
      <c r="O9" s="66">
        <v>510.108</v>
      </c>
      <c r="P9" s="66">
        <v>5.3659999999999997</v>
      </c>
      <c r="Q9" s="66">
        <v>42.146000000000001</v>
      </c>
      <c r="R9" s="66">
        <v>10.717000000000001</v>
      </c>
      <c r="S9" s="66">
        <v>4.1349999999999998</v>
      </c>
      <c r="T9" s="66">
        <v>23.524000000000001</v>
      </c>
      <c r="U9" s="66">
        <v>5.4790000000000001</v>
      </c>
      <c r="V9" s="66">
        <v>8.5960000000000001</v>
      </c>
      <c r="W9" s="66">
        <v>0.30599999999999999</v>
      </c>
      <c r="X9" s="436">
        <f>N9-SUM(O9:W9)</f>
        <v>9.9999999997635314E-4</v>
      </c>
      <c r="Y9" s="439">
        <v>167.73500000000001</v>
      </c>
      <c r="Z9" s="66">
        <v>4.2999999999999997E-2</v>
      </c>
      <c r="AA9" s="66">
        <v>92.156999999999996</v>
      </c>
      <c r="AB9" s="66">
        <v>0.56999999999999995</v>
      </c>
      <c r="AC9" s="99">
        <v>23.289000000000001</v>
      </c>
      <c r="AD9" s="2213"/>
    </row>
    <row r="10" spans="1:30" ht="12.95" customHeight="1">
      <c r="A10" s="556" t="s">
        <v>227</v>
      </c>
      <c r="B10" s="562" t="s">
        <v>151</v>
      </c>
      <c r="C10" s="83">
        <f>Drift!F30</f>
        <v>8792.1050000000014</v>
      </c>
      <c r="D10" s="54">
        <v>54.335999999999999</v>
      </c>
      <c r="E10" s="54">
        <v>1318.886</v>
      </c>
      <c r="F10" s="54">
        <v>3286.5859999999998</v>
      </c>
      <c r="G10" s="54">
        <v>519.505</v>
      </c>
      <c r="H10" s="54">
        <v>29.067</v>
      </c>
      <c r="I10" s="54">
        <v>59.793999999999997</v>
      </c>
      <c r="J10" s="1217">
        <v>0</v>
      </c>
      <c r="K10" s="55">
        <v>3517.5230000000001</v>
      </c>
      <c r="L10" s="186">
        <v>6.399</v>
      </c>
      <c r="M10" s="436">
        <f t="shared" ref="M10:M39" si="0">C10-SUM(D10:L10)</f>
        <v>9.0000000018335413E-3</v>
      </c>
      <c r="N10" s="437">
        <f>Drift!H30</f>
        <v>3187.3740000000007</v>
      </c>
      <c r="O10" s="54">
        <v>557.83399999999995</v>
      </c>
      <c r="P10" s="54">
        <v>664.10299999999995</v>
      </c>
      <c r="Q10" s="54">
        <v>444.64699999999999</v>
      </c>
      <c r="R10" s="54">
        <v>26.869</v>
      </c>
      <c r="S10" s="54">
        <v>18.744</v>
      </c>
      <c r="T10" s="54">
        <v>1060.3979999999999</v>
      </c>
      <c r="U10" s="54">
        <v>361.36099999999999</v>
      </c>
      <c r="V10" s="54">
        <v>43.847999999999999</v>
      </c>
      <c r="W10" s="54">
        <v>9.58</v>
      </c>
      <c r="X10" s="436">
        <f t="shared" ref="X10:X39" si="1">N10-SUM(O10:W10)</f>
        <v>-9.9999999983992893E-3</v>
      </c>
      <c r="Y10" s="440">
        <v>372.637</v>
      </c>
      <c r="Z10" s="54">
        <v>14.922000000000001</v>
      </c>
      <c r="AA10" s="54">
        <v>1738.79</v>
      </c>
      <c r="AB10" s="54">
        <v>127.041</v>
      </c>
      <c r="AC10" s="178">
        <v>1891.9870000000001</v>
      </c>
      <c r="AD10" s="2213"/>
    </row>
    <row r="11" spans="1:30" ht="12.95" customHeight="1">
      <c r="A11" s="556">
        <v>339</v>
      </c>
      <c r="B11" s="562" t="s">
        <v>72</v>
      </c>
      <c r="C11" s="83">
        <f>Drift!F37</f>
        <v>263.68599999999998</v>
      </c>
      <c r="D11" s="66">
        <v>59.860999999999997</v>
      </c>
      <c r="E11" s="66">
        <v>22.138999999999999</v>
      </c>
      <c r="F11" s="66">
        <v>118.501</v>
      </c>
      <c r="G11" s="66">
        <v>9.5690000000000008</v>
      </c>
      <c r="H11" s="66">
        <v>1.0569999999999999</v>
      </c>
      <c r="I11" s="66">
        <v>1.2130000000000001</v>
      </c>
      <c r="J11" s="1223">
        <v>0</v>
      </c>
      <c r="K11" s="186">
        <v>51</v>
      </c>
      <c r="L11" s="186">
        <v>0.34899999999999998</v>
      </c>
      <c r="M11" s="436">
        <f t="shared" si="0"/>
        <v>-2.9999999999859028E-3</v>
      </c>
      <c r="N11" s="437">
        <f>Drift!H37</f>
        <v>1803.5650000000001</v>
      </c>
      <c r="O11" s="66">
        <v>1127.0630000000001</v>
      </c>
      <c r="P11" s="66">
        <v>214.929</v>
      </c>
      <c r="Q11" s="66">
        <v>350.32900000000001</v>
      </c>
      <c r="R11" s="66">
        <v>1.19</v>
      </c>
      <c r="S11" s="66">
        <v>25.16</v>
      </c>
      <c r="T11" s="66">
        <v>5.1340000000000003</v>
      </c>
      <c r="U11" s="66">
        <v>20.564</v>
      </c>
      <c r="V11" s="66">
        <v>56.646999999999998</v>
      </c>
      <c r="W11" s="66">
        <v>2.5489999999999999</v>
      </c>
      <c r="X11" s="436">
        <f t="shared" si="1"/>
        <v>0</v>
      </c>
      <c r="Y11" s="439">
        <v>17.815000000000001</v>
      </c>
      <c r="Z11" s="66">
        <v>3.016</v>
      </c>
      <c r="AA11" s="66">
        <v>594.68200000000002</v>
      </c>
      <c r="AB11" s="66">
        <v>12.916</v>
      </c>
      <c r="AC11" s="99">
        <v>419.81799999999998</v>
      </c>
      <c r="AD11" s="2213"/>
    </row>
    <row r="12" spans="1:30" ht="12.95" customHeight="1">
      <c r="A12" s="556">
        <v>359</v>
      </c>
      <c r="B12" s="562" t="s">
        <v>135</v>
      </c>
      <c r="C12" s="83">
        <f>Drift!F42</f>
        <v>743.21900000000005</v>
      </c>
      <c r="D12" s="66">
        <v>210.58500000000001</v>
      </c>
      <c r="E12" s="66">
        <v>159.755</v>
      </c>
      <c r="F12" s="66">
        <v>335.44200000000001</v>
      </c>
      <c r="G12" s="66">
        <v>22.975000000000001</v>
      </c>
      <c r="H12" s="66">
        <v>0.19700000000000001</v>
      </c>
      <c r="I12" s="66">
        <v>0.29799999999999999</v>
      </c>
      <c r="J12" s="1223">
        <v>0</v>
      </c>
      <c r="K12" s="186">
        <v>13.968999999999999</v>
      </c>
      <c r="L12" s="186">
        <v>0</v>
      </c>
      <c r="M12" s="436">
        <f t="shared" si="0"/>
        <v>-2.0000000000663931E-3</v>
      </c>
      <c r="N12" s="437">
        <f>Drift!H42</f>
        <v>2167.2740000000003</v>
      </c>
      <c r="O12" s="66">
        <v>1965.479</v>
      </c>
      <c r="P12" s="66">
        <v>69.671999999999997</v>
      </c>
      <c r="Q12" s="66">
        <v>110.01900000000001</v>
      </c>
      <c r="R12" s="66">
        <v>3.2669999999999999</v>
      </c>
      <c r="S12" s="66">
        <v>5.5E-2</v>
      </c>
      <c r="T12" s="66">
        <v>1.4410000000000001</v>
      </c>
      <c r="U12" s="66">
        <v>2.1150000000000002</v>
      </c>
      <c r="V12" s="66">
        <v>15.189</v>
      </c>
      <c r="W12" s="66">
        <v>2.3E-2</v>
      </c>
      <c r="X12" s="436">
        <f t="shared" si="1"/>
        <v>1.4000000001033186E-2</v>
      </c>
      <c r="Y12" s="439">
        <v>20.350999999999999</v>
      </c>
      <c r="Z12" s="66">
        <v>0.28799999999999998</v>
      </c>
      <c r="AA12" s="66">
        <v>228.92699999999999</v>
      </c>
      <c r="AB12" s="66">
        <v>5.25</v>
      </c>
      <c r="AC12" s="99">
        <v>111.77800000000001</v>
      </c>
      <c r="AD12" s="2213"/>
    </row>
    <row r="13" spans="1:30" ht="12.95" customHeight="1">
      <c r="A13" s="556">
        <v>407</v>
      </c>
      <c r="B13" s="562" t="s">
        <v>81</v>
      </c>
      <c r="C13" s="83">
        <f>Drift!F47</f>
        <v>16433.833999999999</v>
      </c>
      <c r="D13" s="54">
        <v>4448.8900000000003</v>
      </c>
      <c r="E13" s="54">
        <v>12.862</v>
      </c>
      <c r="F13" s="54">
        <v>11544.771000000001</v>
      </c>
      <c r="G13" s="54">
        <v>393.81599999999997</v>
      </c>
      <c r="H13" s="54">
        <v>1.4490000000000001</v>
      </c>
      <c r="I13" s="54">
        <v>29.529</v>
      </c>
      <c r="J13" s="1217">
        <v>0</v>
      </c>
      <c r="K13" s="55">
        <v>2.2269999999999999</v>
      </c>
      <c r="L13" s="186">
        <v>0.28899999999999998</v>
      </c>
      <c r="M13" s="1255">
        <f>C13-SUM(D13:L13)</f>
        <v>1.0000000002037268E-3</v>
      </c>
      <c r="N13" s="437">
        <f>Drift!H47</f>
        <v>13.17</v>
      </c>
      <c r="O13" s="54">
        <v>3.0609999999999999</v>
      </c>
      <c r="P13" s="54">
        <v>1E-3</v>
      </c>
      <c r="Q13" s="54">
        <v>5.056</v>
      </c>
      <c r="R13" s="54">
        <v>2.7E-2</v>
      </c>
      <c r="S13" s="54">
        <v>5.8999999999999997E-2</v>
      </c>
      <c r="T13" s="54">
        <v>0.24199999999999999</v>
      </c>
      <c r="U13" s="54">
        <v>1.6679999999999999</v>
      </c>
      <c r="V13" s="54">
        <v>1.6870000000000001</v>
      </c>
      <c r="W13" s="54">
        <v>1.3680000000000001</v>
      </c>
      <c r="X13" s="436">
        <f t="shared" si="1"/>
        <v>1.0000000000029985E-3</v>
      </c>
      <c r="Y13" s="440">
        <v>394.99</v>
      </c>
      <c r="Z13" s="54">
        <v>4.2510000000000003</v>
      </c>
      <c r="AA13" s="54">
        <v>5040.9059999999999</v>
      </c>
      <c r="AB13" s="54">
        <v>8.3480000000000008</v>
      </c>
      <c r="AC13" s="99">
        <v>1008.574</v>
      </c>
      <c r="AD13" s="2213"/>
    </row>
    <row r="14" spans="1:30" ht="12.95" customHeight="1">
      <c r="A14" s="556">
        <v>412</v>
      </c>
      <c r="B14" s="562" t="s">
        <v>82</v>
      </c>
      <c r="C14" s="83">
        <f>Drift!F48</f>
        <v>629.29999999999995</v>
      </c>
      <c r="D14" s="54">
        <v>75.688000000000002</v>
      </c>
      <c r="E14" s="54">
        <v>0.63200000000000001</v>
      </c>
      <c r="F14" s="54">
        <v>549.69500000000005</v>
      </c>
      <c r="G14" s="54">
        <v>3.2610000000000001</v>
      </c>
      <c r="H14" s="54">
        <v>5.0000000000000001E-3</v>
      </c>
      <c r="I14" s="54">
        <v>1.9E-2</v>
      </c>
      <c r="J14" s="1217">
        <v>0</v>
      </c>
      <c r="K14" s="55">
        <v>0</v>
      </c>
      <c r="L14" s="186">
        <v>0</v>
      </c>
      <c r="M14" s="1255">
        <f t="shared" si="0"/>
        <v>0</v>
      </c>
      <c r="N14" s="437">
        <f>Drift!H48</f>
        <v>0.53700000000000003</v>
      </c>
      <c r="O14" s="54">
        <v>2.7E-2</v>
      </c>
      <c r="P14" s="54">
        <v>0</v>
      </c>
      <c r="Q14" s="54">
        <v>0.252</v>
      </c>
      <c r="R14" s="54">
        <v>0</v>
      </c>
      <c r="S14" s="54">
        <v>3.0000000000000001E-3</v>
      </c>
      <c r="T14" s="54">
        <v>0</v>
      </c>
      <c r="U14" s="54">
        <v>1.2E-2</v>
      </c>
      <c r="V14" s="54">
        <v>0.24299999999999999</v>
      </c>
      <c r="W14" s="54">
        <v>0</v>
      </c>
      <c r="X14" s="436">
        <f t="shared" si="1"/>
        <v>0</v>
      </c>
      <c r="Y14" s="440">
        <v>4.63</v>
      </c>
      <c r="Z14" s="54">
        <v>0</v>
      </c>
      <c r="AA14" s="54">
        <v>26.31</v>
      </c>
      <c r="AB14" s="54">
        <v>2.5999999999999999E-2</v>
      </c>
      <c r="AC14" s="99">
        <v>30.405000000000001</v>
      </c>
      <c r="AD14" s="2213"/>
    </row>
    <row r="15" spans="1:30" ht="12.95" customHeight="1">
      <c r="A15" s="556">
        <v>425</v>
      </c>
      <c r="B15" s="562" t="s">
        <v>84</v>
      </c>
      <c r="C15" s="83">
        <f>Drift!F50</f>
        <v>2461.6480000000001</v>
      </c>
      <c r="D15" s="54">
        <v>682.32299999999998</v>
      </c>
      <c r="E15" s="54">
        <v>0.72299999999999998</v>
      </c>
      <c r="F15" s="54">
        <v>1554.2950000000001</v>
      </c>
      <c r="G15" s="54">
        <v>169.505</v>
      </c>
      <c r="H15" s="54">
        <v>-1.4999999999999999E-2</v>
      </c>
      <c r="I15" s="54">
        <v>46.927</v>
      </c>
      <c r="J15" s="1217">
        <v>0</v>
      </c>
      <c r="K15" s="55">
        <v>7.8689999999999998</v>
      </c>
      <c r="L15" s="186">
        <v>2.1000000000000001E-2</v>
      </c>
      <c r="M15" s="1255">
        <f>C15-SUM(D15:L15)</f>
        <v>0</v>
      </c>
      <c r="N15" s="437">
        <f>Drift!H50</f>
        <v>3.0779999999999998</v>
      </c>
      <c r="O15" s="54">
        <v>0.28100000000000003</v>
      </c>
      <c r="P15" s="54">
        <v>1.379</v>
      </c>
      <c r="Q15" s="54">
        <v>0.58699999999999997</v>
      </c>
      <c r="R15" s="54">
        <v>3.0000000000000001E-3</v>
      </c>
      <c r="S15" s="54">
        <v>1.9E-2</v>
      </c>
      <c r="T15" s="54">
        <v>8.5999999999999993E-2</v>
      </c>
      <c r="U15" s="54">
        <v>0.52300000000000002</v>
      </c>
      <c r="V15" s="54">
        <v>0.19900000000000001</v>
      </c>
      <c r="W15" s="54">
        <v>0</v>
      </c>
      <c r="X15" s="436">
        <f t="shared" si="1"/>
        <v>9.9999999999988987E-4</v>
      </c>
      <c r="Y15" s="440">
        <v>167.78700000000001</v>
      </c>
      <c r="Z15" s="54">
        <v>0.01</v>
      </c>
      <c r="AA15" s="54">
        <v>863.98599999999999</v>
      </c>
      <c r="AB15" s="54">
        <v>0.436</v>
      </c>
      <c r="AC15" s="99">
        <v>148.17099999999999</v>
      </c>
      <c r="AD15" s="2213"/>
    </row>
    <row r="16" spans="1:30" ht="20.25" customHeight="1">
      <c r="A16" s="556">
        <v>419</v>
      </c>
      <c r="B16" s="562" t="s">
        <v>157</v>
      </c>
      <c r="C16" s="83">
        <f>SUM(Drift!F46,Drift!F49)</f>
        <v>87.266000000000005</v>
      </c>
      <c r="D16" s="54">
        <v>46.481999999999999</v>
      </c>
      <c r="E16" s="54">
        <v>5.1999999999999998E-2</v>
      </c>
      <c r="F16" s="54">
        <v>38.54</v>
      </c>
      <c r="G16" s="54">
        <v>1.2949999999999999</v>
      </c>
      <c r="H16" s="54">
        <v>0.77500000000000002</v>
      </c>
      <c r="I16" s="54">
        <v>0.11799999999999999</v>
      </c>
      <c r="J16" s="1217">
        <v>0</v>
      </c>
      <c r="K16" s="55">
        <v>4.0000000000000001E-3</v>
      </c>
      <c r="L16" s="186">
        <v>0</v>
      </c>
      <c r="M16" s="1255">
        <f t="shared" si="0"/>
        <v>0</v>
      </c>
      <c r="N16" s="437">
        <f>SUM(Drift!H46,Drift!H49)</f>
        <v>1.905</v>
      </c>
      <c r="O16" s="54">
        <v>1.782</v>
      </c>
      <c r="P16" s="54">
        <v>0</v>
      </c>
      <c r="Q16" s="54">
        <v>3.0000000000000001E-3</v>
      </c>
      <c r="R16" s="54">
        <v>0.01</v>
      </c>
      <c r="S16" s="54">
        <v>0</v>
      </c>
      <c r="T16" s="54">
        <v>1E-3</v>
      </c>
      <c r="U16" s="54">
        <v>0</v>
      </c>
      <c r="V16" s="54">
        <v>0.109</v>
      </c>
      <c r="W16" s="54">
        <v>0</v>
      </c>
      <c r="X16" s="436">
        <f t="shared" si="1"/>
        <v>0</v>
      </c>
      <c r="Y16" s="440">
        <v>1.5569999999999999</v>
      </c>
      <c r="Z16" s="54">
        <v>1.61</v>
      </c>
      <c r="AA16" s="54">
        <v>25.864999999999998</v>
      </c>
      <c r="AB16" s="54">
        <v>1.629</v>
      </c>
      <c r="AC16" s="99">
        <v>6.8449999999999998</v>
      </c>
      <c r="AD16" s="2213"/>
    </row>
    <row r="17" spans="1:30" ht="12.95" customHeight="1">
      <c r="A17" s="556">
        <v>435</v>
      </c>
      <c r="B17" s="562" t="s">
        <v>479</v>
      </c>
      <c r="C17" s="83">
        <f>Drift!F53</f>
        <v>1116.0029999999999</v>
      </c>
      <c r="D17" s="54">
        <v>337.02600000000001</v>
      </c>
      <c r="E17" s="54">
        <v>0.38500000000000001</v>
      </c>
      <c r="F17" s="54">
        <v>704.38599999999997</v>
      </c>
      <c r="G17" s="54">
        <v>53.746000000000002</v>
      </c>
      <c r="H17" s="54">
        <v>0.56399999999999995</v>
      </c>
      <c r="I17" s="54">
        <v>16.404</v>
      </c>
      <c r="J17" s="1217">
        <v>0</v>
      </c>
      <c r="K17" s="55">
        <v>3.2519999999999998</v>
      </c>
      <c r="L17" s="186">
        <v>0.23899999999999999</v>
      </c>
      <c r="M17" s="1255">
        <f t="shared" si="0"/>
        <v>9.9999999974897946E-4</v>
      </c>
      <c r="N17" s="437">
        <f>Drift!H53</f>
        <v>3.8769999999999998</v>
      </c>
      <c r="O17" s="54">
        <v>8.4000000000000005E-2</v>
      </c>
      <c r="P17" s="54">
        <v>0</v>
      </c>
      <c r="Q17" s="54">
        <v>0.42599999999999999</v>
      </c>
      <c r="R17" s="54">
        <v>1.0999999999999999E-2</v>
      </c>
      <c r="S17" s="54">
        <v>8.6999999999999994E-2</v>
      </c>
      <c r="T17" s="54">
        <v>4.2999999999999997E-2</v>
      </c>
      <c r="U17" s="54">
        <v>0.186</v>
      </c>
      <c r="V17" s="54">
        <v>3.0390000000000001</v>
      </c>
      <c r="W17" s="54">
        <v>0</v>
      </c>
      <c r="X17" s="436">
        <f t="shared" si="1"/>
        <v>9.9999999999944578E-4</v>
      </c>
      <c r="Y17" s="440">
        <v>46.389000000000003</v>
      </c>
      <c r="Z17" s="54">
        <v>7.6999999999999999E-2</v>
      </c>
      <c r="AA17" s="54">
        <v>346.11500000000001</v>
      </c>
      <c r="AB17" s="54">
        <v>0.69899999999999995</v>
      </c>
      <c r="AC17" s="99">
        <v>60.444000000000003</v>
      </c>
      <c r="AD17" s="2213"/>
    </row>
    <row r="18" spans="1:30" ht="12.95" customHeight="1">
      <c r="A18" s="556">
        <v>440</v>
      </c>
      <c r="B18" s="562" t="s">
        <v>376</v>
      </c>
      <c r="C18" s="83">
        <f>Drift!F54</f>
        <v>19657.835999999999</v>
      </c>
      <c r="D18" s="54">
        <v>4350.5479999999998</v>
      </c>
      <c r="E18" s="54">
        <v>18.122</v>
      </c>
      <c r="F18" s="54">
        <v>13368.186</v>
      </c>
      <c r="G18" s="54">
        <v>1506.0229999999999</v>
      </c>
      <c r="H18" s="54">
        <v>20.431000000000001</v>
      </c>
      <c r="I18" s="54">
        <v>339.04</v>
      </c>
      <c r="J18" s="1217">
        <v>0</v>
      </c>
      <c r="K18" s="55">
        <v>52.713000000000001</v>
      </c>
      <c r="L18" s="186">
        <v>2.7730000000000001</v>
      </c>
      <c r="M18" s="1255">
        <f t="shared" si="0"/>
        <v>0</v>
      </c>
      <c r="N18" s="437">
        <f>Drift!H54</f>
        <v>39.593000000000004</v>
      </c>
      <c r="O18" s="54">
        <v>7.1859999999999999</v>
      </c>
      <c r="P18" s="54">
        <v>4.4429999999999996</v>
      </c>
      <c r="Q18" s="54">
        <v>11.468</v>
      </c>
      <c r="R18" s="54">
        <v>0.375</v>
      </c>
      <c r="S18" s="54">
        <v>3.4350000000000001</v>
      </c>
      <c r="T18" s="54">
        <v>1.853</v>
      </c>
      <c r="U18" s="54">
        <v>6.1849999999999996</v>
      </c>
      <c r="V18" s="54">
        <v>4.641</v>
      </c>
      <c r="W18" s="54">
        <v>7.0000000000000001E-3</v>
      </c>
      <c r="X18" s="436">
        <f t="shared" si="1"/>
        <v>0</v>
      </c>
      <c r="Y18" s="440">
        <v>1517.58</v>
      </c>
      <c r="Z18" s="54">
        <v>3.7759999999999998</v>
      </c>
      <c r="AA18" s="54">
        <v>11079.793</v>
      </c>
      <c r="AB18" s="54">
        <v>29.733000000000001</v>
      </c>
      <c r="AC18" s="99">
        <v>1181.0709999999999</v>
      </c>
      <c r="AD18" s="2213"/>
    </row>
    <row r="19" spans="1:30" ht="12.95" customHeight="1">
      <c r="A19" s="556">
        <v>443</v>
      </c>
      <c r="B19" s="562" t="s">
        <v>618</v>
      </c>
      <c r="C19" s="83">
        <f>Drift!F55</f>
        <v>674.35199999999998</v>
      </c>
      <c r="D19" s="54">
        <v>77.722999999999999</v>
      </c>
      <c r="E19" s="54">
        <v>8.0000000000000002E-3</v>
      </c>
      <c r="F19" s="54">
        <v>276.83699999999999</v>
      </c>
      <c r="G19" s="54">
        <v>307.74200000000002</v>
      </c>
      <c r="H19" s="54">
        <v>1.4890000000000001</v>
      </c>
      <c r="I19" s="54">
        <v>9.9339999999999993</v>
      </c>
      <c r="J19" s="1217">
        <v>0</v>
      </c>
      <c r="K19" s="55">
        <v>0.41099999999999998</v>
      </c>
      <c r="L19" s="186">
        <v>0.20799999999999999</v>
      </c>
      <c r="M19" s="1255">
        <f t="shared" si="0"/>
        <v>0</v>
      </c>
      <c r="N19" s="437">
        <f>Drift!H55</f>
        <v>0.53800000000000003</v>
      </c>
      <c r="O19" s="54">
        <v>9.0999999999999998E-2</v>
      </c>
      <c r="P19" s="54">
        <v>0</v>
      </c>
      <c r="Q19" s="54">
        <v>3.5000000000000003E-2</v>
      </c>
      <c r="R19" s="54">
        <v>4.0000000000000001E-3</v>
      </c>
      <c r="S19" s="54">
        <v>2.7E-2</v>
      </c>
      <c r="T19" s="54">
        <v>3.6999999999999998E-2</v>
      </c>
      <c r="U19" s="54">
        <v>0.35199999999999998</v>
      </c>
      <c r="V19" s="54">
        <v>-0.01</v>
      </c>
      <c r="W19" s="54">
        <v>0</v>
      </c>
      <c r="X19" s="436">
        <f t="shared" si="1"/>
        <v>2.0000000000000018E-3</v>
      </c>
      <c r="Y19" s="440">
        <v>317.38099999999997</v>
      </c>
      <c r="Z19" s="54">
        <v>1.7000000000000001E-2</v>
      </c>
      <c r="AA19" s="54">
        <v>168.15600000000001</v>
      </c>
      <c r="AB19" s="54">
        <v>0.123</v>
      </c>
      <c r="AC19" s="99">
        <v>27.096</v>
      </c>
      <c r="AD19" s="2213"/>
    </row>
    <row r="20" spans="1:30" ht="12.95" customHeight="1">
      <c r="A20" s="556">
        <v>450</v>
      </c>
      <c r="B20" s="562" t="s">
        <v>136</v>
      </c>
      <c r="C20" s="83">
        <f>Drift!F56</f>
        <v>22295.998</v>
      </c>
      <c r="D20" s="54">
        <v>1158.261</v>
      </c>
      <c r="E20" s="54">
        <v>10.634</v>
      </c>
      <c r="F20" s="54">
        <v>10401.718999999999</v>
      </c>
      <c r="G20" s="54">
        <v>7606.2759999999998</v>
      </c>
      <c r="H20" s="54">
        <v>461.43900000000002</v>
      </c>
      <c r="I20" s="54">
        <v>126.51600000000001</v>
      </c>
      <c r="J20" s="1217">
        <v>0</v>
      </c>
      <c r="K20" s="55">
        <v>2519.5309999999999</v>
      </c>
      <c r="L20" s="186">
        <v>11.622</v>
      </c>
      <c r="M20" s="1255">
        <f t="shared" si="0"/>
        <v>0</v>
      </c>
      <c r="N20" s="437">
        <f>Drift!H56</f>
        <v>266.57400000000001</v>
      </c>
      <c r="O20" s="54">
        <v>12.311</v>
      </c>
      <c r="P20" s="54">
        <v>1.732</v>
      </c>
      <c r="Q20" s="54">
        <v>60.234999999999999</v>
      </c>
      <c r="R20" s="54">
        <v>4.7869999999999999</v>
      </c>
      <c r="S20" s="54">
        <v>0.65100000000000002</v>
      </c>
      <c r="T20" s="54">
        <v>3.4460000000000002</v>
      </c>
      <c r="U20" s="54">
        <v>8.1020000000000003</v>
      </c>
      <c r="V20" s="54">
        <v>174.60300000000001</v>
      </c>
      <c r="W20" s="54">
        <v>0.70699999999999996</v>
      </c>
      <c r="X20" s="436">
        <f t="shared" si="1"/>
        <v>0</v>
      </c>
      <c r="Y20" s="440">
        <v>7647.8119999999999</v>
      </c>
      <c r="Z20" s="54">
        <v>11.699</v>
      </c>
      <c r="AA20" s="54">
        <v>2034.9169999999999</v>
      </c>
      <c r="AB20" s="54">
        <v>28.248999999999999</v>
      </c>
      <c r="AC20" s="99">
        <v>798.24300000000005</v>
      </c>
      <c r="AD20" s="2213"/>
    </row>
    <row r="21" spans="1:30" ht="12.95" customHeight="1">
      <c r="A21" s="556">
        <v>453</v>
      </c>
      <c r="B21" s="562" t="s">
        <v>137</v>
      </c>
      <c r="C21" s="83">
        <f>Drift!F57</f>
        <v>1118.9570000000001</v>
      </c>
      <c r="D21" s="54">
        <v>53.433</v>
      </c>
      <c r="E21" s="54">
        <v>1E-3</v>
      </c>
      <c r="F21" s="54">
        <v>214.88900000000001</v>
      </c>
      <c r="G21" s="54">
        <v>640.03</v>
      </c>
      <c r="H21" s="54">
        <v>51.142000000000003</v>
      </c>
      <c r="I21" s="54">
        <v>3.028</v>
      </c>
      <c r="J21" s="1217">
        <v>0</v>
      </c>
      <c r="K21" s="55">
        <v>156.434</v>
      </c>
      <c r="L21" s="186">
        <v>0</v>
      </c>
      <c r="M21" s="1255">
        <f t="shared" si="0"/>
        <v>0</v>
      </c>
      <c r="N21" s="437">
        <f>Drift!H57</f>
        <v>1.883</v>
      </c>
      <c r="O21" s="54">
        <v>0.21199999999999999</v>
      </c>
      <c r="P21" s="54">
        <v>0</v>
      </c>
      <c r="Q21" s="54">
        <v>0.17899999999999999</v>
      </c>
      <c r="R21" s="54">
        <v>2E-3</v>
      </c>
      <c r="S21" s="54">
        <v>0.46700000000000003</v>
      </c>
      <c r="T21" s="54">
        <v>2E-3</v>
      </c>
      <c r="U21" s="54">
        <v>0.112</v>
      </c>
      <c r="V21" s="54">
        <v>0.90800000000000003</v>
      </c>
      <c r="W21" s="54">
        <v>0</v>
      </c>
      <c r="X21" s="436">
        <f t="shared" si="1"/>
        <v>9.9999999999988987E-4</v>
      </c>
      <c r="Y21" s="440">
        <v>641.85500000000002</v>
      </c>
      <c r="Z21" s="54">
        <v>7.0000000000000001E-3</v>
      </c>
      <c r="AA21" s="54">
        <v>79.117000000000004</v>
      </c>
      <c r="AB21" s="54">
        <v>-0.08</v>
      </c>
      <c r="AC21" s="99">
        <v>20.404</v>
      </c>
      <c r="AD21" s="2213"/>
    </row>
    <row r="22" spans="1:30" ht="12.95" customHeight="1">
      <c r="A22" s="556" t="s">
        <v>486</v>
      </c>
      <c r="B22" s="562" t="s">
        <v>377</v>
      </c>
      <c r="C22" s="83">
        <f>Drift!F60</f>
        <v>519.71100000000001</v>
      </c>
      <c r="D22" s="54">
        <v>23.318000000000001</v>
      </c>
      <c r="E22" s="54">
        <v>1.9810000000000001</v>
      </c>
      <c r="F22" s="54">
        <v>293.428</v>
      </c>
      <c r="G22" s="54">
        <v>85.064999999999998</v>
      </c>
      <c r="H22" s="54">
        <v>9.5000000000000001E-2</v>
      </c>
      <c r="I22" s="54">
        <v>0.14799999999999999</v>
      </c>
      <c r="J22" s="1217">
        <v>0</v>
      </c>
      <c r="K22" s="55">
        <v>115.675</v>
      </c>
      <c r="L22" s="186">
        <v>0</v>
      </c>
      <c r="M22" s="1255">
        <f t="shared" si="0"/>
        <v>9.9999999997635314E-4</v>
      </c>
      <c r="N22" s="437">
        <f>Drift!H60</f>
        <v>6.1929999999999996</v>
      </c>
      <c r="O22" s="54">
        <v>0.34699999999999998</v>
      </c>
      <c r="P22" s="54">
        <v>0</v>
      </c>
      <c r="Q22" s="54">
        <v>5.2999999999999999E-2</v>
      </c>
      <c r="R22" s="54">
        <v>0</v>
      </c>
      <c r="S22" s="54">
        <v>2.7E-2</v>
      </c>
      <c r="T22" s="54">
        <v>5.657</v>
      </c>
      <c r="U22" s="54">
        <v>6.2E-2</v>
      </c>
      <c r="V22" s="54">
        <v>4.7E-2</v>
      </c>
      <c r="W22" s="54">
        <v>0</v>
      </c>
      <c r="X22" s="436">
        <f t="shared" si="1"/>
        <v>0</v>
      </c>
      <c r="Y22" s="440">
        <v>68.765000000000001</v>
      </c>
      <c r="Z22" s="54">
        <v>7.0000000000000001E-3</v>
      </c>
      <c r="AA22" s="54">
        <v>74.991</v>
      </c>
      <c r="AB22" s="54">
        <v>1.232</v>
      </c>
      <c r="AC22" s="99">
        <v>31.379000000000001</v>
      </c>
      <c r="AD22" s="2213"/>
    </row>
    <row r="23" spans="1:30" ht="12.95" customHeight="1">
      <c r="A23" s="556" t="s">
        <v>487</v>
      </c>
      <c r="B23" s="562" t="s">
        <v>378</v>
      </c>
      <c r="C23" s="83">
        <f>Drift!F61</f>
        <v>2319.3359999999998</v>
      </c>
      <c r="D23" s="54">
        <v>40.832999999999998</v>
      </c>
      <c r="E23" s="54">
        <v>8.84</v>
      </c>
      <c r="F23" s="54">
        <v>1576.809</v>
      </c>
      <c r="G23" s="54">
        <v>459.88099999999997</v>
      </c>
      <c r="H23" s="54">
        <v>24.155999999999999</v>
      </c>
      <c r="I23" s="54">
        <v>6.2590000000000003</v>
      </c>
      <c r="J23" s="1217">
        <v>0</v>
      </c>
      <c r="K23" s="55">
        <v>202.541</v>
      </c>
      <c r="L23" s="186">
        <v>1.7999999999999999E-2</v>
      </c>
      <c r="M23" s="1255">
        <f t="shared" si="0"/>
        <v>-1.0000000002037268E-3</v>
      </c>
      <c r="N23" s="437">
        <f>Drift!H61</f>
        <v>10.781000000000001</v>
      </c>
      <c r="O23" s="54">
        <v>1.417</v>
      </c>
      <c r="P23" s="54">
        <v>4.0000000000000001E-3</v>
      </c>
      <c r="Q23" s="54">
        <v>2.883</v>
      </c>
      <c r="R23" s="54">
        <v>4.375</v>
      </c>
      <c r="S23" s="54">
        <v>0.01</v>
      </c>
      <c r="T23" s="54">
        <v>0.13500000000000001</v>
      </c>
      <c r="U23" s="54">
        <v>1.1160000000000001</v>
      </c>
      <c r="V23" s="54">
        <v>0.51200000000000001</v>
      </c>
      <c r="W23" s="54">
        <v>0.32900000000000001</v>
      </c>
      <c r="X23" s="436">
        <f t="shared" si="1"/>
        <v>0</v>
      </c>
      <c r="Y23" s="440">
        <v>435.202</v>
      </c>
      <c r="Z23" s="54">
        <v>1.3859999999999999</v>
      </c>
      <c r="AA23" s="54">
        <v>1999.89</v>
      </c>
      <c r="AB23" s="54">
        <v>41.149000000000001</v>
      </c>
      <c r="AC23" s="99">
        <v>291.94600000000003</v>
      </c>
      <c r="AD23" s="2213"/>
    </row>
    <row r="24" spans="1:30" ht="12.95" customHeight="1">
      <c r="A24" s="556">
        <v>474</v>
      </c>
      <c r="B24" s="562" t="s">
        <v>871</v>
      </c>
      <c r="C24" s="83">
        <f>Drift!F63</f>
        <v>25.524999999999999</v>
      </c>
      <c r="D24" s="54">
        <v>0.10299999999999999</v>
      </c>
      <c r="E24" s="54">
        <v>6.2E-2</v>
      </c>
      <c r="F24" s="54">
        <v>0.68799999999999994</v>
      </c>
      <c r="G24" s="54">
        <v>10.116</v>
      </c>
      <c r="H24" s="54">
        <v>2E-3</v>
      </c>
      <c r="I24" s="54">
        <v>2.8000000000000001E-2</v>
      </c>
      <c r="J24" s="1217">
        <v>0</v>
      </c>
      <c r="K24" s="55">
        <v>14.526999999999999</v>
      </c>
      <c r="L24" s="186">
        <v>0</v>
      </c>
      <c r="M24" s="436">
        <f t="shared" si="0"/>
        <v>-1.0000000000012221E-3</v>
      </c>
      <c r="N24" s="437">
        <f>Drift!H63</f>
        <v>6.8000000000000005E-2</v>
      </c>
      <c r="O24" s="54">
        <v>1.0999999999999999E-2</v>
      </c>
      <c r="P24" s="54">
        <v>0</v>
      </c>
      <c r="Q24" s="54">
        <v>3.0000000000000001E-3</v>
      </c>
      <c r="R24" s="54">
        <v>0</v>
      </c>
      <c r="S24" s="54">
        <v>0</v>
      </c>
      <c r="T24" s="54">
        <v>1.0999999999999999E-2</v>
      </c>
      <c r="U24" s="54">
        <v>4.1000000000000002E-2</v>
      </c>
      <c r="V24" s="54">
        <v>1E-3</v>
      </c>
      <c r="W24" s="54">
        <v>0</v>
      </c>
      <c r="X24" s="436">
        <f t="shared" si="1"/>
        <v>1.0000000000000009E-3</v>
      </c>
      <c r="Y24" s="439">
        <v>11.06</v>
      </c>
      <c r="Z24" s="54">
        <v>0</v>
      </c>
      <c r="AA24" s="54">
        <v>7.8780000000000001</v>
      </c>
      <c r="AB24" s="54">
        <v>0.27200000000000002</v>
      </c>
      <c r="AC24" s="99">
        <v>2.4089999999999998</v>
      </c>
      <c r="AD24" s="2213"/>
    </row>
    <row r="25" spans="1:30" ht="12.95" customHeight="1">
      <c r="A25" s="556">
        <v>479</v>
      </c>
      <c r="B25" s="562" t="s">
        <v>439</v>
      </c>
      <c r="C25" s="83">
        <f>SUM(Drift!F64,Drift!F65,Drift!F66)</f>
        <v>1146.7349999999999</v>
      </c>
      <c r="D25" s="54">
        <v>235.845</v>
      </c>
      <c r="E25" s="54">
        <v>11.177</v>
      </c>
      <c r="F25" s="54">
        <v>677.67499999999995</v>
      </c>
      <c r="G25" s="54">
        <v>98.954999999999998</v>
      </c>
      <c r="H25" s="54">
        <v>5.9050000000000002</v>
      </c>
      <c r="I25" s="54">
        <v>7.2270000000000003</v>
      </c>
      <c r="J25" s="1217">
        <v>0</v>
      </c>
      <c r="K25" s="55">
        <v>109.95</v>
      </c>
      <c r="L25" s="186">
        <v>0</v>
      </c>
      <c r="M25" s="436">
        <f t="shared" si="0"/>
        <v>9.9999999974897946E-4</v>
      </c>
      <c r="N25" s="437">
        <f>SUM(Drift!H64:H66)</f>
        <v>58.29</v>
      </c>
      <c r="O25" s="54">
        <v>9.9489999999999998</v>
      </c>
      <c r="P25" s="54">
        <v>0.21199999999999999</v>
      </c>
      <c r="Q25" s="54">
        <v>3.3650000000000002</v>
      </c>
      <c r="R25" s="54">
        <v>0.83399999999999996</v>
      </c>
      <c r="S25" s="54">
        <v>1.042</v>
      </c>
      <c r="T25" s="54">
        <v>0.17599999999999999</v>
      </c>
      <c r="U25" s="54">
        <v>41.258000000000003</v>
      </c>
      <c r="V25" s="54">
        <v>1.089</v>
      </c>
      <c r="W25" s="54">
        <v>0.36499999999999999</v>
      </c>
      <c r="X25" s="436">
        <f t="shared" si="1"/>
        <v>0</v>
      </c>
      <c r="Y25" s="440">
        <v>123.395</v>
      </c>
      <c r="Z25" s="54">
        <v>1.08</v>
      </c>
      <c r="AA25" s="54">
        <v>1405.9359999999999</v>
      </c>
      <c r="AB25" s="54">
        <v>19.466000000000001</v>
      </c>
      <c r="AC25" s="99">
        <v>89.688000000000002</v>
      </c>
      <c r="AD25" s="2213"/>
    </row>
    <row r="26" spans="1:30" ht="12.95" customHeight="1">
      <c r="A26" s="556">
        <v>509</v>
      </c>
      <c r="B26" s="562" t="s">
        <v>438</v>
      </c>
      <c r="C26" s="83">
        <f>SUM(Drift!F70,Drift!F71)</f>
        <v>337.65</v>
      </c>
      <c r="D26" s="66">
        <v>1.4999999999999999E-2</v>
      </c>
      <c r="E26" s="66">
        <v>0</v>
      </c>
      <c r="F26" s="66">
        <v>136.38800000000001</v>
      </c>
      <c r="G26" s="66">
        <v>0.17</v>
      </c>
      <c r="H26" s="66">
        <v>198.90799999999999</v>
      </c>
      <c r="I26" s="66">
        <v>0</v>
      </c>
      <c r="J26" s="1223">
        <v>0</v>
      </c>
      <c r="K26" s="186">
        <v>0.81699999999999995</v>
      </c>
      <c r="L26" s="186">
        <v>1.351</v>
      </c>
      <c r="M26" s="436">
        <f t="shared" si="0"/>
        <v>9.9999999997635314E-4</v>
      </c>
      <c r="N26" s="437">
        <f>SUM(Drift!H70,Drift!H71)</f>
        <v>1.167</v>
      </c>
      <c r="O26" s="66">
        <v>0.20499999999999999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0.96199999999999997</v>
      </c>
      <c r="W26" s="66">
        <v>0</v>
      </c>
      <c r="X26" s="436">
        <f t="shared" si="1"/>
        <v>0</v>
      </c>
      <c r="Y26" s="440">
        <v>13.958</v>
      </c>
      <c r="Z26" s="66">
        <v>59.136000000000003</v>
      </c>
      <c r="AA26" s="66">
        <v>377.56799999999998</v>
      </c>
      <c r="AB26" s="66">
        <v>0</v>
      </c>
      <c r="AC26" s="99">
        <v>13.044</v>
      </c>
      <c r="AD26" s="2213"/>
    </row>
    <row r="27" spans="1:30" ht="12.95" customHeight="1">
      <c r="A27" s="556">
        <v>510</v>
      </c>
      <c r="B27" s="562" t="s">
        <v>489</v>
      </c>
      <c r="C27" s="83">
        <f>Drift!F73</f>
        <v>20823.239000000001</v>
      </c>
      <c r="D27" s="54">
        <v>1985.951</v>
      </c>
      <c r="E27" s="54">
        <v>433.733</v>
      </c>
      <c r="F27" s="54">
        <v>17223.705000000002</v>
      </c>
      <c r="G27" s="54">
        <v>178.06399999999999</v>
      </c>
      <c r="H27" s="54">
        <v>159.851</v>
      </c>
      <c r="I27" s="54">
        <v>4.351</v>
      </c>
      <c r="J27" s="1217">
        <v>0</v>
      </c>
      <c r="K27" s="55">
        <v>835.88400000000001</v>
      </c>
      <c r="L27" s="186">
        <v>1.7010000000000001</v>
      </c>
      <c r="M27" s="436">
        <f t="shared" si="0"/>
        <v>-9.9999999656574801E-4</v>
      </c>
      <c r="N27" s="437">
        <f>Drift!H73</f>
        <v>940.47799999999995</v>
      </c>
      <c r="O27" s="54">
        <v>85.463999999999999</v>
      </c>
      <c r="P27" s="54">
        <v>7.2290000000000001</v>
      </c>
      <c r="Q27" s="54">
        <v>271.03500000000003</v>
      </c>
      <c r="R27" s="54">
        <v>7.0720000000000001</v>
      </c>
      <c r="S27" s="54">
        <v>11.292</v>
      </c>
      <c r="T27" s="54">
        <v>29.393999999999998</v>
      </c>
      <c r="U27" s="54">
        <v>6.2629999999999999</v>
      </c>
      <c r="V27" s="54">
        <v>520.67999999999995</v>
      </c>
      <c r="W27" s="54">
        <v>2.0510000000000002</v>
      </c>
      <c r="X27" s="436">
        <f t="shared" si="1"/>
        <v>-1.9999999999527063E-3</v>
      </c>
      <c r="Y27" s="440">
        <v>146.11000000000001</v>
      </c>
      <c r="Z27" s="54">
        <v>135.35300000000001</v>
      </c>
      <c r="AA27" s="54">
        <v>6263.1379999999999</v>
      </c>
      <c r="AB27" s="54">
        <v>25.832000000000001</v>
      </c>
      <c r="AC27" s="99">
        <v>2096.8339999999998</v>
      </c>
      <c r="AD27" s="2213"/>
    </row>
    <row r="28" spans="1:30" ht="18" customHeight="1">
      <c r="A28" s="556">
        <v>520</v>
      </c>
      <c r="B28" s="601" t="s">
        <v>372</v>
      </c>
      <c r="C28" s="83">
        <f>Drift!F74</f>
        <v>3535.1790000000001</v>
      </c>
      <c r="D28" s="54">
        <v>258.61900000000003</v>
      </c>
      <c r="E28" s="54">
        <v>9.1039999999999992</v>
      </c>
      <c r="F28" s="54">
        <v>3100.3870000000002</v>
      </c>
      <c r="G28" s="54">
        <v>49.981999999999999</v>
      </c>
      <c r="H28" s="54">
        <v>22.545999999999999</v>
      </c>
      <c r="I28" s="54">
        <v>6.718</v>
      </c>
      <c r="J28" s="1217">
        <v>0</v>
      </c>
      <c r="K28" s="54">
        <v>87.820999999999998</v>
      </c>
      <c r="L28" s="54">
        <v>2E-3</v>
      </c>
      <c r="M28" s="436">
        <f>C28-SUM(D28:L28)</f>
        <v>0</v>
      </c>
      <c r="N28" s="437">
        <f>Drift!H74</f>
        <v>413.49900000000002</v>
      </c>
      <c r="O28" s="54">
        <v>107.04600000000001</v>
      </c>
      <c r="P28" s="54">
        <v>5.5110000000000001</v>
      </c>
      <c r="Q28" s="54">
        <v>133.565</v>
      </c>
      <c r="R28" s="54">
        <v>0.80400000000000005</v>
      </c>
      <c r="S28" s="54">
        <v>0.46700000000000003</v>
      </c>
      <c r="T28" s="54">
        <v>2.6539999999999999</v>
      </c>
      <c r="U28" s="175">
        <v>0.61699999999999999</v>
      </c>
      <c r="V28" s="54">
        <v>162.655</v>
      </c>
      <c r="W28" s="54">
        <v>0.18</v>
      </c>
      <c r="X28" s="436">
        <f>N28-SUM(O28:W28)</f>
        <v>0</v>
      </c>
      <c r="Y28" s="439">
        <v>25.053999999999998</v>
      </c>
      <c r="Z28" s="54">
        <v>15.058</v>
      </c>
      <c r="AA28" s="54">
        <v>523.70299999999997</v>
      </c>
      <c r="AB28" s="54">
        <v>2.226</v>
      </c>
      <c r="AC28" s="525">
        <v>333.88099999999997</v>
      </c>
      <c r="AD28" s="2213"/>
    </row>
    <row r="29" spans="1:30" ht="13.5" customHeight="1">
      <c r="A29" s="556">
        <v>513</v>
      </c>
      <c r="B29" s="1411" t="s">
        <v>373</v>
      </c>
      <c r="C29" s="83">
        <f>Drift!F75</f>
        <v>13893.053</v>
      </c>
      <c r="D29" s="54">
        <v>1506.087</v>
      </c>
      <c r="E29" s="54">
        <v>226.41900000000001</v>
      </c>
      <c r="F29" s="54">
        <v>11352.39</v>
      </c>
      <c r="G29" s="54">
        <v>276.45699999999999</v>
      </c>
      <c r="H29" s="54">
        <v>96.116</v>
      </c>
      <c r="I29" s="54">
        <v>29.826000000000001</v>
      </c>
      <c r="J29" s="1217">
        <v>0</v>
      </c>
      <c r="K29" s="55">
        <v>405.11700000000002</v>
      </c>
      <c r="L29" s="186">
        <v>0.64100000000000001</v>
      </c>
      <c r="M29" s="436">
        <f t="shared" si="0"/>
        <v>0</v>
      </c>
      <c r="N29" s="437">
        <f>Drift!H75</f>
        <v>4983.8370000000004</v>
      </c>
      <c r="O29" s="54">
        <v>11.413</v>
      </c>
      <c r="P29" s="54">
        <v>4.1740000000000004</v>
      </c>
      <c r="Q29" s="54">
        <v>75.081000000000003</v>
      </c>
      <c r="R29" s="54">
        <v>3.855</v>
      </c>
      <c r="S29" s="54">
        <v>1.671</v>
      </c>
      <c r="T29" s="54">
        <v>2.4889999999999999</v>
      </c>
      <c r="U29" s="175">
        <v>4432.18</v>
      </c>
      <c r="V29" s="54">
        <v>452.97300000000001</v>
      </c>
      <c r="W29" s="54">
        <v>1E-3</v>
      </c>
      <c r="X29" s="436">
        <f>N29-SUM(O29:W29)</f>
        <v>0</v>
      </c>
      <c r="Y29" s="439">
        <v>223.09800000000001</v>
      </c>
      <c r="Z29" s="54">
        <v>34.408999999999999</v>
      </c>
      <c r="AA29" s="54">
        <v>1942.741</v>
      </c>
      <c r="AB29" s="54">
        <v>12.994</v>
      </c>
      <c r="AC29" s="525">
        <v>6245.0029999999997</v>
      </c>
      <c r="AD29" s="2213"/>
    </row>
    <row r="30" spans="1:30" ht="12.95" customHeight="1">
      <c r="A30" s="556">
        <v>530</v>
      </c>
      <c r="B30" s="1058" t="s">
        <v>102</v>
      </c>
      <c r="C30" s="83">
        <f>Drift!F76</f>
        <v>1368.4179999999999</v>
      </c>
      <c r="D30" s="54">
        <v>0.46600000000000003</v>
      </c>
      <c r="E30" s="54">
        <v>5.3769999999999998</v>
      </c>
      <c r="F30" s="54">
        <v>844.245</v>
      </c>
      <c r="G30" s="54">
        <v>4.1470000000000002</v>
      </c>
      <c r="H30" s="54">
        <v>492.68799999999999</v>
      </c>
      <c r="I30" s="54">
        <v>3.0590000000000002</v>
      </c>
      <c r="J30" s="1217">
        <v>0</v>
      </c>
      <c r="K30" s="55">
        <v>18.436</v>
      </c>
      <c r="L30" s="186">
        <v>0</v>
      </c>
      <c r="M30" s="436">
        <f t="shared" si="0"/>
        <v>0</v>
      </c>
      <c r="N30" s="437">
        <f>Drift!H76</f>
        <v>34.960999999999999</v>
      </c>
      <c r="O30" s="54">
        <v>1.516</v>
      </c>
      <c r="P30" s="54">
        <v>-3.0000000000000001E-3</v>
      </c>
      <c r="Q30" s="54">
        <v>-0.13900000000000001</v>
      </c>
      <c r="R30" s="54">
        <v>0</v>
      </c>
      <c r="S30" s="54">
        <v>32.759</v>
      </c>
      <c r="T30" s="54">
        <v>5.0000000000000001E-3</v>
      </c>
      <c r="U30" s="54">
        <v>0.86799999999999999</v>
      </c>
      <c r="V30" s="54">
        <v>-4.5999999999999999E-2</v>
      </c>
      <c r="W30" s="54">
        <v>0</v>
      </c>
      <c r="X30" s="436">
        <f t="shared" si="1"/>
        <v>9.9999999999056399E-4</v>
      </c>
      <c r="Y30" s="439">
        <v>7.4530000000000003</v>
      </c>
      <c r="Z30" s="54">
        <v>0.33100000000000002</v>
      </c>
      <c r="AA30" s="54">
        <v>9.8819999999999997</v>
      </c>
      <c r="AB30" s="54">
        <v>6.0000000000000001E-3</v>
      </c>
      <c r="AC30" s="99">
        <v>19.896000000000001</v>
      </c>
      <c r="AD30" s="2213"/>
    </row>
    <row r="31" spans="1:30" ht="12.95" customHeight="1">
      <c r="A31" s="556">
        <v>559</v>
      </c>
      <c r="B31" s="1058" t="s">
        <v>201</v>
      </c>
      <c r="C31" s="83">
        <f>Drift!F79</f>
        <v>3059.4470000000001</v>
      </c>
      <c r="D31" s="54">
        <v>320.56</v>
      </c>
      <c r="E31" s="54">
        <v>10.805999999999999</v>
      </c>
      <c r="F31" s="54">
        <v>2100.4279999999999</v>
      </c>
      <c r="G31" s="54">
        <v>46.988999999999997</v>
      </c>
      <c r="H31" s="54">
        <v>22.594000000000001</v>
      </c>
      <c r="I31" s="54">
        <v>530.322</v>
      </c>
      <c r="J31" s="1217">
        <v>0</v>
      </c>
      <c r="K31" s="54">
        <v>27.533999999999999</v>
      </c>
      <c r="L31" s="54">
        <v>0.214</v>
      </c>
      <c r="M31" s="1255">
        <f t="shared" si="0"/>
        <v>0</v>
      </c>
      <c r="N31" s="437">
        <f>Drift!H79</f>
        <v>152.124</v>
      </c>
      <c r="O31" s="54">
        <v>123.262</v>
      </c>
      <c r="P31" s="54">
        <v>0.21299999999999999</v>
      </c>
      <c r="Q31" s="54">
        <v>8.468</v>
      </c>
      <c r="R31" s="54">
        <v>1.1910000000000001</v>
      </c>
      <c r="S31" s="54">
        <v>2.4689999999999999</v>
      </c>
      <c r="T31" s="54">
        <v>1.181</v>
      </c>
      <c r="U31" s="54">
        <v>0.53</v>
      </c>
      <c r="V31" s="54">
        <v>14.808</v>
      </c>
      <c r="W31" s="54">
        <v>0</v>
      </c>
      <c r="X31" s="1255">
        <f t="shared" si="1"/>
        <v>2.0000000000095497E-3</v>
      </c>
      <c r="Y31" s="439">
        <v>51.613</v>
      </c>
      <c r="Z31" s="66">
        <v>1.837</v>
      </c>
      <c r="AA31" s="66">
        <v>187.83799999999999</v>
      </c>
      <c r="AB31" s="66">
        <v>6.4450000000000003</v>
      </c>
      <c r="AC31" s="178">
        <v>176.50700000000001</v>
      </c>
      <c r="AD31" s="2213"/>
    </row>
    <row r="32" spans="1:30" ht="12.95" customHeight="1">
      <c r="A32" s="556">
        <v>552</v>
      </c>
      <c r="B32" s="562" t="s">
        <v>138</v>
      </c>
      <c r="C32" s="54"/>
      <c r="D32" s="54">
        <v>103.051</v>
      </c>
      <c r="E32" s="54">
        <v>0.03</v>
      </c>
      <c r="F32" s="54">
        <v>1160.9459999999999</v>
      </c>
      <c r="G32" s="54">
        <v>20.359000000000002</v>
      </c>
      <c r="H32" s="54">
        <v>11.438000000000001</v>
      </c>
      <c r="I32" s="54">
        <v>479.73099999999999</v>
      </c>
      <c r="J32" s="1217">
        <v>0</v>
      </c>
      <c r="K32" s="54">
        <v>10.771000000000001</v>
      </c>
      <c r="L32" s="54">
        <v>0</v>
      </c>
      <c r="M32" s="1255" t="str">
        <f>IF(OR(C32="",C32=0),"",C32-SUM(D32:L32))</f>
        <v/>
      </c>
      <c r="N32" s="54"/>
      <c r="O32" s="54">
        <v>58.115000000000002</v>
      </c>
      <c r="P32" s="54">
        <v>-7.0000000000000001E-3</v>
      </c>
      <c r="Q32" s="54">
        <v>1.0089999999999999</v>
      </c>
      <c r="R32" s="54">
        <v>0.59199999999999997</v>
      </c>
      <c r="S32" s="54">
        <v>0.16300000000000001</v>
      </c>
      <c r="T32" s="54">
        <v>0.4</v>
      </c>
      <c r="U32" s="54">
        <v>0.26</v>
      </c>
      <c r="V32" s="54">
        <v>5.1260000000000003</v>
      </c>
      <c r="W32" s="54">
        <v>0</v>
      </c>
      <c r="X32" s="1255" t="str">
        <f>IF(OR(N32="",N32=0),"",N32-SUM(O32:W32))</f>
        <v/>
      </c>
      <c r="Y32" s="440">
        <v>26.33</v>
      </c>
      <c r="Z32" s="54">
        <v>0.24099999999999999</v>
      </c>
      <c r="AA32" s="54">
        <v>30.655999999999999</v>
      </c>
      <c r="AB32" s="54">
        <v>0.78200000000000003</v>
      </c>
      <c r="AC32" s="178">
        <v>79.45</v>
      </c>
      <c r="AD32" s="2213"/>
    </row>
    <row r="33" spans="1:30" ht="12.95" customHeight="1">
      <c r="A33" s="556">
        <v>569</v>
      </c>
      <c r="B33" s="557" t="s">
        <v>106</v>
      </c>
      <c r="C33" s="83">
        <f>Drift!F80</f>
        <v>8292.5959999999995</v>
      </c>
      <c r="D33" s="54">
        <v>269.83300000000003</v>
      </c>
      <c r="E33" s="54">
        <v>12.422000000000001</v>
      </c>
      <c r="F33" s="54">
        <v>6547.1660000000002</v>
      </c>
      <c r="G33" s="54">
        <v>152.79900000000001</v>
      </c>
      <c r="H33" s="54">
        <v>89.82</v>
      </c>
      <c r="I33" s="54">
        <v>1170.299</v>
      </c>
      <c r="J33" s="1217">
        <v>0</v>
      </c>
      <c r="K33" s="54">
        <v>48.482999999999997</v>
      </c>
      <c r="L33" s="54">
        <v>1.7749999999999999</v>
      </c>
      <c r="M33" s="1255">
        <f t="shared" si="0"/>
        <v>-1.0000000002037268E-3</v>
      </c>
      <c r="N33" s="437">
        <f>Drift!H80</f>
        <v>120.343</v>
      </c>
      <c r="O33" s="54">
        <v>31.934000000000001</v>
      </c>
      <c r="P33" s="54">
        <v>0.72699999999999998</v>
      </c>
      <c r="Q33" s="54">
        <v>13.561</v>
      </c>
      <c r="R33" s="54">
        <v>3.0680000000000001</v>
      </c>
      <c r="S33" s="54">
        <v>3.1150000000000002</v>
      </c>
      <c r="T33" s="54">
        <v>2.76</v>
      </c>
      <c r="U33" s="54">
        <v>1.8560000000000001</v>
      </c>
      <c r="V33" s="54">
        <v>63.32</v>
      </c>
      <c r="W33" s="54">
        <v>0</v>
      </c>
      <c r="X33" s="1255">
        <f t="shared" si="1"/>
        <v>1.9999999999953388E-3</v>
      </c>
      <c r="Y33" s="440">
        <v>140.904</v>
      </c>
      <c r="Z33" s="54">
        <v>24.004999999999999</v>
      </c>
      <c r="AA33" s="54">
        <v>869.53300000000002</v>
      </c>
      <c r="AB33" s="54">
        <v>4.1719999999999997</v>
      </c>
      <c r="AC33" s="178">
        <v>560.95799999999997</v>
      </c>
      <c r="AD33" s="2213"/>
    </row>
    <row r="34" spans="1:30" ht="12.95" customHeight="1">
      <c r="A34" s="556">
        <v>554</v>
      </c>
      <c r="B34" s="562" t="s">
        <v>205</v>
      </c>
      <c r="C34" s="54"/>
      <c r="D34" s="54">
        <v>112.131</v>
      </c>
      <c r="E34" s="54">
        <v>5.3070000000000004</v>
      </c>
      <c r="F34" s="54">
        <v>3412.1390000000001</v>
      </c>
      <c r="G34" s="54">
        <v>43.701000000000001</v>
      </c>
      <c r="H34" s="54">
        <v>24.294</v>
      </c>
      <c r="I34" s="54">
        <v>1012.919</v>
      </c>
      <c r="J34" s="1217">
        <v>0</v>
      </c>
      <c r="K34" s="54">
        <v>27.757999999999999</v>
      </c>
      <c r="L34" s="54">
        <v>1.101</v>
      </c>
      <c r="M34" s="1255" t="str">
        <f>IF(OR(C34="",C34=0),"",C34-SUM(D34:L34))</f>
        <v/>
      </c>
      <c r="N34" s="54"/>
      <c r="O34" s="54">
        <v>6.0810000000000004</v>
      </c>
      <c r="P34" s="54">
        <v>-2.8000000000000001E-2</v>
      </c>
      <c r="Q34" s="54">
        <v>4.9870000000000001</v>
      </c>
      <c r="R34" s="54">
        <v>0.78800000000000003</v>
      </c>
      <c r="S34" s="54">
        <v>0.40200000000000002</v>
      </c>
      <c r="T34" s="54">
        <v>1.03</v>
      </c>
      <c r="U34" s="54">
        <v>0.33200000000000002</v>
      </c>
      <c r="V34" s="54">
        <v>10.196</v>
      </c>
      <c r="W34" s="54">
        <v>0</v>
      </c>
      <c r="X34" s="1255" t="str">
        <f>IF(OR(N34="",N34=0),"",N34-SUM(O34:W34))</f>
        <v/>
      </c>
      <c r="Y34" s="440">
        <v>53.813000000000002</v>
      </c>
      <c r="Z34" s="54">
        <v>3.5840000000000001</v>
      </c>
      <c r="AA34" s="54">
        <v>233.28299999999999</v>
      </c>
      <c r="AB34" s="54">
        <v>0.81799999999999995</v>
      </c>
      <c r="AC34" s="178">
        <v>233.96600000000001</v>
      </c>
      <c r="AD34" s="2213"/>
    </row>
    <row r="35" spans="1:30" ht="12.95" customHeight="1">
      <c r="A35" s="556">
        <v>580</v>
      </c>
      <c r="B35" s="562" t="s">
        <v>139</v>
      </c>
      <c r="C35" s="83">
        <f>SUM(Drift!F81,Drift!F82,Drift!F84)</f>
        <v>1019.596</v>
      </c>
      <c r="D35" s="54">
        <v>130.17099999999999</v>
      </c>
      <c r="E35" s="54">
        <v>2.101</v>
      </c>
      <c r="F35" s="54">
        <v>712.14300000000003</v>
      </c>
      <c r="G35" s="54">
        <v>127.878</v>
      </c>
      <c r="H35" s="54">
        <v>11.589</v>
      </c>
      <c r="I35" s="54">
        <v>7.282</v>
      </c>
      <c r="J35" s="1217">
        <v>0</v>
      </c>
      <c r="K35" s="55">
        <v>28.428000000000001</v>
      </c>
      <c r="L35" s="186">
        <v>2E-3</v>
      </c>
      <c r="M35" s="1255">
        <f t="shared" si="0"/>
        <v>1.9999999999527063E-3</v>
      </c>
      <c r="N35" s="437">
        <f>SUM(Drift!H81,Drift!H82,Drift!H84)</f>
        <v>11674.842000000001</v>
      </c>
      <c r="O35" s="54">
        <v>280.62400000000002</v>
      </c>
      <c r="P35" s="54">
        <v>1.6930000000000001</v>
      </c>
      <c r="Q35" s="54">
        <v>42.366999999999997</v>
      </c>
      <c r="R35" s="54">
        <v>3.165</v>
      </c>
      <c r="S35" s="54">
        <v>3.468</v>
      </c>
      <c r="T35" s="54">
        <v>9.1720000000000006</v>
      </c>
      <c r="U35" s="54">
        <v>1.87</v>
      </c>
      <c r="V35" s="54">
        <v>11332.478999999999</v>
      </c>
      <c r="W35" s="54">
        <v>4.0000000000000001E-3</v>
      </c>
      <c r="X35" s="1255">
        <f t="shared" si="1"/>
        <v>0</v>
      </c>
      <c r="Y35" s="439">
        <v>125.666</v>
      </c>
      <c r="Z35" s="54">
        <v>0.25</v>
      </c>
      <c r="AA35" s="54">
        <v>623.21</v>
      </c>
      <c r="AB35" s="54">
        <v>18.16</v>
      </c>
      <c r="AC35" s="99">
        <v>334.154</v>
      </c>
      <c r="AD35" s="2213"/>
    </row>
    <row r="36" spans="1:30" ht="12.95" customHeight="1">
      <c r="A36" s="556">
        <v>600</v>
      </c>
      <c r="B36" s="557" t="s">
        <v>113</v>
      </c>
      <c r="C36" s="83">
        <f>Drift!F87</f>
        <v>1133.6579999999999</v>
      </c>
      <c r="D36" s="66">
        <v>46.735999999999997</v>
      </c>
      <c r="E36" s="66">
        <v>1.139</v>
      </c>
      <c r="F36" s="66">
        <v>913.87800000000004</v>
      </c>
      <c r="G36" s="66">
        <v>45.213999999999999</v>
      </c>
      <c r="H36" s="66">
        <v>7.1950000000000003</v>
      </c>
      <c r="I36" s="66">
        <v>90.146000000000001</v>
      </c>
      <c r="J36" s="1223">
        <v>0</v>
      </c>
      <c r="K36" s="186">
        <v>29.35</v>
      </c>
      <c r="L36" s="186">
        <v>0</v>
      </c>
      <c r="M36" s="436">
        <f t="shared" si="0"/>
        <v>0</v>
      </c>
      <c r="N36" s="437">
        <f>Drift!H87</f>
        <v>908.83900000000006</v>
      </c>
      <c r="O36" s="66">
        <v>121.292</v>
      </c>
      <c r="P36" s="66">
        <v>1.075</v>
      </c>
      <c r="Q36" s="66">
        <v>5.601</v>
      </c>
      <c r="R36" s="66">
        <v>1.198</v>
      </c>
      <c r="S36" s="66">
        <v>1.7689999999999999</v>
      </c>
      <c r="T36" s="66">
        <v>0.629</v>
      </c>
      <c r="U36" s="66">
        <v>6.4669999999999996</v>
      </c>
      <c r="V36" s="66">
        <v>770.65200000000004</v>
      </c>
      <c r="W36" s="66">
        <v>0.155</v>
      </c>
      <c r="X36" s="436">
        <f t="shared" si="1"/>
        <v>1.00000000009004E-3</v>
      </c>
      <c r="Y36" s="440">
        <v>44.609000000000002</v>
      </c>
      <c r="Z36" s="66">
        <v>19.443999999999999</v>
      </c>
      <c r="AA36" s="66">
        <v>5052.3050000000003</v>
      </c>
      <c r="AB36" s="66">
        <v>18.670000000000002</v>
      </c>
      <c r="AC36" s="99">
        <v>117.69</v>
      </c>
      <c r="AD36" s="2213"/>
    </row>
    <row r="37" spans="1:30" ht="12.95" customHeight="1">
      <c r="A37" s="556">
        <v>610</v>
      </c>
      <c r="B37" s="562" t="s">
        <v>140</v>
      </c>
      <c r="C37" s="83">
        <f>Drift!F88</f>
        <v>169.917</v>
      </c>
      <c r="D37" s="54">
        <v>28.774999999999999</v>
      </c>
      <c r="E37" s="54">
        <v>19.856999999999999</v>
      </c>
      <c r="F37" s="54">
        <v>75.626000000000005</v>
      </c>
      <c r="G37" s="54">
        <v>17.806000000000001</v>
      </c>
      <c r="H37" s="54">
        <v>3.472</v>
      </c>
      <c r="I37" s="54">
        <v>5.0890000000000004</v>
      </c>
      <c r="J37" s="1217">
        <v>0</v>
      </c>
      <c r="K37" s="55">
        <v>19.292000000000002</v>
      </c>
      <c r="L37" s="186">
        <v>0</v>
      </c>
      <c r="M37" s="436">
        <f t="shared" si="0"/>
        <v>0</v>
      </c>
      <c r="N37" s="437">
        <f>Drift!H88</f>
        <v>155.059</v>
      </c>
      <c r="O37" s="54">
        <v>63.710999999999999</v>
      </c>
      <c r="P37" s="54">
        <v>9.4760000000000009</v>
      </c>
      <c r="Q37" s="54">
        <v>29.111999999999998</v>
      </c>
      <c r="R37" s="54">
        <v>6.6319999999999997</v>
      </c>
      <c r="S37" s="54">
        <v>0.97299999999999998</v>
      </c>
      <c r="T37" s="54">
        <v>28.823</v>
      </c>
      <c r="U37" s="54">
        <v>3.7450000000000001</v>
      </c>
      <c r="V37" s="54">
        <v>12.507999999999999</v>
      </c>
      <c r="W37" s="54">
        <v>7.8E-2</v>
      </c>
      <c r="X37" s="436">
        <f t="shared" si="1"/>
        <v>9.9999999997635314E-4</v>
      </c>
      <c r="Y37" s="440">
        <v>46.100999999999999</v>
      </c>
      <c r="Z37" s="54">
        <v>0.94199999999999995</v>
      </c>
      <c r="AA37" s="54">
        <v>3593.8589999999999</v>
      </c>
      <c r="AB37" s="54">
        <v>160.92400000000001</v>
      </c>
      <c r="AC37" s="99">
        <v>229.86600000000001</v>
      </c>
      <c r="AD37" s="2213"/>
    </row>
    <row r="38" spans="1:30" ht="12.95" customHeight="1">
      <c r="A38" s="556">
        <v>890</v>
      </c>
      <c r="B38" s="562" t="s">
        <v>141</v>
      </c>
      <c r="C38" s="83">
        <f>Drift!F109</f>
        <v>5084.9590000000007</v>
      </c>
      <c r="D38" s="54">
        <v>4.6559999999999997</v>
      </c>
      <c r="E38" s="54">
        <v>1438.2539999999999</v>
      </c>
      <c r="F38" s="54">
        <v>2819.2919999999999</v>
      </c>
      <c r="G38" s="54">
        <v>142.149</v>
      </c>
      <c r="H38" s="54">
        <v>380.09500000000003</v>
      </c>
      <c r="I38" s="54">
        <v>62.088999999999999</v>
      </c>
      <c r="J38" s="1217">
        <v>0</v>
      </c>
      <c r="K38" s="55">
        <v>225.251</v>
      </c>
      <c r="L38" s="186">
        <v>13.172000000000001</v>
      </c>
      <c r="M38" s="436">
        <f t="shared" si="0"/>
        <v>1.0000000011132215E-3</v>
      </c>
      <c r="N38" s="437">
        <f>Drift!H109</f>
        <v>1237.6489999999999</v>
      </c>
      <c r="O38" s="54">
        <v>14.96</v>
      </c>
      <c r="P38" s="54">
        <v>420.33499999999998</v>
      </c>
      <c r="Q38" s="54">
        <v>321.84199999999998</v>
      </c>
      <c r="R38" s="54">
        <v>11.926</v>
      </c>
      <c r="S38" s="54">
        <v>251.71899999999999</v>
      </c>
      <c r="T38" s="54">
        <v>179.44800000000001</v>
      </c>
      <c r="U38" s="54">
        <v>32.345999999999997</v>
      </c>
      <c r="V38" s="54">
        <v>2.41</v>
      </c>
      <c r="W38" s="54">
        <v>2.6629999999999998</v>
      </c>
      <c r="X38" s="436">
        <f t="shared" si="1"/>
        <v>0</v>
      </c>
      <c r="Y38" s="440">
        <v>126.73699999999999</v>
      </c>
      <c r="Z38" s="54">
        <v>23.843</v>
      </c>
      <c r="AA38" s="54">
        <v>343.91899999999998</v>
      </c>
      <c r="AB38" s="54">
        <v>17.905000000000001</v>
      </c>
      <c r="AC38" s="99">
        <v>4726.6469999999999</v>
      </c>
      <c r="AD38" s="2213"/>
    </row>
    <row r="39" spans="1:30" ht="12.95" customHeight="1">
      <c r="A39" s="556">
        <v>940</v>
      </c>
      <c r="B39" s="562" t="s">
        <v>142</v>
      </c>
      <c r="C39" s="83">
        <f>SUM(Drift!F111:F112)</f>
        <v>870.28600000000006</v>
      </c>
      <c r="D39" s="54">
        <v>13.394</v>
      </c>
      <c r="E39" s="54">
        <v>347.65699999999998</v>
      </c>
      <c r="F39" s="54">
        <v>226.506</v>
      </c>
      <c r="G39" s="54">
        <v>190.60300000000001</v>
      </c>
      <c r="H39" s="54">
        <v>20.91</v>
      </c>
      <c r="I39" s="54">
        <v>2.6520000000000001</v>
      </c>
      <c r="J39" s="1217">
        <v>0</v>
      </c>
      <c r="K39" s="55">
        <v>68.501999999999995</v>
      </c>
      <c r="L39" s="186">
        <v>6.2E-2</v>
      </c>
      <c r="M39" s="436">
        <f t="shared" si="0"/>
        <v>0</v>
      </c>
      <c r="N39" s="437">
        <f>SUM(Drift!H111:H112)</f>
        <v>464.90300000000002</v>
      </c>
      <c r="O39" s="54">
        <v>167.40600000000001</v>
      </c>
      <c r="P39" s="54">
        <v>86.477000000000004</v>
      </c>
      <c r="Q39" s="54">
        <v>75.224999999999994</v>
      </c>
      <c r="R39" s="54">
        <v>5.2919999999999998</v>
      </c>
      <c r="S39" s="54">
        <v>6.7190000000000003</v>
      </c>
      <c r="T39" s="54">
        <v>58.545000000000002</v>
      </c>
      <c r="U39" s="54">
        <v>56.335000000000001</v>
      </c>
      <c r="V39" s="54">
        <v>6.4820000000000002</v>
      </c>
      <c r="W39" s="54">
        <v>2.4239999999999999</v>
      </c>
      <c r="X39" s="436">
        <f t="shared" si="1"/>
        <v>-1.9999999999527063E-3</v>
      </c>
      <c r="Y39" s="440">
        <v>713.55700000000002</v>
      </c>
      <c r="Z39" s="54">
        <v>47.048999999999999</v>
      </c>
      <c r="AA39" s="54">
        <v>2283.6709999999998</v>
      </c>
      <c r="AB39" s="54">
        <v>87.311000000000007</v>
      </c>
      <c r="AC39" s="99">
        <v>807.625</v>
      </c>
      <c r="AD39" s="2213"/>
    </row>
    <row r="40" spans="1:30" ht="12.95" customHeight="1">
      <c r="A40" s="588" t="s">
        <v>280</v>
      </c>
      <c r="B40" s="1059" t="s">
        <v>35</v>
      </c>
      <c r="C40" s="411">
        <f>SUM(C9:C31,C33,C35:C39)</f>
        <v>138095.91099999999</v>
      </c>
      <c r="D40" s="365">
        <f>SUM(D9:D31,D33,D35:D39)</f>
        <v>16423.890000000003</v>
      </c>
      <c r="E40" s="365">
        <f t="shared" ref="E40:L40" si="2">SUM(E9:E31,E33,E35:E39)</f>
        <v>4073.5329999999999</v>
      </c>
      <c r="F40" s="365">
        <f t="shared" si="2"/>
        <v>91012.027000000002</v>
      </c>
      <c r="G40" s="365">
        <f t="shared" si="2"/>
        <v>13303.822000000002</v>
      </c>
      <c r="H40" s="365">
        <f t="shared" si="2"/>
        <v>2107.56</v>
      </c>
      <c r="I40" s="365">
        <f t="shared" si="2"/>
        <v>2558.672</v>
      </c>
      <c r="J40" s="1915">
        <f t="shared" si="2"/>
        <v>0</v>
      </c>
      <c r="K40" s="365">
        <f t="shared" si="2"/>
        <v>8575.5550000000003</v>
      </c>
      <c r="L40" s="365">
        <f t="shared" si="2"/>
        <v>40.842999999999996</v>
      </c>
      <c r="M40" s="368">
        <f>SUM(M9:M31,M33,M35:M39)</f>
        <v>9.0000000055034945E-3</v>
      </c>
      <c r="N40" s="438">
        <f>SUM(N9:N31,N33,N35:N39)</f>
        <v>29262.779000000002</v>
      </c>
      <c r="O40" s="365">
        <f>SUM(O9:O31,O33,O35:O39)</f>
        <v>5206.076</v>
      </c>
      <c r="P40" s="365">
        <f t="shared" ref="P40:W40" si="3">SUM(P9:P31,P33,P35:P39)</f>
        <v>1498.7479999999998</v>
      </c>
      <c r="Q40" s="365">
        <f t="shared" si="3"/>
        <v>2007.4040000000005</v>
      </c>
      <c r="R40" s="365">
        <f t="shared" si="3"/>
        <v>96.674000000000021</v>
      </c>
      <c r="S40" s="365">
        <f t="shared" si="3"/>
        <v>370.34199999999998</v>
      </c>
      <c r="T40" s="365">
        <f t="shared" si="3"/>
        <v>1417.2860000000001</v>
      </c>
      <c r="U40" s="365">
        <f t="shared" si="3"/>
        <v>4992.2129999999988</v>
      </c>
      <c r="V40" s="365">
        <f t="shared" si="3"/>
        <v>13651.231</v>
      </c>
      <c r="W40" s="365">
        <f t="shared" si="3"/>
        <v>22.790000000000003</v>
      </c>
      <c r="X40" s="368">
        <f t="shared" ref="X40:AC40" si="4">SUM(X9:X31,X33,X35:X39)</f>
        <v>1.500000000276891E-2</v>
      </c>
      <c r="Y40" s="441">
        <f t="shared" si="4"/>
        <v>13621.800999999999</v>
      </c>
      <c r="Z40" s="366">
        <f t="shared" si="4"/>
        <v>403.846</v>
      </c>
      <c r="AA40" s="366">
        <f t="shared" si="4"/>
        <v>47879.783000000003</v>
      </c>
      <c r="AB40" s="366">
        <f t="shared" si="4"/>
        <v>631.70400000000006</v>
      </c>
      <c r="AC40" s="367">
        <f t="shared" si="4"/>
        <v>21805.651999999998</v>
      </c>
      <c r="AD40" s="2213"/>
    </row>
    <row r="41" spans="1:30" ht="12" customHeight="1">
      <c r="A41" s="588"/>
      <c r="B41" s="1060" t="s">
        <v>1075</v>
      </c>
      <c r="C41" s="10"/>
      <c r="D41" s="47"/>
      <c r="E41" s="47"/>
      <c r="F41" s="47"/>
      <c r="G41" s="47"/>
      <c r="H41" s="47"/>
      <c r="I41" s="47"/>
      <c r="J41" s="1689"/>
      <c r="K41" s="46"/>
      <c r="L41" s="1691"/>
      <c r="M41" s="2088"/>
      <c r="N41" s="528"/>
      <c r="O41" s="253"/>
      <c r="P41" s="253"/>
      <c r="Q41" s="253"/>
      <c r="R41" s="253"/>
      <c r="S41" s="253"/>
      <c r="T41" s="254"/>
      <c r="V41" s="254"/>
      <c r="W41" s="530"/>
      <c r="X41" s="2089" t="str">
        <f>IF(OR(ABS(X40&gt;100),(X40&lt;-100),COUNTIF(X9:X39,"&gt;100")&gt;0,COUNTIF(X9:X39,"&lt;-100")&gt;0),"Rätta differenserna i kolumn X","")</f>
        <v/>
      </c>
      <c r="Y41" s="121">
        <f>SUM('Verks int o kostn'!I26+'Verks int o kostn'!I28)</f>
        <v>13621.795</v>
      </c>
      <c r="Z41" s="86">
        <f>'Verks int o kostn'!I27</f>
        <v>403.85599999999999</v>
      </c>
      <c r="AA41" s="86">
        <f>SUM('Verks int o kostn'!D17,'Verks int o kostn'!D18)</f>
        <v>48000.663</v>
      </c>
      <c r="AB41" s="86">
        <f>'Verks int o kostn'!D22</f>
        <v>631.70100000000002</v>
      </c>
      <c r="AC41" s="252">
        <f>SUM('Verks int o kostn'!D14,'Verks int o kostn'!D19,'Verks int o kostn'!D20,'Verks int o kostn'!D21,'Verks int o kostn'!D23,'Verks int o kostn'!D24)</f>
        <v>21854.38</v>
      </c>
      <c r="AD41" s="2213"/>
    </row>
    <row r="42" spans="1:30" ht="12.75" customHeight="1" thickBot="1">
      <c r="A42" s="579"/>
      <c r="B42" s="1061" t="s">
        <v>129</v>
      </c>
      <c r="C42" s="250"/>
      <c r="D42" s="127"/>
      <c r="E42" s="127"/>
      <c r="F42" s="127"/>
      <c r="G42" s="127"/>
      <c r="H42" s="127"/>
      <c r="I42" s="127"/>
      <c r="J42" s="526"/>
      <c r="K42" s="127"/>
      <c r="L42" s="527"/>
      <c r="M42" s="1325"/>
      <c r="N42" s="529"/>
      <c r="O42" s="251"/>
      <c r="P42" s="127"/>
      <c r="Q42" s="127"/>
      <c r="R42" s="127"/>
      <c r="S42" s="127"/>
      <c r="T42" s="128"/>
      <c r="U42" s="533"/>
      <c r="V42" s="128"/>
      <c r="W42" s="251"/>
      <c r="X42" s="531"/>
      <c r="Y42" s="412">
        <f>Y40-Y41</f>
        <v>5.9999999994033715E-3</v>
      </c>
      <c r="Z42" s="413">
        <f>Z40-Z41</f>
        <v>-9.9999999999909051E-3</v>
      </c>
      <c r="AA42" s="414">
        <f>AA40-AA41</f>
        <v>-120.87999999999738</v>
      </c>
      <c r="AB42" s="414">
        <f>AB40-AB41</f>
        <v>3.0000000000427463E-3</v>
      </c>
      <c r="AC42" s="415">
        <f>AC40-AC41</f>
        <v>-48.728000000002794</v>
      </c>
      <c r="AD42" s="2213"/>
    </row>
    <row r="43" spans="1:30" ht="12.75" customHeight="1">
      <c r="A43" s="2213"/>
      <c r="B43" s="2213"/>
      <c r="C43" s="2213"/>
      <c r="D43" s="2213"/>
      <c r="E43" s="2213"/>
      <c r="F43" s="2213"/>
      <c r="G43" s="2213"/>
      <c r="H43" s="2213"/>
      <c r="I43" s="2213"/>
      <c r="J43" s="2213"/>
      <c r="K43" s="2213"/>
      <c r="L43" s="2213"/>
      <c r="M43" s="2213"/>
      <c r="N43" s="2213"/>
      <c r="O43" s="2213"/>
      <c r="P43" s="2213"/>
      <c r="Q43" s="2213"/>
      <c r="R43" s="2213"/>
      <c r="S43" s="2213"/>
      <c r="T43" s="2213"/>
      <c r="U43" s="2213"/>
      <c r="V43" s="2213"/>
      <c r="W43" s="2213"/>
      <c r="X43" s="2213"/>
      <c r="Y43" s="2213"/>
      <c r="Z43" s="2213"/>
      <c r="AA43" s="2213"/>
      <c r="AB43" s="2213"/>
      <c r="AC43" s="2213"/>
      <c r="AD43" s="2213"/>
    </row>
    <row r="44" spans="1:30" ht="12.75" customHeight="1">
      <c r="A44" s="2213"/>
      <c r="B44" s="2213"/>
      <c r="C44" s="2213"/>
      <c r="D44" s="2213"/>
      <c r="E44" s="2213"/>
      <c r="F44" s="2213"/>
      <c r="G44" s="2213"/>
      <c r="H44" s="2213"/>
      <c r="I44" s="2213"/>
      <c r="J44" s="2213"/>
      <c r="K44" s="2213"/>
      <c r="L44" s="2213"/>
      <c r="M44" s="2213"/>
      <c r="N44" s="2213"/>
      <c r="O44" s="2213"/>
      <c r="P44" s="2213"/>
      <c r="Q44" s="2213"/>
      <c r="R44" s="2213"/>
      <c r="S44" s="2213"/>
      <c r="T44" s="2213"/>
      <c r="U44" s="2213"/>
      <c r="V44" s="2213"/>
      <c r="W44" s="2213"/>
      <c r="X44" s="2213"/>
      <c r="Y44" s="2213"/>
      <c r="Z44" s="2213"/>
      <c r="AA44" s="2213"/>
      <c r="AB44" s="2213"/>
      <c r="AC44" s="2213"/>
      <c r="AD44" s="2213"/>
    </row>
    <row r="45" spans="1:30" ht="12.75" customHeight="1">
      <c r="A45" s="2213"/>
      <c r="B45" s="2213"/>
      <c r="C45" s="2213"/>
      <c r="D45" s="2213"/>
      <c r="E45" s="2213"/>
      <c r="F45" s="2213"/>
      <c r="G45" s="2213"/>
      <c r="H45" s="2213"/>
      <c r="I45" s="2213"/>
      <c r="J45" s="2213"/>
      <c r="K45" s="2213"/>
      <c r="L45" s="2213"/>
      <c r="M45" s="2213"/>
      <c r="N45" s="2213"/>
      <c r="O45" s="2213"/>
      <c r="P45" s="2213"/>
      <c r="Q45" s="2213"/>
      <c r="R45" s="2213"/>
      <c r="S45" s="2213"/>
      <c r="T45" s="2213"/>
      <c r="U45" s="2213"/>
      <c r="V45" s="2213"/>
      <c r="W45" s="2213"/>
      <c r="X45" s="2213"/>
      <c r="Y45" s="2213"/>
      <c r="Z45" s="2213"/>
      <c r="AA45" s="2213"/>
      <c r="AB45" s="2213"/>
      <c r="AC45" s="2213"/>
      <c r="AD45" s="2213"/>
    </row>
    <row r="46" spans="1:30" ht="9.75" customHeight="1">
      <c r="A46" s="2213"/>
      <c r="B46" s="2213"/>
      <c r="C46" s="2213"/>
      <c r="D46" s="2213"/>
      <c r="E46" s="2213"/>
      <c r="F46" s="2213"/>
      <c r="G46" s="2213"/>
      <c r="H46" s="2213"/>
      <c r="I46" s="2213"/>
      <c r="J46" s="2213"/>
      <c r="K46" s="2213"/>
      <c r="L46" s="2213"/>
      <c r="M46" s="2213"/>
      <c r="N46" s="2213"/>
      <c r="O46" s="2213"/>
      <c r="P46" s="2213"/>
      <c r="Q46" s="2213"/>
      <c r="R46" s="2213"/>
      <c r="S46" s="2213"/>
      <c r="T46" s="2213"/>
      <c r="U46" s="2213"/>
      <c r="V46" s="2213"/>
      <c r="W46" s="2213"/>
      <c r="X46" s="2213"/>
      <c r="Y46" s="2213"/>
      <c r="Z46" s="2213"/>
      <c r="AA46" s="2213"/>
      <c r="AB46" s="2213"/>
      <c r="AC46" s="2213"/>
      <c r="AD46" s="2213"/>
    </row>
    <row r="47" spans="1:30" ht="10.5" customHeight="1">
      <c r="A47" s="2213"/>
      <c r="B47" s="2213"/>
      <c r="C47" s="2213"/>
      <c r="D47" s="2213"/>
      <c r="E47" s="2213"/>
      <c r="F47" s="2213"/>
      <c r="G47" s="2213"/>
      <c r="H47" s="2213"/>
      <c r="I47" s="2213"/>
      <c r="J47" s="2213"/>
      <c r="K47" s="2213"/>
      <c r="L47" s="2213"/>
      <c r="M47" s="2213"/>
      <c r="N47" s="2213"/>
      <c r="O47" s="2213"/>
      <c r="P47" s="2213"/>
      <c r="Q47" s="2213"/>
      <c r="R47" s="2213"/>
      <c r="S47" s="2213"/>
      <c r="T47" s="2213"/>
      <c r="U47" s="2213"/>
      <c r="V47" s="2213"/>
      <c r="W47" s="2213"/>
      <c r="X47" s="2213"/>
      <c r="Y47" s="2213"/>
      <c r="Z47" s="2213"/>
      <c r="AA47" s="2213"/>
      <c r="AB47" s="2213"/>
      <c r="AC47" s="2213"/>
      <c r="AD47" s="2213"/>
    </row>
    <row r="48" spans="1:30" ht="9.75" customHeight="1">
      <c r="A48" s="2213"/>
      <c r="B48" s="2213"/>
      <c r="C48" s="2213"/>
      <c r="D48" s="2213"/>
      <c r="E48" s="2213"/>
      <c r="F48" s="2213"/>
      <c r="G48" s="2213"/>
      <c r="H48" s="2213"/>
      <c r="I48" s="2213"/>
      <c r="J48" s="2213"/>
      <c r="K48" s="2213"/>
      <c r="L48" s="2213"/>
      <c r="M48" s="2213"/>
      <c r="N48" s="2213"/>
      <c r="O48" s="2213"/>
      <c r="P48" s="2213"/>
      <c r="Q48" s="2213"/>
      <c r="R48" s="2213"/>
      <c r="S48" s="2213"/>
      <c r="T48" s="2213"/>
      <c r="U48" s="2213"/>
      <c r="V48" s="2213"/>
      <c r="W48" s="2213"/>
      <c r="X48" s="2213"/>
      <c r="Y48" s="2213"/>
      <c r="Z48" s="2213"/>
      <c r="AA48" s="2213"/>
      <c r="AB48" s="2213"/>
      <c r="AC48" s="2213"/>
      <c r="AD48" s="2213"/>
    </row>
    <row r="49" spans="1:30" ht="12.75">
      <c r="A49" s="2213"/>
      <c r="B49" s="2213"/>
      <c r="C49" s="2213"/>
      <c r="D49" s="2213"/>
      <c r="E49" s="2213"/>
      <c r="F49" s="2213"/>
      <c r="G49" s="2213"/>
      <c r="H49" s="2213"/>
      <c r="I49" s="2213"/>
      <c r="J49" s="2213"/>
      <c r="K49" s="2213"/>
      <c r="L49" s="2213"/>
      <c r="M49" s="2213"/>
      <c r="N49" s="2213"/>
      <c r="O49" s="2213"/>
      <c r="P49" s="2213"/>
      <c r="Q49" s="2213"/>
      <c r="R49" s="2213"/>
      <c r="S49" s="2213"/>
      <c r="T49" s="2213"/>
      <c r="U49" s="2213"/>
      <c r="V49" s="2213"/>
      <c r="W49" s="2213"/>
      <c r="X49" s="2213"/>
      <c r="Y49" s="2213"/>
      <c r="Z49" s="2213"/>
      <c r="AA49" s="2213"/>
      <c r="AB49" s="2213"/>
      <c r="AC49" s="2213"/>
      <c r="AD49" s="2213"/>
    </row>
    <row r="50" spans="1:30" ht="12.75">
      <c r="A50" s="2213"/>
      <c r="B50" s="2213"/>
      <c r="C50" s="2213"/>
      <c r="D50" s="2213"/>
      <c r="E50" s="2213"/>
      <c r="F50" s="2213"/>
      <c r="G50" s="2213"/>
      <c r="H50" s="2213"/>
      <c r="I50" s="2213"/>
      <c r="J50" s="2213"/>
      <c r="K50" s="2213"/>
      <c r="L50" s="2213"/>
      <c r="M50" s="2213"/>
      <c r="N50" s="2213"/>
      <c r="O50" s="2213"/>
      <c r="P50" s="2213"/>
      <c r="Q50" s="2213"/>
      <c r="R50" s="2213"/>
      <c r="S50" s="2213"/>
      <c r="T50" s="2213"/>
      <c r="U50" s="2213"/>
      <c r="V50" s="2213"/>
      <c r="W50" s="2213"/>
      <c r="X50" s="2213"/>
      <c r="Y50" s="2213"/>
      <c r="Z50" s="2213"/>
      <c r="AA50" s="2213"/>
      <c r="AB50" s="2213"/>
      <c r="AC50" s="2213"/>
      <c r="AD50" s="2213"/>
    </row>
    <row r="51" spans="1:30" ht="12" customHeight="1">
      <c r="A51" s="2213"/>
      <c r="B51" s="2213"/>
      <c r="C51" s="2213"/>
      <c r="D51" s="2213"/>
      <c r="E51" s="2213"/>
      <c r="F51" s="2213"/>
      <c r="G51" s="2213"/>
      <c r="H51" s="2213"/>
      <c r="I51" s="2213"/>
      <c r="J51" s="2213"/>
      <c r="K51" s="2213"/>
      <c r="L51" s="2213"/>
      <c r="M51" s="2213"/>
      <c r="N51" s="2213"/>
      <c r="O51" s="2213"/>
      <c r="P51" s="2213"/>
      <c r="Q51" s="2213"/>
      <c r="R51" s="2213"/>
      <c r="S51" s="2213"/>
      <c r="T51" s="2213"/>
      <c r="U51" s="2213"/>
      <c r="V51" s="2213"/>
      <c r="W51" s="2213"/>
      <c r="X51" s="2213"/>
      <c r="Y51" s="2213"/>
      <c r="Z51" s="2213"/>
      <c r="AA51" s="2213"/>
      <c r="AB51" s="2213"/>
      <c r="AC51" s="2213"/>
      <c r="AD51" s="2213"/>
    </row>
    <row r="52" spans="1:30" ht="12.75">
      <c r="A52" s="2213"/>
      <c r="B52" s="2213"/>
      <c r="C52" s="2213"/>
      <c r="D52" s="2213"/>
      <c r="E52" s="2213"/>
      <c r="F52" s="2213"/>
      <c r="G52" s="2213"/>
      <c r="H52" s="2213"/>
      <c r="I52" s="2213"/>
      <c r="J52" s="2213"/>
      <c r="K52" s="2213"/>
      <c r="L52" s="2213"/>
      <c r="M52" s="2213"/>
      <c r="N52" s="2213"/>
      <c r="O52" s="2213"/>
      <c r="P52" s="2213"/>
      <c r="Q52" s="2213"/>
      <c r="R52" s="2213"/>
      <c r="S52" s="2213"/>
      <c r="T52" s="2213"/>
      <c r="U52" s="2213"/>
      <c r="V52" s="2213"/>
      <c r="W52" s="2213"/>
      <c r="X52" s="2213"/>
      <c r="Y52" s="2213"/>
      <c r="Z52" s="2213"/>
      <c r="AA52" s="2213"/>
      <c r="AB52" s="2213"/>
      <c r="AC52" s="2213"/>
      <c r="AD52" s="2213"/>
    </row>
    <row r="53" spans="1:30" ht="12.75">
      <c r="A53" s="2213"/>
      <c r="B53" s="2213"/>
      <c r="C53" s="2213"/>
      <c r="D53" s="2213"/>
      <c r="E53" s="2213"/>
      <c r="F53" s="2213"/>
      <c r="G53" s="2213"/>
      <c r="H53" s="2213"/>
      <c r="I53" s="2213"/>
      <c r="J53" s="2213"/>
      <c r="K53" s="2213"/>
      <c r="L53" s="2213"/>
      <c r="M53" s="2213"/>
      <c r="N53" s="2213"/>
      <c r="O53" s="2213"/>
      <c r="P53" s="2213"/>
      <c r="Q53" s="2213"/>
      <c r="R53" s="2213"/>
      <c r="S53" s="2213"/>
      <c r="T53" s="2213"/>
      <c r="U53" s="2213"/>
      <c r="V53" s="2213"/>
      <c r="W53" s="2213"/>
      <c r="X53" s="2213"/>
      <c r="Y53" s="2213"/>
      <c r="Z53" s="2213"/>
      <c r="AA53" s="2213"/>
      <c r="AB53" s="2213"/>
      <c r="AC53" s="2213"/>
      <c r="AD53" s="2213"/>
    </row>
    <row r="54" spans="1:30" ht="12.75">
      <c r="A54" s="2213"/>
      <c r="B54" s="2213"/>
      <c r="C54" s="2213"/>
      <c r="D54" s="2213"/>
      <c r="E54" s="2213"/>
      <c r="F54" s="2213"/>
      <c r="G54" s="2213"/>
      <c r="H54" s="2213"/>
      <c r="I54" s="2213"/>
      <c r="J54" s="2213"/>
      <c r="K54" s="2213"/>
      <c r="L54" s="2213"/>
      <c r="M54" s="2213"/>
      <c r="N54" s="2213"/>
      <c r="O54" s="2213"/>
      <c r="P54" s="2213"/>
      <c r="Q54" s="2213"/>
      <c r="R54" s="2213"/>
      <c r="S54" s="2213"/>
      <c r="T54" s="2213"/>
      <c r="U54" s="2213"/>
      <c r="V54" s="2213"/>
      <c r="W54" s="2213"/>
      <c r="X54" s="2213"/>
      <c r="Y54" s="2213"/>
      <c r="Z54" s="2213"/>
      <c r="AA54" s="2213"/>
      <c r="AB54" s="2213"/>
      <c r="AC54" s="2213"/>
      <c r="AD54" s="2213"/>
    </row>
    <row r="55" spans="1:30" ht="12.75">
      <c r="A55" s="2213"/>
      <c r="B55" s="2213"/>
      <c r="C55" s="2213"/>
      <c r="D55" s="2213"/>
      <c r="E55" s="2213"/>
      <c r="F55" s="2213"/>
      <c r="G55" s="2213"/>
      <c r="H55" s="2213"/>
      <c r="I55" s="2213"/>
      <c r="J55" s="2213"/>
      <c r="K55" s="2213"/>
      <c r="L55" s="2213"/>
      <c r="M55" s="2213"/>
      <c r="N55" s="2213"/>
      <c r="O55" s="2213"/>
      <c r="P55" s="2213"/>
      <c r="Q55" s="2213"/>
      <c r="R55" s="2213"/>
      <c r="S55" s="2213"/>
      <c r="T55" s="2213"/>
      <c r="U55" s="2213"/>
      <c r="V55" s="2213"/>
      <c r="W55" s="2213"/>
      <c r="X55" s="2213"/>
      <c r="Y55" s="2213"/>
      <c r="Z55" s="2213"/>
      <c r="AA55" s="2213"/>
      <c r="AB55" s="2213"/>
      <c r="AC55" s="2213"/>
      <c r="AD55" s="2213"/>
    </row>
    <row r="56" spans="1:30" hidden="1"/>
    <row r="57" spans="1:30" hidden="1"/>
    <row r="58" spans="1:30" hidden="1"/>
    <row r="59" spans="1:30" hidden="1"/>
    <row r="60" spans="1:30" hidden="1"/>
    <row r="61" spans="1:30" hidden="1"/>
    <row r="62" spans="1:30" hidden="1"/>
    <row r="63" spans="1:30" hidden="1"/>
    <row r="64" spans="1:3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customSheetViews>
    <customSheetView guid="{97D6DB71-3F4C-4C5F-8C5B-51E3EBF78932}" showPageBreaks="1" showGridLines="0" hiddenRows="1" hiddenColumns="1" topLeftCell="A4">
      <pane xSplit="2" topLeftCell="X1" activePane="topRight" state="frozen"/>
      <selection pane="topRight" activeCell="J2" sqref="J2"/>
      <colBreaks count="2" manualBreakCount="2">
        <brk id="13" max="1048575" man="1"/>
        <brk id="24" max="1048575" man="1"/>
      </colBreaks>
      <pageMargins left="0.70866141732283472" right="0.70866141732283472" top="0.74803149606299213" bottom="0.41" header="0.31496062992125984" footer="0.31496062992125984"/>
      <pageSetup paperSize="9" scale="83" orientation="landscape" r:id="rId1"/>
      <headerFooter>
        <oddHeader>&amp;L&amp;8Statistiska Centralbyrån
Offentlig ekonomi&amp;R&amp;P</oddHeader>
      </headerFooter>
    </customSheetView>
    <customSheetView guid="{99FBDEB7-DD08-4F57-81F4-3C180403E153}" showGridLines="0" hiddenRows="1" hiddenColumns="1">
      <pane xSplit="2" topLeftCell="C1" activePane="topRight" state="frozen"/>
      <selection pane="topRight" activeCell="J2" sqref="J2"/>
      <colBreaks count="2" manualBreakCount="2">
        <brk id="13" max="1048575" man="1"/>
        <brk id="24" max="1048575" man="1"/>
      </colBreaks>
      <pageMargins left="0.70866141732283472" right="0.70866141732283472" top="0.74803149606299213" bottom="0.41" header="0.31496062992125984" footer="0.31496062992125984"/>
      <pageSetup paperSize="9" scale="83" orientation="landscape" r:id="rId2"/>
      <headerFooter>
        <oddHeader>&amp;L&amp;8Statistiska Centralbyrån
Offentlig ekonomi&amp;R&amp;P</oddHeader>
      </headerFooter>
    </customSheetView>
    <customSheetView guid="{27C9E95B-0E2B-454F-B637-1CECC9579A10}" showGridLines="0" hiddenRows="1" hiddenColumns="1" showRuler="0">
      <pane xSplit="2" topLeftCell="J1" activePane="topRight" state="frozen"/>
      <selection pane="topRight" activeCell="AD22" sqref="AD22"/>
      <colBreaks count="2" manualBreakCount="2">
        <brk id="13" max="1048575" man="1"/>
        <brk id="24" max="1048575" man="1"/>
      </colBreaks>
      <pageMargins left="0.70866141732283472" right="0.70866141732283472" top="0.74803149606299213" bottom="0.41" header="0.31496062992125984" footer="0.31496062992125984"/>
      <pageSetup paperSize="9" scale="83" orientation="landscape" r:id="rId3"/>
      <headerFooter alignWithMargins="0">
        <oddHeader>&amp;L&amp;8Statistiska Centralbyrån
Offentlig ekonomi&amp;R&amp;P</oddHeader>
      </headerFooter>
    </customSheetView>
  </customSheetViews>
  <phoneticPr fontId="87" type="noConversion"/>
  <conditionalFormatting sqref="D32:L32 D34:L34 O34:W34 O32:W32 Y32:AC32 Y34:AC34">
    <cfRule type="cellIs" dxfId="70" priority="40" stopIfTrue="1" operator="lessThan">
      <formula>-500</formula>
    </cfRule>
    <cfRule type="cellIs" dxfId="69" priority="41" stopIfTrue="1" operator="greaterThan">
      <formula>D31</formula>
    </cfRule>
  </conditionalFormatting>
  <conditionalFormatting sqref="M9:M26 M30:M40 X9:X40">
    <cfRule type="cellIs" dxfId="68" priority="27" stopIfTrue="1" operator="notBetween">
      <formula>-500</formula>
      <formula>500</formula>
    </cfRule>
  </conditionalFormatting>
  <conditionalFormatting sqref="M27:M29">
    <cfRule type="cellIs" dxfId="67" priority="11" stopIfTrue="1" operator="notBetween">
      <formula>-10</formula>
      <formula>10</formula>
    </cfRule>
  </conditionalFormatting>
  <conditionalFormatting sqref="D9:L39 Y9:AC39 O9:W32 O34:W39 O33:T33 V33:W33">
    <cfRule type="cellIs" dxfId="66" priority="9" stopIfTrue="1" operator="lessThan">
      <formula>-500</formula>
    </cfRule>
  </conditionalFormatting>
  <conditionalFormatting sqref="J9:J39">
    <cfRule type="cellIs" dxfId="65" priority="8" stopIfTrue="1" operator="greaterThan">
      <formula>1</formula>
    </cfRule>
  </conditionalFormatting>
  <conditionalFormatting sqref="U31">
    <cfRule type="cellIs" dxfId="64" priority="7" stopIfTrue="1" operator="greaterThan">
      <formula>1</formula>
    </cfRule>
  </conditionalFormatting>
  <dataValidations count="1">
    <dataValidation type="decimal" operator="lessThan" allowBlank="1" showInputMessage="1" showErrorMessage="1" error="Beloppet ska vara i 1000 tal kr" sqref="D9:L39 O9:W39 Y9:AC39 C32 C34 N32 N34">
      <formula1>99999999</formula1>
    </dataValidation>
  </dataValidations>
  <pageMargins left="0.70866141732283472" right="0.70866141732283472" top="0.54" bottom="0.17" header="0.19685039370078741" footer="0.15748031496062992"/>
  <pageSetup paperSize="9" scale="65" orientation="landscape" r:id="rId4"/>
  <headerFooter>
    <oddHeader>&amp;L&amp;8Statistiska Centralbyrån
Offentlig ekonomi&amp;R&amp;P</oddHeader>
  </headerFooter>
  <colBreaks count="2" manualBreakCount="2">
    <brk id="13" max="1048575" man="1"/>
    <brk id="2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tabColor rgb="FFFFFF00"/>
  </sheetPr>
  <dimension ref="A1:IV104"/>
  <sheetViews>
    <sheetView showGridLines="0" zoomScaleNormal="100" workbookViewId="0">
      <pane xSplit="2" ySplit="7" topLeftCell="C8" activePane="bottomRight" state="frozen"/>
      <selection activeCell="F36" sqref="F36"/>
      <selection pane="topRight" activeCell="F36" sqref="F36"/>
      <selection pane="bottomLeft" activeCell="F36" sqref="F36"/>
      <selection pane="bottomRight" activeCell="D39" sqref="D39"/>
    </sheetView>
  </sheetViews>
  <sheetFormatPr defaultColWidth="0" defaultRowHeight="0" customHeight="1" zeroHeight="1"/>
  <cols>
    <col min="1" max="1" width="4" style="264" customWidth="1"/>
    <col min="2" max="2" width="27.140625" style="212" customWidth="1"/>
    <col min="3" max="3" width="10.140625" style="212" customWidth="1"/>
    <col min="4" max="5" width="10.28515625" style="212" customWidth="1"/>
    <col min="6" max="6" width="9.7109375" style="212" customWidth="1"/>
    <col min="7" max="7" width="8.42578125" style="212" customWidth="1"/>
    <col min="8" max="8" width="8.42578125" style="265" hidden="1" customWidth="1"/>
    <col min="9" max="9" width="25.7109375" style="212" customWidth="1"/>
    <col min="10" max="10" width="5.7109375" style="212" customWidth="1"/>
    <col min="11" max="11" width="1.28515625" style="213" customWidth="1"/>
    <col min="12" max="12" width="0.85546875" style="213" customWidth="1"/>
    <col min="13" max="13" width="12.7109375" style="171" customWidth="1"/>
    <col min="14" max="15" width="1" style="171" customWidth="1"/>
    <col min="16" max="16" width="1" style="266" customWidth="1"/>
    <col min="17" max="17" width="59.7109375" style="4" customWidth="1"/>
    <col min="18" max="23" width="8.42578125" style="170" customWidth="1"/>
    <col min="24" max="24" width="8.42578125" style="171" customWidth="1"/>
    <col min="25" max="26" width="9.140625" style="170" customWidth="1"/>
    <col min="27" max="16384" width="0" style="170" hidden="1"/>
  </cols>
  <sheetData>
    <row r="1" spans="1:256" ht="21.75">
      <c r="A1" s="77" t="str">
        <f>"Specificering pedagogisk verksamhet "&amp;År&amp;", miljoner kr"</f>
        <v>Specificering pedagogisk verksamhet 2020, miljoner kr</v>
      </c>
      <c r="B1" s="78"/>
      <c r="C1" s="78"/>
      <c r="D1" s="78"/>
      <c r="E1" s="169"/>
      <c r="F1" s="169"/>
      <c r="G1" s="169"/>
      <c r="H1" s="255"/>
      <c r="I1" s="518" t="s">
        <v>459</v>
      </c>
      <c r="J1" s="515" t="str">
        <f>'Kn Information'!A2</f>
        <v>RIKSTOTAL</v>
      </c>
      <c r="K1" s="196"/>
      <c r="L1" s="196"/>
      <c r="M1" s="1265"/>
      <c r="N1" s="169"/>
      <c r="O1" s="77"/>
      <c r="P1" s="140"/>
      <c r="Q1" s="169"/>
      <c r="R1" s="2213"/>
      <c r="S1" s="2213"/>
      <c r="T1" s="2213"/>
      <c r="U1" s="2213"/>
      <c r="V1" s="2213"/>
      <c r="W1" s="2213"/>
      <c r="X1" s="2213"/>
      <c r="Y1" s="2213"/>
      <c r="Z1" s="2213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  <c r="FD1" s="169"/>
      <c r="FE1" s="169"/>
      <c r="FF1" s="169"/>
      <c r="FG1" s="169"/>
      <c r="FH1" s="169"/>
      <c r="FI1" s="169"/>
      <c r="FJ1" s="169"/>
      <c r="FK1" s="169"/>
      <c r="FL1" s="169"/>
      <c r="FM1" s="169"/>
      <c r="FN1" s="169"/>
      <c r="FO1" s="169"/>
      <c r="FP1" s="169"/>
      <c r="FQ1" s="169"/>
      <c r="FR1" s="169"/>
      <c r="FS1" s="169"/>
      <c r="FT1" s="169"/>
      <c r="FU1" s="169"/>
      <c r="FV1" s="169"/>
      <c r="FW1" s="169"/>
      <c r="FX1" s="169"/>
      <c r="FY1" s="169"/>
      <c r="FZ1" s="169"/>
      <c r="GA1" s="169"/>
      <c r="GB1" s="169"/>
      <c r="GC1" s="169"/>
      <c r="GD1" s="169"/>
      <c r="GE1" s="169"/>
      <c r="GF1" s="169"/>
      <c r="GG1" s="169"/>
      <c r="GH1" s="169"/>
      <c r="GI1" s="169"/>
      <c r="GJ1" s="169"/>
      <c r="GK1" s="169"/>
      <c r="GL1" s="169"/>
      <c r="GM1" s="169"/>
      <c r="GN1" s="169"/>
      <c r="GO1" s="169"/>
      <c r="GP1" s="169"/>
      <c r="GQ1" s="169"/>
      <c r="GR1" s="169"/>
      <c r="GS1" s="169"/>
      <c r="GT1" s="169"/>
      <c r="GU1" s="169"/>
      <c r="GV1" s="169"/>
      <c r="GW1" s="169"/>
      <c r="GX1" s="169"/>
      <c r="GY1" s="169"/>
      <c r="GZ1" s="169"/>
      <c r="HA1" s="169"/>
      <c r="HB1" s="169"/>
      <c r="HC1" s="169"/>
      <c r="HD1" s="169"/>
      <c r="HE1" s="169"/>
      <c r="HF1" s="169"/>
      <c r="HG1" s="169"/>
      <c r="HH1" s="169"/>
      <c r="HI1" s="169"/>
      <c r="HJ1" s="169"/>
      <c r="HK1" s="169"/>
      <c r="HL1" s="169"/>
      <c r="HM1" s="169"/>
      <c r="HN1" s="169"/>
      <c r="HO1" s="169"/>
      <c r="HP1" s="169"/>
      <c r="HQ1" s="169"/>
      <c r="HR1" s="169"/>
      <c r="HS1" s="169"/>
      <c r="HT1" s="169"/>
      <c r="HU1" s="169"/>
      <c r="HV1" s="169"/>
      <c r="HW1" s="169"/>
      <c r="HX1" s="169"/>
      <c r="HY1" s="169"/>
      <c r="HZ1" s="169"/>
      <c r="IA1" s="169"/>
      <c r="IB1" s="169"/>
      <c r="IC1" s="169"/>
      <c r="ID1" s="169"/>
      <c r="IE1" s="169"/>
      <c r="IF1" s="169"/>
      <c r="IG1" s="169"/>
      <c r="IH1" s="169"/>
      <c r="II1" s="169"/>
      <c r="IJ1" s="169"/>
      <c r="IK1" s="169"/>
      <c r="IL1" s="169"/>
      <c r="IM1" s="169"/>
      <c r="IN1" s="169"/>
      <c r="IO1" s="169"/>
      <c r="IP1" s="169"/>
      <c r="IQ1" s="169"/>
      <c r="IR1" s="169"/>
      <c r="IS1" s="169"/>
      <c r="IT1" s="169"/>
      <c r="IU1" s="169"/>
      <c r="IV1" s="169"/>
    </row>
    <row r="2" spans="1:256" ht="17.25" customHeight="1">
      <c r="A2" s="2213"/>
      <c r="B2" s="2213"/>
      <c r="C2" s="2213"/>
      <c r="D2" s="2213"/>
      <c r="E2" s="2213"/>
      <c r="F2" s="2213"/>
      <c r="G2" s="2213"/>
      <c r="H2" s="2213"/>
      <c r="I2" s="2213"/>
      <c r="J2" s="2213"/>
      <c r="K2" s="2213"/>
      <c r="L2" s="2213"/>
      <c r="M2" s="2213"/>
      <c r="N2" s="2213"/>
      <c r="O2" s="2213"/>
      <c r="P2" s="2213"/>
      <c r="Q2" s="2213"/>
      <c r="R2" s="2213"/>
      <c r="S2" s="2213"/>
      <c r="T2" s="2213"/>
      <c r="U2" s="2213"/>
      <c r="V2" s="2213"/>
      <c r="W2" s="2213"/>
      <c r="X2" s="2213"/>
      <c r="Y2" s="2213"/>
      <c r="Z2" s="2213"/>
    </row>
    <row r="3" spans="1:256" ht="17.25" customHeight="1" thickBot="1">
      <c r="A3" s="2213"/>
      <c r="B3" s="2213"/>
      <c r="C3" s="2213"/>
      <c r="D3" s="2213"/>
      <c r="E3" s="2213"/>
      <c r="F3" s="2213"/>
      <c r="G3" s="2213"/>
      <c r="H3" s="2213"/>
      <c r="I3" s="2213"/>
      <c r="J3" s="2213"/>
      <c r="K3" s="2213"/>
      <c r="L3" s="2213"/>
      <c r="M3" s="2213"/>
      <c r="N3" s="2213"/>
      <c r="O3" s="2213"/>
      <c r="P3" s="2213"/>
      <c r="Q3" s="2213"/>
      <c r="R3" s="2213"/>
      <c r="S3" s="2213"/>
      <c r="T3" s="2213"/>
      <c r="U3" s="2213"/>
      <c r="V3" s="2213"/>
      <c r="W3" s="2213"/>
      <c r="X3" s="2213"/>
      <c r="Y3" s="2213"/>
      <c r="Z3" s="2213"/>
    </row>
    <row r="4" spans="1:256" ht="11.25" customHeight="1">
      <c r="A4" s="1322" t="s">
        <v>626</v>
      </c>
      <c r="B4" s="1321" t="s">
        <v>458</v>
      </c>
      <c r="C4" s="1062" t="s">
        <v>143</v>
      </c>
      <c r="D4" s="1317"/>
      <c r="E4" s="788" t="s">
        <v>143</v>
      </c>
      <c r="F4" s="1317"/>
      <c r="G4" s="1316"/>
      <c r="H4" s="256" t="s">
        <v>584</v>
      </c>
      <c r="I4" s="2576" t="s">
        <v>1084</v>
      </c>
      <c r="J4" s="2577"/>
      <c r="K4" s="2577"/>
      <c r="L4" s="2577"/>
      <c r="M4" s="2567" t="s">
        <v>950</v>
      </c>
      <c r="N4" s="2213"/>
      <c r="O4" s="2213"/>
      <c r="P4" s="2213"/>
      <c r="Q4" s="2565" t="s">
        <v>60</v>
      </c>
      <c r="R4" s="2213"/>
      <c r="S4" s="2213"/>
      <c r="T4" s="2213"/>
      <c r="U4" s="2213"/>
      <c r="V4" s="2213"/>
      <c r="W4" s="2213"/>
      <c r="X4" s="2213"/>
      <c r="Y4" s="2213"/>
      <c r="Z4" s="2213"/>
    </row>
    <row r="5" spans="1:256" ht="12.75" customHeight="1">
      <c r="A5" s="1323" t="s">
        <v>629</v>
      </c>
      <c r="B5" s="841"/>
      <c r="C5" s="1063" t="s">
        <v>44</v>
      </c>
      <c r="D5" s="2570" t="s">
        <v>827</v>
      </c>
      <c r="E5" s="791" t="s">
        <v>150</v>
      </c>
      <c r="F5" s="2570" t="s">
        <v>1173</v>
      </c>
      <c r="G5" s="2573" t="s">
        <v>1221</v>
      </c>
      <c r="H5" s="150"/>
      <c r="I5" s="2578"/>
      <c r="J5" s="2579"/>
      <c r="K5" s="2579"/>
      <c r="L5" s="2579"/>
      <c r="M5" s="2568"/>
      <c r="N5" s="2213"/>
      <c r="O5" s="2213"/>
      <c r="P5" s="2213"/>
      <c r="Q5" s="2566"/>
      <c r="R5" s="2213"/>
      <c r="S5" s="2213"/>
      <c r="T5" s="2213"/>
      <c r="U5" s="2213"/>
      <c r="V5" s="2213"/>
      <c r="W5" s="2213"/>
      <c r="X5" s="2213"/>
      <c r="Y5" s="2213"/>
      <c r="Z5" s="2213"/>
    </row>
    <row r="6" spans="1:256" ht="36.75" customHeight="1">
      <c r="A6" s="1064"/>
      <c r="B6" s="841"/>
      <c r="C6" s="1063"/>
      <c r="D6" s="2571"/>
      <c r="E6" s="560"/>
      <c r="F6" s="2571"/>
      <c r="G6" s="2574"/>
      <c r="H6" s="150"/>
      <c r="I6" s="1395"/>
      <c r="J6" s="1406"/>
      <c r="K6" s="1406"/>
      <c r="L6" s="2347"/>
      <c r="M6" s="2569"/>
      <c r="N6" s="2213"/>
      <c r="O6" s="2213"/>
      <c r="P6" s="2213"/>
      <c r="Q6" s="2566"/>
      <c r="R6" s="2213"/>
      <c r="S6" s="2213"/>
      <c r="T6" s="2213"/>
      <c r="U6" s="2213"/>
      <c r="V6" s="2213"/>
      <c r="W6" s="2213"/>
      <c r="X6" s="2213"/>
      <c r="Y6" s="2213"/>
      <c r="Z6" s="2213"/>
      <c r="IV6" s="2564"/>
    </row>
    <row r="7" spans="1:256" ht="65.25" customHeight="1" thickBot="1">
      <c r="A7" s="1054"/>
      <c r="B7" s="841"/>
      <c r="C7" s="1056"/>
      <c r="D7" s="2572"/>
      <c r="E7" s="560"/>
      <c r="F7" s="2572"/>
      <c r="G7" s="2575"/>
      <c r="H7" s="150"/>
      <c r="I7" s="1407"/>
      <c r="J7" s="841"/>
      <c r="K7" s="1408"/>
      <c r="L7" s="1404"/>
      <c r="M7" s="2356" t="str">
        <f>"År "&amp;År</f>
        <v>År 2020</v>
      </c>
      <c r="N7" s="2213"/>
      <c r="O7" s="2213"/>
      <c r="P7" s="2213"/>
      <c r="Q7" s="2566"/>
      <c r="R7" s="2213"/>
      <c r="S7" s="2213"/>
      <c r="T7" s="2213"/>
      <c r="U7" s="2213"/>
      <c r="V7" s="2213"/>
      <c r="W7" s="2213"/>
      <c r="X7" s="2213"/>
      <c r="Y7" s="2213"/>
      <c r="Z7" s="2213"/>
      <c r="IV7" s="2564"/>
    </row>
    <row r="8" spans="1:256" ht="12.75">
      <c r="A8" s="1085" t="s">
        <v>396</v>
      </c>
      <c r="B8" s="1086" t="s">
        <v>545</v>
      </c>
      <c r="C8" s="121">
        <f>Drift!P47</f>
        <v>91592.22099999999</v>
      </c>
      <c r="D8" s="122">
        <f>SUM(Motpart!D13:L13)</f>
        <v>16433.832999999999</v>
      </c>
      <c r="E8" s="122">
        <f>Drift!W47</f>
        <v>20814.846999999998</v>
      </c>
      <c r="F8" s="122">
        <f>Motpart!Y13</f>
        <v>394.99</v>
      </c>
      <c r="G8" s="129">
        <f>Drift!V47</f>
        <v>9119.0509999999995</v>
      </c>
      <c r="H8" s="151"/>
      <c r="I8" s="1045" t="s">
        <v>866</v>
      </c>
      <c r="J8" s="1502">
        <v>604630</v>
      </c>
      <c r="K8" s="1399"/>
      <c r="L8" s="1399"/>
      <c r="M8" s="2357">
        <f>(C8-F8-G8)*1000000/J8</f>
        <v>135749.43353786613</v>
      </c>
      <c r="N8" s="2213"/>
      <c r="O8" s="2213"/>
      <c r="P8" s="2213"/>
      <c r="Q8" s="2369" t="s">
        <v>872</v>
      </c>
      <c r="R8" s="2213"/>
      <c r="S8" s="2213"/>
      <c r="T8" s="2213"/>
      <c r="U8" s="2213"/>
      <c r="V8" s="2213"/>
      <c r="W8" s="2213"/>
      <c r="X8" s="2213"/>
      <c r="Y8" s="2213"/>
      <c r="Z8" s="2213"/>
    </row>
    <row r="9" spans="1:256" s="1246" customFormat="1" ht="12.75">
      <c r="A9" s="1087" t="s">
        <v>317</v>
      </c>
      <c r="B9" s="1088" t="s">
        <v>365</v>
      </c>
      <c r="C9" s="364">
        <f>C8-G8-D8</f>
        <v>66039.336999999985</v>
      </c>
      <c r="D9" s="1065"/>
      <c r="E9" s="1071"/>
      <c r="F9" s="1071"/>
      <c r="G9" s="1077"/>
      <c r="H9" s="152">
        <v>850</v>
      </c>
      <c r="I9" s="1396"/>
      <c r="J9" s="1397"/>
      <c r="K9" s="1398"/>
      <c r="L9" s="1398"/>
      <c r="M9" s="2358">
        <f>C9*1000000/J8</f>
        <v>109222.72629542032</v>
      </c>
      <c r="N9" s="2213"/>
      <c r="O9" s="2213"/>
      <c r="P9" s="2213"/>
      <c r="Q9" s="2369" t="s">
        <v>873</v>
      </c>
      <c r="R9" s="2213"/>
      <c r="S9" s="2213"/>
      <c r="T9" s="2213"/>
      <c r="U9" s="2213"/>
      <c r="V9" s="2213"/>
      <c r="W9" s="2213"/>
      <c r="X9" s="2213"/>
      <c r="Y9" s="2213"/>
      <c r="Z9" s="2213"/>
    </row>
    <row r="10" spans="1:256" s="1242" customFormat="1" ht="12.75">
      <c r="A10" s="1087" t="s">
        <v>315</v>
      </c>
      <c r="B10" s="1089" t="s">
        <v>1155</v>
      </c>
      <c r="C10" s="83">
        <f>Drift!C47+Drift!D47</f>
        <v>47389.046000000002</v>
      </c>
      <c r="D10" s="1065"/>
      <c r="E10" s="1072"/>
      <c r="F10" s="1072"/>
      <c r="G10" s="1077"/>
      <c r="H10" s="152">
        <v>851</v>
      </c>
      <c r="I10" s="1396"/>
      <c r="J10" s="1397"/>
      <c r="K10" s="1121"/>
      <c r="L10" s="1121"/>
      <c r="M10" s="2358">
        <f>IF(C10=0,0,C10*100/C9)</f>
        <v>71.758815507187805</v>
      </c>
      <c r="N10" s="2213"/>
      <c r="O10" s="2213"/>
      <c r="P10" s="2213"/>
      <c r="Q10" s="2369" t="s">
        <v>366</v>
      </c>
      <c r="R10" s="2213"/>
      <c r="S10" s="2213"/>
      <c r="T10" s="2213"/>
      <c r="U10" s="2213"/>
      <c r="V10" s="2213"/>
      <c r="W10" s="2213"/>
      <c r="X10" s="2213"/>
      <c r="Y10" s="2213"/>
      <c r="Z10" s="2213"/>
    </row>
    <row r="11" spans="1:256" s="1242" customFormat="1" ht="12.75">
      <c r="A11" s="1087" t="s">
        <v>318</v>
      </c>
      <c r="B11" s="1089" t="s">
        <v>542</v>
      </c>
      <c r="C11" s="2151">
        <v>10176.382</v>
      </c>
      <c r="D11" s="1066"/>
      <c r="E11" s="246">
        <v>235.44399999999999</v>
      </c>
      <c r="F11" s="1072"/>
      <c r="G11" s="267">
        <v>199.488</v>
      </c>
      <c r="H11" s="152"/>
      <c r="I11" s="841"/>
      <c r="J11" s="1503"/>
      <c r="K11" s="1117"/>
      <c r="L11" s="1117"/>
      <c r="M11" s="2358">
        <f>(C11-E11)*1000000/J8</f>
        <v>16441.357524436433</v>
      </c>
      <c r="N11" s="2213"/>
      <c r="O11" s="2213"/>
      <c r="P11" s="2213"/>
      <c r="Q11" s="2369" t="s">
        <v>874</v>
      </c>
      <c r="R11" s="2213"/>
      <c r="S11" s="2213"/>
      <c r="T11" s="2213"/>
      <c r="U11" s="2213"/>
      <c r="V11" s="2213"/>
      <c r="W11" s="2213"/>
      <c r="X11" s="2213"/>
      <c r="Y11" s="2213"/>
      <c r="Z11" s="2213"/>
    </row>
    <row r="12" spans="1:256" s="1242" customFormat="1" ht="12.75">
      <c r="A12" s="1087" t="s">
        <v>460</v>
      </c>
      <c r="B12" s="1089" t="s">
        <v>497</v>
      </c>
      <c r="C12" s="1069"/>
      <c r="D12" s="1067"/>
      <c r="E12" s="84">
        <f>Drift!R47</f>
        <v>5042.259</v>
      </c>
      <c r="F12" s="1073"/>
      <c r="G12" s="1261"/>
      <c r="H12" s="166" t="s">
        <v>558</v>
      </c>
      <c r="I12" s="1119"/>
      <c r="J12" s="1397"/>
      <c r="K12" s="1398"/>
      <c r="L12" s="1398"/>
      <c r="M12" s="2358">
        <f>(Motpart!G13+Motpart!K13)*1000000/J8</f>
        <v>655.01711790681895</v>
      </c>
      <c r="N12" s="2213"/>
      <c r="O12" s="2213"/>
      <c r="P12" s="2213"/>
      <c r="Q12" s="2369" t="s">
        <v>875</v>
      </c>
      <c r="R12" s="2213"/>
      <c r="S12" s="2213"/>
      <c r="T12" s="2213"/>
      <c r="U12" s="2213"/>
      <c r="V12" s="2213"/>
      <c r="W12" s="2213"/>
      <c r="X12" s="2213"/>
      <c r="Y12" s="2213"/>
      <c r="Z12" s="2213"/>
    </row>
    <row r="13" spans="1:256" s="1242" customFormat="1" ht="12.75">
      <c r="A13" s="1087" t="s">
        <v>461</v>
      </c>
      <c r="B13" s="1089" t="s">
        <v>462</v>
      </c>
      <c r="C13" s="1070"/>
      <c r="D13" s="1067"/>
      <c r="E13" s="246">
        <v>513.47500000000002</v>
      </c>
      <c r="F13" s="1073"/>
      <c r="G13" s="1261"/>
      <c r="H13" s="167" t="s">
        <v>559</v>
      </c>
      <c r="I13" s="1119"/>
      <c r="J13" s="1397"/>
      <c r="K13" s="1398"/>
      <c r="L13" s="1398"/>
      <c r="M13" s="2358">
        <f>F8*1000000/J8</f>
        <v>653.27555695218564</v>
      </c>
      <c r="N13" s="2213"/>
      <c r="O13" s="2213"/>
      <c r="P13" s="2213"/>
      <c r="Q13" s="2369" t="s">
        <v>876</v>
      </c>
      <c r="R13" s="2213"/>
      <c r="S13" s="2213"/>
      <c r="T13" s="2213"/>
      <c r="U13" s="2213"/>
      <c r="V13" s="2213"/>
      <c r="W13" s="2213"/>
      <c r="X13" s="2213"/>
      <c r="Y13" s="2213"/>
      <c r="Z13" s="2213"/>
    </row>
    <row r="14" spans="1:256" s="1242" customFormat="1" ht="12.75">
      <c r="A14" s="1090" t="s">
        <v>575</v>
      </c>
      <c r="B14" s="1091"/>
      <c r="C14" s="1070"/>
      <c r="D14" s="1068"/>
      <c r="E14" s="1076"/>
      <c r="F14" s="1074"/>
      <c r="G14" s="1261"/>
      <c r="H14" s="166" t="s">
        <v>560</v>
      </c>
      <c r="I14" s="1119"/>
      <c r="J14" s="1397"/>
      <c r="K14" s="1398"/>
      <c r="L14" s="1398"/>
      <c r="M14" s="2358">
        <f>((Motpart!D13+Motpart!E13+Motpart!F13+Motpart!J13)-((Motpart!D13+Motpart!E13+Motpart!F13+Motpart!J13)*0.06))*1000000/J8</f>
        <v>24884.8578800258</v>
      </c>
      <c r="N14" s="2213"/>
      <c r="O14" s="2213"/>
      <c r="P14" s="2213"/>
      <c r="Q14" s="2369" t="s">
        <v>877</v>
      </c>
      <c r="R14" s="2213"/>
      <c r="S14" s="2213"/>
      <c r="T14" s="2213"/>
      <c r="U14" s="2213"/>
      <c r="V14" s="2213"/>
      <c r="W14" s="2213"/>
      <c r="X14" s="2213"/>
      <c r="Y14" s="2213"/>
      <c r="Z14" s="2213"/>
    </row>
    <row r="15" spans="1:256" s="1247" customFormat="1" ht="13.5" thickBot="1">
      <c r="A15" s="1090" t="s">
        <v>313</v>
      </c>
      <c r="B15" s="1091"/>
      <c r="C15" s="1070"/>
      <c r="D15" s="1068"/>
      <c r="E15" s="1068"/>
      <c r="F15" s="1075"/>
      <c r="G15" s="1078"/>
      <c r="H15" s="153"/>
      <c r="I15" s="1405"/>
      <c r="J15" s="1504"/>
      <c r="K15" s="1118"/>
      <c r="L15" s="1118"/>
      <c r="M15" s="2359">
        <f>IF(C9=0,0,(E12-E13)*100/C9)</f>
        <v>6.8577066423304656</v>
      </c>
      <c r="N15" s="2213"/>
      <c r="O15" s="2213"/>
      <c r="P15" s="2213"/>
      <c r="Q15" s="2369" t="s">
        <v>527</v>
      </c>
      <c r="R15" s="2213"/>
      <c r="S15" s="2213"/>
      <c r="T15" s="2213"/>
      <c r="U15" s="2213"/>
      <c r="V15" s="2213"/>
      <c r="W15" s="2213"/>
      <c r="X15" s="2213"/>
      <c r="Y15" s="2213"/>
      <c r="Z15" s="2213"/>
    </row>
    <row r="16" spans="1:256" ht="12.75">
      <c r="A16" s="1092" t="s">
        <v>678</v>
      </c>
      <c r="B16" s="1093" t="s">
        <v>546</v>
      </c>
      <c r="C16" s="81">
        <f>Drift!P50</f>
        <v>22881.439999999995</v>
      </c>
      <c r="D16" s="82">
        <f>SUM(Motpart!D15:L15)</f>
        <v>2461.6480000000006</v>
      </c>
      <c r="E16" s="85">
        <f>Drift!W50</f>
        <v>7135.1750000000002</v>
      </c>
      <c r="F16" s="82">
        <f>Motpart!Y15</f>
        <v>167.78700000000001</v>
      </c>
      <c r="G16" s="130">
        <f>Drift!V50</f>
        <v>2827.549</v>
      </c>
      <c r="H16" s="150"/>
      <c r="I16" s="1045" t="s">
        <v>867</v>
      </c>
      <c r="J16" s="1502">
        <v>875376</v>
      </c>
      <c r="K16" s="1404"/>
      <c r="L16" s="1399"/>
      <c r="M16" s="2360">
        <f>(C16-G16-F16)*1000000/J16</f>
        <v>22717.214088574507</v>
      </c>
      <c r="N16" s="2213"/>
      <c r="O16" s="2213"/>
      <c r="P16" s="2213"/>
      <c r="Q16" s="2370" t="s">
        <v>914</v>
      </c>
      <c r="R16" s="2213"/>
      <c r="S16" s="2213"/>
      <c r="T16" s="2213"/>
      <c r="U16" s="2213"/>
      <c r="V16" s="2213"/>
      <c r="W16" s="2213"/>
      <c r="X16" s="2213"/>
      <c r="Y16" s="2213"/>
      <c r="Z16" s="2213"/>
    </row>
    <row r="17" spans="1:256" ht="12.75">
      <c r="A17" s="1087" t="s">
        <v>379</v>
      </c>
      <c r="B17" s="1094" t="s">
        <v>365</v>
      </c>
      <c r="C17" s="364">
        <f>C16-G16-D16</f>
        <v>17592.242999999995</v>
      </c>
      <c r="D17" s="1079"/>
      <c r="E17" s="1080"/>
      <c r="F17" s="1080"/>
      <c r="G17" s="1077"/>
      <c r="H17" s="154" t="s">
        <v>274</v>
      </c>
      <c r="I17" s="1396"/>
      <c r="J17" s="1397"/>
      <c r="K17" s="1398"/>
      <c r="L17" s="1398"/>
      <c r="M17" s="2358">
        <f>C17*1000000/J16</f>
        <v>20096.784695947794</v>
      </c>
      <c r="N17" s="2213"/>
      <c r="O17" s="2213"/>
      <c r="P17" s="2213"/>
      <c r="Q17" s="2369" t="s">
        <v>915</v>
      </c>
      <c r="R17" s="2213"/>
      <c r="S17" s="2213"/>
      <c r="T17" s="2213"/>
      <c r="U17" s="2213"/>
      <c r="V17" s="2213"/>
      <c r="W17" s="2213"/>
      <c r="X17" s="2213"/>
      <c r="Y17" s="2213"/>
      <c r="Z17" s="2213"/>
    </row>
    <row r="18" spans="1:256" ht="12.75">
      <c r="A18" s="1087" t="s">
        <v>380</v>
      </c>
      <c r="B18" s="2078" t="s">
        <v>1156</v>
      </c>
      <c r="C18" s="86">
        <f>Drift!C50+Drift!D50</f>
        <v>12348.780999999999</v>
      </c>
      <c r="D18" s="1079"/>
      <c r="E18" s="1072"/>
      <c r="F18" s="1072"/>
      <c r="G18" s="1077"/>
      <c r="H18" s="152" t="s">
        <v>586</v>
      </c>
      <c r="I18" s="1396"/>
      <c r="J18" s="1397"/>
      <c r="K18" s="1121"/>
      <c r="L18" s="1121"/>
      <c r="M18" s="2358">
        <f>IF(C18=0,0,(C18*100/C17))</f>
        <v>70.194465822237689</v>
      </c>
      <c r="N18" s="2213"/>
      <c r="O18" s="2213"/>
      <c r="P18" s="2213"/>
      <c r="Q18" s="2369" t="s">
        <v>374</v>
      </c>
      <c r="R18" s="2213"/>
      <c r="S18" s="2213"/>
      <c r="T18" s="2213"/>
      <c r="U18" s="2213"/>
      <c r="V18" s="2213"/>
      <c r="W18" s="2213"/>
      <c r="X18" s="2213"/>
      <c r="Y18" s="2213"/>
      <c r="Z18" s="2213"/>
    </row>
    <row r="19" spans="1:256" ht="12.75">
      <c r="A19" s="1087" t="s">
        <v>381</v>
      </c>
      <c r="B19" s="1089" t="s">
        <v>542</v>
      </c>
      <c r="C19" s="2151">
        <v>2960.5030000000002</v>
      </c>
      <c r="D19" s="1079"/>
      <c r="E19" s="246">
        <v>68.397999999999996</v>
      </c>
      <c r="F19" s="1074"/>
      <c r="G19" s="267">
        <v>60.185000000000002</v>
      </c>
      <c r="H19" s="150"/>
      <c r="I19" s="1396"/>
      <c r="J19" s="1503"/>
      <c r="K19" s="1117"/>
      <c r="L19" s="1117"/>
      <c r="M19" s="2361">
        <f>(C19-E19)*1000000/J16</f>
        <v>3303.8431485441683</v>
      </c>
      <c r="N19" s="2213"/>
      <c r="O19" s="2213"/>
      <c r="P19" s="2213"/>
      <c r="Q19" s="2369" t="s">
        <v>916</v>
      </c>
      <c r="R19" s="2213"/>
      <c r="S19" s="2213"/>
      <c r="T19" s="2213"/>
      <c r="U19" s="2213"/>
      <c r="V19" s="2213"/>
      <c r="W19" s="2213"/>
      <c r="X19" s="2213"/>
      <c r="Y19" s="2213"/>
      <c r="Z19" s="2213"/>
    </row>
    <row r="20" spans="1:256" ht="12.75">
      <c r="A20" s="1087" t="s">
        <v>561</v>
      </c>
      <c r="B20" s="1089" t="s">
        <v>497</v>
      </c>
      <c r="C20" s="1069"/>
      <c r="D20" s="1067"/>
      <c r="E20" s="86">
        <f>Drift!R50</f>
        <v>3087.87</v>
      </c>
      <c r="F20" s="1073"/>
      <c r="G20" s="1261"/>
      <c r="H20" s="424" t="s">
        <v>587</v>
      </c>
      <c r="I20" s="1119"/>
      <c r="J20" s="1397"/>
      <c r="K20" s="1398"/>
      <c r="L20" s="1398"/>
      <c r="M20" s="2358">
        <f>IF(D16=0,0,(Motpart!G15+Motpart!K15)*1000000/J16)</f>
        <v>202.62607153954414</v>
      </c>
      <c r="N20" s="2213"/>
      <c r="O20" s="2213"/>
      <c r="P20" s="2213"/>
      <c r="Q20" s="2369" t="s">
        <v>917</v>
      </c>
      <c r="R20" s="2213"/>
      <c r="S20" s="2213"/>
      <c r="T20" s="2213"/>
      <c r="U20" s="2213"/>
      <c r="V20" s="2213"/>
      <c r="W20" s="2213"/>
      <c r="X20" s="2213"/>
      <c r="Y20" s="2213"/>
      <c r="Z20" s="2213"/>
    </row>
    <row r="21" spans="1:256" ht="12.75">
      <c r="A21" s="1087" t="s">
        <v>562</v>
      </c>
      <c r="B21" s="1089" t="s">
        <v>462</v>
      </c>
      <c r="C21" s="1070"/>
      <c r="D21" s="1067"/>
      <c r="E21" s="246">
        <v>143.76499999999999</v>
      </c>
      <c r="F21" s="1073"/>
      <c r="G21" s="1261"/>
      <c r="H21" s="424" t="s">
        <v>588</v>
      </c>
      <c r="I21" s="1119"/>
      <c r="J21" s="1397"/>
      <c r="K21" s="1398"/>
      <c r="L21" s="1398"/>
      <c r="M21" s="2358">
        <f>IF(F16=0,0,(F16*1000000/J16))</f>
        <v>191.67420628392827</v>
      </c>
      <c r="N21" s="2213"/>
      <c r="O21" s="2213"/>
      <c r="P21" s="2213"/>
      <c r="Q21" s="2369" t="s">
        <v>918</v>
      </c>
      <c r="R21" s="2213"/>
      <c r="S21" s="2213"/>
      <c r="T21" s="2213"/>
      <c r="U21" s="2213"/>
      <c r="V21" s="2213"/>
      <c r="W21" s="2213"/>
      <c r="X21" s="2213"/>
      <c r="Y21" s="2213"/>
      <c r="Z21" s="2213"/>
      <c r="IV21" s="257"/>
    </row>
    <row r="22" spans="1:256" ht="12.75">
      <c r="A22" s="1090" t="s">
        <v>574</v>
      </c>
      <c r="B22" s="1095"/>
      <c r="C22" s="1070"/>
      <c r="D22" s="1068"/>
      <c r="E22" s="1076"/>
      <c r="F22" s="1074"/>
      <c r="G22" s="1261"/>
      <c r="H22" s="424" t="s">
        <v>589</v>
      </c>
      <c r="I22" s="1119"/>
      <c r="J22" s="1397"/>
      <c r="K22" s="1398"/>
      <c r="L22" s="1398"/>
      <c r="M22" s="2358">
        <f>IF(D16=0,0,((Motpart!D15+Motpart!E15+Motpart!F15+Motpart!I15+Motpart!J15)-((Motpart!D15+Motpart!E15+Motpart!F15+Motpart!J15)*0.06))*1000000/J16)</f>
        <v>2456.1189020489483</v>
      </c>
      <c r="N22" s="2213"/>
      <c r="O22" s="2213"/>
      <c r="P22" s="2213"/>
      <c r="Q22" s="2369" t="s">
        <v>919</v>
      </c>
      <c r="R22" s="2213"/>
      <c r="S22" s="2213"/>
      <c r="T22" s="2213"/>
      <c r="U22" s="2213"/>
      <c r="V22" s="2213"/>
      <c r="W22" s="2213"/>
      <c r="X22" s="2213"/>
      <c r="Y22" s="2213"/>
      <c r="Z22" s="2213"/>
      <c r="IV22" s="257"/>
    </row>
    <row r="23" spans="1:256" ht="13.5" thickBot="1">
      <c r="A23" s="1090" t="s">
        <v>563</v>
      </c>
      <c r="B23" s="1095"/>
      <c r="C23" s="1070"/>
      <c r="D23" s="1068"/>
      <c r="E23" s="1068"/>
      <c r="F23" s="1068"/>
      <c r="G23" s="1078"/>
      <c r="H23" s="425"/>
      <c r="I23" s="654"/>
      <c r="J23" s="1504"/>
      <c r="K23" s="1118"/>
      <c r="L23" s="1118"/>
      <c r="M23" s="2362">
        <f>IF(E20=0,0,(E20-E21)*100/C17)</f>
        <v>16.735245187324896</v>
      </c>
      <c r="N23" s="2213"/>
      <c r="O23" s="2213"/>
      <c r="P23" s="2213"/>
      <c r="Q23" s="2371" t="s">
        <v>528</v>
      </c>
      <c r="R23" s="2213"/>
      <c r="S23" s="2213"/>
      <c r="T23" s="2213"/>
      <c r="U23" s="2213"/>
      <c r="V23" s="2213"/>
      <c r="W23" s="2213"/>
      <c r="X23" s="2213"/>
      <c r="Y23" s="2213"/>
      <c r="Z23" s="2213"/>
      <c r="IV23" s="257"/>
    </row>
    <row r="24" spans="1:256" ht="12.75">
      <c r="A24" s="1092" t="s">
        <v>385</v>
      </c>
      <c r="B24" s="1096" t="s">
        <v>547</v>
      </c>
      <c r="C24" s="81">
        <f>Drift!P53</f>
        <v>9397.9770000000026</v>
      </c>
      <c r="D24" s="82">
        <f>SUM(Motpart!D17:L17)</f>
        <v>1116.0020000000002</v>
      </c>
      <c r="E24" s="82">
        <f>Drift!W53</f>
        <v>1665.9470000000001</v>
      </c>
      <c r="F24" s="82">
        <f>Motpart!Y17</f>
        <v>46.389000000000003</v>
      </c>
      <c r="G24" s="130">
        <f>Drift!V53</f>
        <v>1191.1120000000001</v>
      </c>
      <c r="H24" s="166"/>
      <c r="I24" s="1045" t="s">
        <v>868</v>
      </c>
      <c r="J24" s="1502">
        <v>124767</v>
      </c>
      <c r="K24" s="1401"/>
      <c r="L24" s="1399"/>
      <c r="M24" s="2360">
        <f>(C24-G24-F24)*1000000/J24</f>
        <v>65405.724270039369</v>
      </c>
      <c r="N24" s="2213"/>
      <c r="O24" s="2213"/>
      <c r="P24" s="2213"/>
      <c r="Q24" s="2369" t="s">
        <v>908</v>
      </c>
      <c r="R24" s="2213"/>
      <c r="S24" s="2213"/>
      <c r="T24" s="2213"/>
      <c r="U24" s="2213"/>
      <c r="V24" s="2213"/>
      <c r="W24" s="2213"/>
      <c r="X24" s="2213"/>
      <c r="Y24" s="2213"/>
      <c r="Z24" s="2213"/>
    </row>
    <row r="25" spans="1:256" ht="12.75">
      <c r="A25" s="1087" t="s">
        <v>382</v>
      </c>
      <c r="B25" s="1097" t="s">
        <v>365</v>
      </c>
      <c r="C25" s="364">
        <f>C24-G24-D24</f>
        <v>7090.8630000000012</v>
      </c>
      <c r="D25" s="1079"/>
      <c r="E25" s="1080"/>
      <c r="F25" s="1080"/>
      <c r="G25" s="1077"/>
      <c r="H25" s="424" t="s">
        <v>590</v>
      </c>
      <c r="I25" s="1119"/>
      <c r="J25" s="1397"/>
      <c r="K25" s="1398"/>
      <c r="L25" s="1398"/>
      <c r="M25" s="2358">
        <f>C25*1000000/J24</f>
        <v>56832.840414532693</v>
      </c>
      <c r="N25" s="2213"/>
      <c r="O25" s="2213"/>
      <c r="P25" s="2213"/>
      <c r="Q25" s="2369" t="s">
        <v>909</v>
      </c>
      <c r="R25" s="2213"/>
      <c r="S25" s="2213"/>
      <c r="T25" s="2213"/>
      <c r="U25" s="2213"/>
      <c r="V25" s="2213"/>
      <c r="W25" s="2213"/>
      <c r="X25" s="2213"/>
      <c r="Y25" s="2213"/>
      <c r="Z25" s="2213"/>
    </row>
    <row r="26" spans="1:256" ht="12.75">
      <c r="A26" s="1087" t="s">
        <v>383</v>
      </c>
      <c r="B26" s="2079" t="s">
        <v>1156</v>
      </c>
      <c r="C26" s="86">
        <f>Drift!C53+Drift!D53</f>
        <v>4559.1640000000007</v>
      </c>
      <c r="D26" s="1079"/>
      <c r="E26" s="1072"/>
      <c r="F26" s="1072"/>
      <c r="G26" s="1077"/>
      <c r="H26" s="166" t="s">
        <v>385</v>
      </c>
      <c r="I26" s="1119"/>
      <c r="J26" s="1397"/>
      <c r="K26" s="1121"/>
      <c r="L26" s="1121"/>
      <c r="M26" s="2359">
        <f>IF(C26=0,0,C26*100/C25)</f>
        <v>64.296320490185749</v>
      </c>
      <c r="N26" s="2213"/>
      <c r="O26" s="2213"/>
      <c r="P26" s="2213"/>
      <c r="Q26" s="2369" t="s">
        <v>375</v>
      </c>
      <c r="R26" s="2213"/>
      <c r="S26" s="2213"/>
      <c r="T26" s="2213"/>
      <c r="U26" s="2213"/>
      <c r="V26" s="2213"/>
      <c r="W26" s="2213"/>
      <c r="X26" s="2213"/>
      <c r="Y26" s="2213"/>
      <c r="Z26" s="2213"/>
    </row>
    <row r="27" spans="1:256" ht="12.75">
      <c r="A27" s="1090" t="s">
        <v>384</v>
      </c>
      <c r="B27" s="1089" t="s">
        <v>542</v>
      </c>
      <c r="C27" s="2151">
        <v>1558.8789999999999</v>
      </c>
      <c r="D27" s="1079"/>
      <c r="E27" s="246">
        <v>39.973999999999997</v>
      </c>
      <c r="F27" s="1074"/>
      <c r="G27" s="267">
        <v>36.790999999999997</v>
      </c>
      <c r="H27" s="424"/>
      <c r="I27" s="1119"/>
      <c r="J27" s="1212"/>
      <c r="K27" s="1117"/>
      <c r="L27" s="1117"/>
      <c r="M27" s="2358">
        <f>(C27-E27)*1000000/J24</f>
        <v>12173.932209638766</v>
      </c>
      <c r="N27" s="2213"/>
      <c r="O27" s="2213"/>
      <c r="P27" s="2213"/>
      <c r="Q27" s="2369" t="s">
        <v>910</v>
      </c>
      <c r="R27" s="2213"/>
      <c r="S27" s="2213"/>
      <c r="T27" s="2213"/>
      <c r="U27" s="2213"/>
      <c r="V27" s="2213"/>
      <c r="W27" s="2213"/>
      <c r="X27" s="2213"/>
      <c r="Y27" s="2213"/>
      <c r="Z27" s="2213"/>
    </row>
    <row r="28" spans="1:256" ht="12.75">
      <c r="A28" s="1090" t="s">
        <v>564</v>
      </c>
      <c r="B28" s="1098"/>
      <c r="C28" s="1079"/>
      <c r="D28" s="1079"/>
      <c r="E28" s="1079"/>
      <c r="F28" s="1074"/>
      <c r="G28" s="1261"/>
      <c r="H28" s="166" t="s">
        <v>591</v>
      </c>
      <c r="I28" s="1119"/>
      <c r="J28" s="1397"/>
      <c r="K28" s="1398"/>
      <c r="L28" s="1398"/>
      <c r="M28" s="2359">
        <f>(Motpart!G17+Motpart!K17)*1000000/J24</f>
        <v>456.83554144926148</v>
      </c>
      <c r="N28" s="2213"/>
      <c r="O28" s="2213"/>
      <c r="P28" s="2213"/>
      <c r="Q28" s="2369" t="s">
        <v>911</v>
      </c>
      <c r="R28" s="2213"/>
      <c r="S28" s="2213"/>
      <c r="T28" s="2213"/>
      <c r="U28" s="2213"/>
      <c r="V28" s="2213"/>
      <c r="W28" s="2213"/>
      <c r="X28" s="2213"/>
      <c r="Y28" s="2213"/>
      <c r="Z28" s="2213"/>
    </row>
    <row r="29" spans="1:256" ht="12.75">
      <c r="A29" s="1090" t="s">
        <v>565</v>
      </c>
      <c r="B29" s="1099"/>
      <c r="C29" s="1079"/>
      <c r="D29" s="1079"/>
      <c r="E29" s="1079"/>
      <c r="F29" s="1074"/>
      <c r="G29" s="1261"/>
      <c r="H29" s="423" t="s">
        <v>592</v>
      </c>
      <c r="I29" s="1119"/>
      <c r="J29" s="1397"/>
      <c r="K29" s="1398"/>
      <c r="L29" s="1398"/>
      <c r="M29" s="2363">
        <f>F24*1000000/J24</f>
        <v>371.80504460314023</v>
      </c>
      <c r="N29" s="2213"/>
      <c r="O29" s="2213"/>
      <c r="P29" s="2213"/>
      <c r="Q29" s="2369" t="s">
        <v>912</v>
      </c>
      <c r="R29" s="2213"/>
      <c r="S29" s="2213"/>
      <c r="T29" s="2213"/>
      <c r="U29" s="2213"/>
      <c r="V29" s="2213"/>
      <c r="W29" s="2213"/>
      <c r="X29" s="2213"/>
      <c r="Y29" s="2213"/>
      <c r="Z29" s="2213"/>
    </row>
    <row r="30" spans="1:256" ht="13.5" thickBot="1">
      <c r="A30" s="1090" t="s">
        <v>573</v>
      </c>
      <c r="B30" s="1100"/>
      <c r="C30" s="1079"/>
      <c r="D30" s="1079"/>
      <c r="E30" s="1079"/>
      <c r="F30" s="1074"/>
      <c r="G30" s="1262"/>
      <c r="H30" s="426" t="s">
        <v>593</v>
      </c>
      <c r="I30" s="654"/>
      <c r="J30" s="1402"/>
      <c r="K30" s="1403"/>
      <c r="L30" s="1403"/>
      <c r="M30" s="2364">
        <f>(Motpart!D17+Motpart!E17+Motpart!F17+Motpart!I17+Motpart!J17-(Motpart!D17+Motpart!E17+Motpart!F17+Motpart!J17)*0.06)*1000000/J24</f>
        <v>7980.4209446408104</v>
      </c>
      <c r="N30" s="2213"/>
      <c r="O30" s="2213"/>
      <c r="P30" s="2213"/>
      <c r="Q30" s="2371" t="s">
        <v>913</v>
      </c>
      <c r="R30" s="2213"/>
      <c r="S30" s="2213"/>
      <c r="T30" s="2213"/>
      <c r="U30" s="2213"/>
      <c r="V30" s="2213"/>
      <c r="W30" s="2213"/>
      <c r="X30" s="2213"/>
      <c r="Y30" s="2213"/>
      <c r="Z30" s="2213"/>
    </row>
    <row r="31" spans="1:256" ht="12.75">
      <c r="A31" s="1092" t="s">
        <v>397</v>
      </c>
      <c r="B31" s="1101" t="s">
        <v>548</v>
      </c>
      <c r="C31" s="81">
        <f>Drift!P54</f>
        <v>148338.20599999998</v>
      </c>
      <c r="D31" s="82">
        <f>SUM(Motpart!D18:L18)</f>
        <v>19657.836000000003</v>
      </c>
      <c r="E31" s="82">
        <f>Drift!W54</f>
        <v>30341.64</v>
      </c>
      <c r="F31" s="82">
        <f>Motpart!Y18</f>
        <v>1517.58</v>
      </c>
      <c r="G31" s="130">
        <f>Drift!V54</f>
        <v>16018.224</v>
      </c>
      <c r="H31" s="427"/>
      <c r="I31" s="1045" t="s">
        <v>869</v>
      </c>
      <c r="J31" s="1502">
        <v>1112730</v>
      </c>
      <c r="K31" s="1399"/>
      <c r="L31" s="1399"/>
      <c r="M31" s="2365">
        <f>SUM(M32:M34,M36:M38)</f>
        <v>97626.343317785984</v>
      </c>
      <c r="N31" s="2213"/>
      <c r="O31" s="2213"/>
      <c r="P31" s="2213"/>
      <c r="Q31" s="2369" t="s">
        <v>896</v>
      </c>
      <c r="R31" s="2213"/>
      <c r="S31" s="2213"/>
      <c r="T31" s="2213"/>
      <c r="U31" s="2213"/>
      <c r="V31" s="2213"/>
      <c r="W31" s="2213"/>
      <c r="X31" s="2213"/>
      <c r="Y31" s="2213"/>
      <c r="Z31" s="2213"/>
    </row>
    <row r="32" spans="1:256" ht="12.75">
      <c r="A32" s="1087" t="s">
        <v>386</v>
      </c>
      <c r="B32" s="1102" t="s">
        <v>504</v>
      </c>
      <c r="C32" s="268">
        <v>67054.8</v>
      </c>
      <c r="D32" s="1079"/>
      <c r="E32" s="246">
        <v>5624.6289999999999</v>
      </c>
      <c r="F32" s="1080"/>
      <c r="G32" s="267">
        <v>5468.16</v>
      </c>
      <c r="H32" s="152" t="s">
        <v>594</v>
      </c>
      <c r="I32" s="1972"/>
      <c r="J32" s="1973"/>
      <c r="K32" s="1973"/>
      <c r="L32" s="2348"/>
      <c r="M32" s="2358">
        <f>(C32-E32)*1000000/J31</f>
        <v>55206.71771229319</v>
      </c>
      <c r="N32" s="2213"/>
      <c r="O32" s="2213"/>
      <c r="P32" s="2213"/>
      <c r="Q32" s="2369" t="s">
        <v>897</v>
      </c>
      <c r="R32" s="2213"/>
      <c r="S32" s="2213"/>
      <c r="T32" s="2213"/>
      <c r="U32" s="2213"/>
      <c r="V32" s="2213"/>
      <c r="W32" s="2213"/>
      <c r="X32" s="2213"/>
      <c r="Y32" s="2213"/>
      <c r="Z32" s="2213"/>
    </row>
    <row r="33" spans="1:26" ht="12.75">
      <c r="A33" s="1087" t="s">
        <v>387</v>
      </c>
      <c r="B33" s="1102" t="s">
        <v>857</v>
      </c>
      <c r="C33" s="268">
        <v>4658.6319999999996</v>
      </c>
      <c r="D33" s="1079"/>
      <c r="E33" s="246">
        <v>94.081000000000003</v>
      </c>
      <c r="F33" s="1072"/>
      <c r="G33" s="267">
        <v>52.825000000000003</v>
      </c>
      <c r="H33" s="152" t="s">
        <v>595</v>
      </c>
      <c r="I33" s="1396"/>
      <c r="J33" s="1397"/>
      <c r="K33" s="1121"/>
      <c r="L33" s="1121"/>
      <c r="M33" s="2358">
        <f>(C33-E33)*1000000/J31</f>
        <v>4102.1191124531551</v>
      </c>
      <c r="N33" s="2213"/>
      <c r="O33" s="2213"/>
      <c r="P33" s="2213"/>
      <c r="Q33" s="2369" t="s">
        <v>898</v>
      </c>
      <c r="R33" s="2213"/>
      <c r="S33" s="2213"/>
      <c r="T33" s="2213"/>
      <c r="U33" s="2213"/>
      <c r="V33" s="2213"/>
      <c r="W33" s="2213"/>
      <c r="X33" s="2213"/>
      <c r="Y33" s="2213"/>
      <c r="Z33" s="2213"/>
    </row>
    <row r="34" spans="1:26" ht="12.75">
      <c r="A34" s="1087" t="s">
        <v>388</v>
      </c>
      <c r="B34" s="1102" t="s">
        <v>525</v>
      </c>
      <c r="C34" s="268">
        <v>7031.0259999999998</v>
      </c>
      <c r="D34" s="1079"/>
      <c r="E34" s="246">
        <v>983.77200000000005</v>
      </c>
      <c r="F34" s="1072"/>
      <c r="G34" s="267">
        <v>855.51300000000003</v>
      </c>
      <c r="H34" s="152"/>
      <c r="I34" s="1396"/>
      <c r="J34" s="1212"/>
      <c r="K34" s="1117"/>
      <c r="L34" s="1117"/>
      <c r="M34" s="2358">
        <f>(C34-E34)*1000000/J31</f>
        <v>5434.6103726869951</v>
      </c>
      <c r="N34" s="2213"/>
      <c r="O34" s="2213"/>
      <c r="P34" s="2213"/>
      <c r="Q34" s="2369" t="s">
        <v>899</v>
      </c>
      <c r="R34" s="2213"/>
      <c r="S34" s="2213"/>
      <c r="T34" s="2213"/>
      <c r="U34" s="2213"/>
      <c r="V34" s="2213"/>
      <c r="W34" s="2213"/>
      <c r="X34" s="2213"/>
      <c r="Y34" s="2213"/>
      <c r="Z34" s="2213"/>
    </row>
    <row r="35" spans="1:26" ht="12.75">
      <c r="A35" s="1087" t="s">
        <v>389</v>
      </c>
      <c r="B35" s="1102" t="s">
        <v>505</v>
      </c>
      <c r="C35" s="268">
        <v>3586.9830000000002</v>
      </c>
      <c r="D35" s="1079"/>
      <c r="E35" s="246">
        <v>26.523</v>
      </c>
      <c r="F35" s="1072"/>
      <c r="G35" s="267">
        <v>10.831</v>
      </c>
      <c r="H35" s="152" t="s">
        <v>596</v>
      </c>
      <c r="I35" s="841"/>
      <c r="J35" s="1397"/>
      <c r="K35" s="1398"/>
      <c r="L35" s="1398"/>
      <c r="M35" s="2358">
        <f>(C35-E35)*1000000/J31</f>
        <v>3199.7519613922514</v>
      </c>
      <c r="N35" s="2213"/>
      <c r="O35" s="2213"/>
      <c r="P35" s="2213"/>
      <c r="Q35" s="2369" t="s">
        <v>900</v>
      </c>
      <c r="R35" s="2213"/>
      <c r="S35" s="2213"/>
      <c r="T35" s="2213"/>
      <c r="U35" s="2213"/>
      <c r="V35" s="2213"/>
      <c r="W35" s="2213"/>
      <c r="X35" s="2213"/>
      <c r="Y35" s="2213"/>
      <c r="Z35" s="2213"/>
    </row>
    <row r="36" spans="1:26" ht="15" customHeight="1">
      <c r="A36" s="1087" t="s">
        <v>390</v>
      </c>
      <c r="B36" s="1103" t="s">
        <v>765</v>
      </c>
      <c r="C36" s="268">
        <v>3814.8629999999998</v>
      </c>
      <c r="D36" s="1079"/>
      <c r="E36" s="246">
        <v>201.10300000000001</v>
      </c>
      <c r="F36" s="1071"/>
      <c r="G36" s="267">
        <v>154.767</v>
      </c>
      <c r="H36" s="152" t="s">
        <v>597</v>
      </c>
      <c r="I36" s="1979"/>
      <c r="J36" s="1397"/>
      <c r="K36" s="1398"/>
      <c r="L36" s="1398"/>
      <c r="M36" s="2358">
        <f>(C36-E36)*1000000/J31</f>
        <v>3247.652170787163</v>
      </c>
      <c r="N36" s="2213"/>
      <c r="O36" s="2213"/>
      <c r="P36" s="2213"/>
      <c r="Q36" s="2369" t="s">
        <v>901</v>
      </c>
      <c r="R36" s="2213"/>
      <c r="S36" s="2213"/>
      <c r="T36" s="2213"/>
      <c r="U36" s="2213"/>
      <c r="V36" s="2213"/>
      <c r="W36" s="2213"/>
      <c r="X36" s="2213"/>
      <c r="Y36" s="2213"/>
      <c r="Z36" s="2213"/>
    </row>
    <row r="37" spans="1:26" s="204" customFormat="1" ht="12.75">
      <c r="A37" s="1087" t="s">
        <v>239</v>
      </c>
      <c r="B37" s="1104" t="s">
        <v>543</v>
      </c>
      <c r="C37" s="268">
        <v>18935.514999999999</v>
      </c>
      <c r="D37" s="1079"/>
      <c r="E37" s="246">
        <v>922.66700000000003</v>
      </c>
      <c r="F37" s="999"/>
      <c r="G37" s="267">
        <v>840.76800000000003</v>
      </c>
      <c r="H37" s="167" t="s">
        <v>598</v>
      </c>
      <c r="I37" s="1980"/>
      <c r="J37" s="1397"/>
      <c r="K37" s="1398"/>
      <c r="L37" s="1398"/>
      <c r="M37" s="2358">
        <f>(C37-E37)*1000000/J31</f>
        <v>16187.977317049059</v>
      </c>
      <c r="N37" s="2213"/>
      <c r="O37" s="2213"/>
      <c r="P37" s="2213"/>
      <c r="Q37" s="2369" t="s">
        <v>902</v>
      </c>
      <c r="R37" s="2213"/>
      <c r="S37" s="2213"/>
      <c r="T37" s="2213"/>
      <c r="U37" s="2213"/>
      <c r="V37" s="2213"/>
      <c r="W37" s="2213"/>
      <c r="X37" s="2213"/>
      <c r="Y37" s="2213"/>
      <c r="Z37" s="2213"/>
    </row>
    <row r="38" spans="1:26" s="204" customFormat="1" ht="12.75" customHeight="1">
      <c r="A38" s="1087" t="s">
        <v>391</v>
      </c>
      <c r="B38" s="1102" t="s">
        <v>457</v>
      </c>
      <c r="C38" s="268">
        <v>19359.914000000001</v>
      </c>
      <c r="D38" s="1079"/>
      <c r="E38" s="246">
        <v>19907.088</v>
      </c>
      <c r="F38" s="999"/>
      <c r="G38" s="267">
        <v>8635.3590000000004</v>
      </c>
      <c r="H38" s="152"/>
      <c r="I38" s="2556" t="str">
        <f>IF(SUM(E38-G38+100)&lt;Motpart!AA18,"I Motparten är statsbidragen "&amp;""&amp;(Motpart!AA18)&amp;" tkr. Alla bidrag från staten o statliga myndigheter, inklusive de från Migrationsverket, ska ingå under Övrigt som extern intäkt. De externa intäkterna på Övrigt-raden är dock bara "&amp;""&amp;(ROUND(E38-G38,0))&amp;" tkr. ","")</f>
        <v/>
      </c>
      <c r="J38" s="1976"/>
      <c r="K38" s="1976"/>
      <c r="L38" s="2349"/>
      <c r="M38" s="2358">
        <f>((C38+C39-G38)*1000000/J31)</f>
        <v>13447.266632516423</v>
      </c>
      <c r="N38" s="2213"/>
      <c r="O38" s="2213"/>
      <c r="P38" s="2213"/>
      <c r="Q38" s="2369" t="s">
        <v>903</v>
      </c>
      <c r="R38" s="2213"/>
      <c r="S38" s="2213"/>
      <c r="T38" s="2213"/>
      <c r="U38" s="2213"/>
      <c r="V38" s="2213"/>
      <c r="W38" s="2213"/>
      <c r="X38" s="2213"/>
      <c r="Y38" s="2213"/>
      <c r="Z38" s="2213"/>
    </row>
    <row r="39" spans="1:26" s="204" customFormat="1" ht="12.75">
      <c r="A39" s="1087" t="s">
        <v>392</v>
      </c>
      <c r="B39" s="1105" t="s">
        <v>506</v>
      </c>
      <c r="C39" s="268">
        <v>4238.6220000000003</v>
      </c>
      <c r="D39" s="2196"/>
      <c r="E39" s="1001"/>
      <c r="F39" s="1001"/>
      <c r="G39" s="1081"/>
      <c r="H39" s="166"/>
      <c r="I39" s="2557"/>
      <c r="J39" s="1977"/>
      <c r="K39" s="1977"/>
      <c r="L39" s="2350"/>
      <c r="M39" s="2359">
        <f>(M31*J31/1000000+D31-F31-(Motpart!D18+Motpart!E18+Motpart!F18+Motpart!J18)*0.06)*1000000/J31+M35</f>
        <v>116172.17621525437</v>
      </c>
      <c r="N39" s="2213"/>
      <c r="O39" s="2213"/>
      <c r="P39" s="2213"/>
      <c r="Q39" s="2369" t="s">
        <v>904</v>
      </c>
      <c r="R39" s="2213"/>
      <c r="S39" s="2213"/>
      <c r="T39" s="2213"/>
      <c r="U39" s="2213"/>
      <c r="V39" s="2213"/>
      <c r="W39" s="2213"/>
      <c r="X39" s="2213"/>
      <c r="Y39" s="2213"/>
      <c r="Z39" s="2213"/>
    </row>
    <row r="40" spans="1:26" ht="12.75">
      <c r="A40" s="1106" t="s">
        <v>566</v>
      </c>
      <c r="B40" s="1107" t="s">
        <v>129</v>
      </c>
      <c r="C40" s="1258">
        <f>(C31-SUM(C32:C39)-D31)*-1</f>
        <v>-1.4999999977590051E-2</v>
      </c>
      <c r="D40" s="1068"/>
      <c r="E40" s="1259">
        <f>(E31-SUM(E32:E38)-F31-SUM(Motpart!D18+Motpart!E18+Motpart!F18+Motpart!J18)*0.06)*-1</f>
        <v>1.4360000001715889E-2</v>
      </c>
      <c r="F40" s="1068"/>
      <c r="G40" s="1260">
        <f>(G31-SUM(G32:G38))*-1</f>
        <v>-1.0000000002037268E-3</v>
      </c>
      <c r="H40" s="154"/>
      <c r="I40" s="2557"/>
      <c r="J40" s="1977"/>
      <c r="K40" s="1977"/>
      <c r="L40" s="2350"/>
      <c r="M40" s="2358">
        <f>(Motpart!G18+Motpart!K18)*1000000/J31</f>
        <v>1400.8214032155147</v>
      </c>
      <c r="N40" s="2213"/>
      <c r="O40" s="2213"/>
      <c r="P40" s="2213"/>
      <c r="Q40" s="2369" t="s">
        <v>905</v>
      </c>
      <c r="R40" s="2213"/>
      <c r="S40" s="2213"/>
      <c r="T40" s="2213"/>
      <c r="U40" s="2213"/>
      <c r="V40" s="2213"/>
      <c r="W40" s="2213"/>
      <c r="X40" s="2213"/>
      <c r="Y40" s="2213"/>
      <c r="Z40" s="2213"/>
    </row>
    <row r="41" spans="1:26" ht="12.75">
      <c r="A41" s="1106" t="s">
        <v>567</v>
      </c>
      <c r="B41" s="1107"/>
      <c r="C41" s="1070"/>
      <c r="D41" s="1068"/>
      <c r="E41" s="1068"/>
      <c r="F41" s="1068"/>
      <c r="G41" s="1078"/>
      <c r="H41" s="154"/>
      <c r="I41" s="2557"/>
      <c r="J41" s="1977"/>
      <c r="K41" s="1977"/>
      <c r="L41" s="2350"/>
      <c r="M41" s="2359">
        <f>F31*1000000/J31</f>
        <v>1363.8348925615378</v>
      </c>
      <c r="N41" s="2213"/>
      <c r="O41" s="2213"/>
      <c r="P41" s="2213"/>
      <c r="Q41" s="2369" t="s">
        <v>906</v>
      </c>
      <c r="R41" s="2213"/>
      <c r="S41" s="2213"/>
      <c r="T41" s="2213"/>
      <c r="U41" s="2213"/>
      <c r="V41" s="2213"/>
      <c r="W41" s="2213"/>
      <c r="X41" s="2213"/>
      <c r="Y41" s="2213"/>
      <c r="Z41" s="2213"/>
    </row>
    <row r="42" spans="1:26" ht="12.75">
      <c r="A42" s="1087" t="s">
        <v>568</v>
      </c>
      <c r="B42" s="1105"/>
      <c r="C42" s="1070"/>
      <c r="D42" s="1068"/>
      <c r="E42" s="1068"/>
      <c r="F42" s="1068"/>
      <c r="G42" s="1078"/>
      <c r="H42" s="154"/>
      <c r="I42" s="2557"/>
      <c r="J42" s="1978"/>
      <c r="K42" s="1978"/>
      <c r="L42" s="2351"/>
      <c r="M42" s="2363">
        <f>((Motpart!D18+Motpart!E18+Motpart!F18+Motpart!J18-(Motpart!D18+Motpart!E18+Motpart!F18+Motpart!J18)*0.06))*1000000/J31</f>
        <v>14983.549144895886</v>
      </c>
      <c r="N42" s="2213"/>
      <c r="O42" s="2213"/>
      <c r="P42" s="2213"/>
      <c r="Q42" s="2369" t="s">
        <v>907</v>
      </c>
      <c r="R42" s="2213"/>
      <c r="S42" s="2213"/>
      <c r="T42" s="2213"/>
      <c r="U42" s="2213"/>
      <c r="V42" s="2213"/>
      <c r="W42" s="2213"/>
      <c r="X42" s="2213"/>
      <c r="Y42" s="2213"/>
      <c r="Z42" s="2213"/>
    </row>
    <row r="43" spans="1:26" ht="13.5" thickBot="1">
      <c r="A43" s="1108"/>
      <c r="B43" s="1109"/>
      <c r="C43" s="1838" t="str">
        <f>IF(ABS(C40)&lt;100,"",IF(C31=0,"C31",IF(ABS(C40/C31)&gt;0.01,"C40")))</f>
        <v/>
      </c>
      <c r="D43" s="1839"/>
      <c r="E43" s="1836" t="str">
        <f>IF(ABS(E40)&lt;100,"",IF(E31=0,"E31",IF(ABS(E40/E31)&gt;0.01,"E40")))</f>
        <v/>
      </c>
      <c r="F43" s="1839"/>
      <c r="G43" s="1840" t="str">
        <f>IF(ABS(G40)&lt;100,"",IF(G31=0,"G31",IF(ABS(G40/G31)&gt;0.01,"G40")))</f>
        <v/>
      </c>
      <c r="H43" s="153"/>
      <c r="I43" s="1120"/>
      <c r="J43" s="1504"/>
      <c r="K43" s="1118"/>
      <c r="L43" s="1118"/>
      <c r="M43" s="2364"/>
      <c r="N43" s="2213"/>
      <c r="O43" s="2213"/>
      <c r="P43" s="2213"/>
      <c r="Q43" s="2371" t="s">
        <v>508</v>
      </c>
      <c r="R43" s="2213"/>
      <c r="S43" s="2213"/>
      <c r="T43" s="2213"/>
      <c r="U43" s="2213"/>
      <c r="V43" s="2213"/>
      <c r="W43" s="2213"/>
      <c r="X43" s="2213"/>
      <c r="Y43" s="2213"/>
      <c r="Z43" s="2213"/>
    </row>
    <row r="44" spans="1:26" ht="12.75">
      <c r="A44" s="1092" t="s">
        <v>398</v>
      </c>
      <c r="B44" s="1101" t="s">
        <v>585</v>
      </c>
      <c r="C44" s="81">
        <f>Drift!P55</f>
        <v>7197.2820000000011</v>
      </c>
      <c r="D44" s="82">
        <f>SUM(Motpart!D19:L19)</f>
        <v>674.35199999999986</v>
      </c>
      <c r="E44" s="82">
        <f>Drift!W55</f>
        <v>1182.2159999999999</v>
      </c>
      <c r="F44" s="82">
        <f>Motpart!Y19</f>
        <v>317.38099999999997</v>
      </c>
      <c r="G44" s="130">
        <f>Drift!V55</f>
        <v>654.21600000000001</v>
      </c>
      <c r="H44" s="156"/>
      <c r="I44" s="1400" t="s">
        <v>869</v>
      </c>
      <c r="J44" s="1502">
        <v>1112730</v>
      </c>
      <c r="K44" s="1401"/>
      <c r="L44" s="1399"/>
      <c r="M44" s="2359">
        <f>SUM(M45:M47,M49:M51)</f>
        <v>4671.5213933299183</v>
      </c>
      <c r="N44" s="2213"/>
      <c r="O44" s="2213"/>
      <c r="P44" s="2213"/>
      <c r="Q44" s="2369" t="s">
        <v>896</v>
      </c>
      <c r="R44" s="2213"/>
      <c r="S44" s="2213"/>
      <c r="T44" s="2213"/>
      <c r="U44" s="2213"/>
      <c r="V44" s="2213"/>
      <c r="W44" s="2213"/>
      <c r="X44" s="2213"/>
      <c r="Y44" s="2213"/>
      <c r="Z44" s="2213"/>
    </row>
    <row r="45" spans="1:26" ht="12.75">
      <c r="A45" s="1087" t="s">
        <v>393</v>
      </c>
      <c r="B45" s="1102" t="s">
        <v>507</v>
      </c>
      <c r="C45" s="268">
        <v>3098.6860000000001</v>
      </c>
      <c r="D45" s="1079"/>
      <c r="E45" s="246">
        <v>244.63300000000001</v>
      </c>
      <c r="F45" s="1072"/>
      <c r="G45" s="267">
        <v>239.96299999999999</v>
      </c>
      <c r="H45" s="150" t="s">
        <v>599</v>
      </c>
      <c r="I45" s="1396"/>
      <c r="J45" s="1397"/>
      <c r="K45" s="1398"/>
      <c r="L45" s="1398"/>
      <c r="M45" s="2363">
        <f>(C45-E45)*1000000/J44</f>
        <v>2564.9106252190563</v>
      </c>
      <c r="N45" s="2213"/>
      <c r="O45" s="2213"/>
      <c r="P45" s="2213"/>
      <c r="Q45" s="2369" t="s">
        <v>935</v>
      </c>
      <c r="R45" s="2213"/>
      <c r="S45" s="2213"/>
      <c r="T45" s="2213"/>
      <c r="U45" s="2213"/>
      <c r="V45" s="2213"/>
      <c r="W45" s="2213"/>
      <c r="X45" s="2213"/>
      <c r="Y45" s="2213"/>
      <c r="Z45" s="2213"/>
    </row>
    <row r="46" spans="1:26" ht="12.75">
      <c r="A46" s="1087" t="s">
        <v>399</v>
      </c>
      <c r="B46" s="1102" t="s">
        <v>857</v>
      </c>
      <c r="C46" s="268">
        <v>100.063</v>
      </c>
      <c r="D46" s="1079"/>
      <c r="E46" s="246">
        <v>3.6469999999999998</v>
      </c>
      <c r="F46" s="1072"/>
      <c r="G46" s="267">
        <v>3.222</v>
      </c>
      <c r="H46" s="154" t="s">
        <v>600</v>
      </c>
      <c r="I46" s="1396"/>
      <c r="J46" s="1397"/>
      <c r="K46" s="1121"/>
      <c r="L46" s="1121"/>
      <c r="M46" s="2363">
        <f>(C46-E46)*1000000/J44</f>
        <v>86.648153640146305</v>
      </c>
      <c r="N46" s="2213"/>
      <c r="O46" s="2213"/>
      <c r="P46" s="2213"/>
      <c r="Q46" s="2369" t="s">
        <v>936</v>
      </c>
      <c r="R46" s="2213"/>
      <c r="S46" s="2213"/>
      <c r="T46" s="2213"/>
      <c r="U46" s="2213"/>
      <c r="V46" s="2213"/>
      <c r="W46" s="2213"/>
      <c r="X46" s="2213"/>
      <c r="Y46" s="2213"/>
      <c r="Z46" s="2213"/>
    </row>
    <row r="47" spans="1:26" ht="12.75">
      <c r="A47" s="1087" t="s">
        <v>400</v>
      </c>
      <c r="B47" s="1102" t="s">
        <v>525</v>
      </c>
      <c r="C47" s="268">
        <v>90.403999999999996</v>
      </c>
      <c r="D47" s="1079"/>
      <c r="E47" s="246">
        <v>5.431</v>
      </c>
      <c r="F47" s="1071"/>
      <c r="G47" s="267">
        <v>3.0779999999999998</v>
      </c>
      <c r="H47" s="154"/>
      <c r="I47" s="1396"/>
      <c r="J47" s="1503"/>
      <c r="K47" s="1117"/>
      <c r="L47" s="1117"/>
      <c r="M47" s="2363">
        <f>(C47-E47)*1000000/J44</f>
        <v>76.364437015268749</v>
      </c>
      <c r="N47" s="2213"/>
      <c r="O47" s="2213"/>
      <c r="P47" s="2213"/>
      <c r="Q47" s="2369" t="s">
        <v>937</v>
      </c>
      <c r="R47" s="2213"/>
      <c r="S47" s="2213"/>
      <c r="T47" s="2213"/>
      <c r="U47" s="2213"/>
      <c r="V47" s="2213"/>
      <c r="W47" s="2213"/>
      <c r="X47" s="2213"/>
      <c r="Y47" s="2213"/>
      <c r="Z47" s="2213"/>
    </row>
    <row r="48" spans="1:26" ht="12.75">
      <c r="A48" s="1087" t="s">
        <v>394</v>
      </c>
      <c r="B48" s="1102" t="s">
        <v>505</v>
      </c>
      <c r="C48" s="268">
        <v>663.00199999999995</v>
      </c>
      <c r="D48" s="1079"/>
      <c r="E48" s="246">
        <v>4.6920000000000002</v>
      </c>
      <c r="F48" s="999"/>
      <c r="G48" s="267">
        <v>0.54700000000000004</v>
      </c>
      <c r="H48" s="152" t="s">
        <v>601</v>
      </c>
      <c r="I48" s="1396"/>
      <c r="J48" s="1397"/>
      <c r="K48" s="1398"/>
      <c r="L48" s="1398"/>
      <c r="M48" s="2363">
        <f>(C48-E48)*1000000/J44</f>
        <v>591.61701401058656</v>
      </c>
      <c r="N48" s="2213"/>
      <c r="O48" s="2213"/>
      <c r="P48" s="2213"/>
      <c r="Q48" s="2369" t="s">
        <v>938</v>
      </c>
      <c r="R48" s="2213"/>
      <c r="S48" s="2213"/>
      <c r="T48" s="2213"/>
      <c r="U48" s="2213"/>
      <c r="V48" s="2213"/>
      <c r="W48" s="2213"/>
      <c r="X48" s="2213"/>
      <c r="Y48" s="2213"/>
      <c r="Z48" s="2213"/>
    </row>
    <row r="49" spans="1:26" ht="12.75">
      <c r="A49" s="1087" t="s">
        <v>401</v>
      </c>
      <c r="B49" s="1103" t="s">
        <v>765</v>
      </c>
      <c r="C49" s="268">
        <v>88.085999999999999</v>
      </c>
      <c r="D49" s="1079"/>
      <c r="E49" s="246">
        <v>1.528</v>
      </c>
      <c r="F49" s="1082"/>
      <c r="G49" s="267">
        <v>1.117</v>
      </c>
      <c r="H49" s="154" t="s">
        <v>602</v>
      </c>
      <c r="I49" s="1396"/>
      <c r="J49" s="1397"/>
      <c r="K49" s="1398"/>
      <c r="L49" s="1398"/>
      <c r="M49" s="2363">
        <f>(C49-E49)*1000000/J44</f>
        <v>77.788861628607123</v>
      </c>
      <c r="N49" s="2213"/>
      <c r="O49" s="2213"/>
      <c r="P49" s="2213"/>
      <c r="Q49" s="2369" t="s">
        <v>939</v>
      </c>
      <c r="R49" s="2213"/>
      <c r="S49" s="2213"/>
      <c r="T49" s="2213"/>
      <c r="U49" s="2213"/>
      <c r="V49" s="2213"/>
      <c r="W49" s="2213"/>
      <c r="X49" s="2213"/>
      <c r="Y49" s="2213"/>
      <c r="Z49" s="2213"/>
    </row>
    <row r="50" spans="1:26" ht="12.75">
      <c r="A50" s="1087" t="s">
        <v>402</v>
      </c>
      <c r="B50" s="1104" t="s">
        <v>543</v>
      </c>
      <c r="C50" s="268">
        <v>569.30700000000002</v>
      </c>
      <c r="D50" s="1079"/>
      <c r="E50" s="246">
        <v>14.736000000000001</v>
      </c>
      <c r="F50" s="1071"/>
      <c r="G50" s="267">
        <v>14.461</v>
      </c>
      <c r="H50" s="152" t="s">
        <v>603</v>
      </c>
      <c r="I50" s="1396"/>
      <c r="J50" s="1397"/>
      <c r="K50" s="1398"/>
      <c r="L50" s="1398"/>
      <c r="M50" s="2363">
        <f>(C50-E50)*1000000/J44</f>
        <v>498.38774904963469</v>
      </c>
      <c r="N50" s="2213"/>
      <c r="O50" s="2213"/>
      <c r="P50" s="2213"/>
      <c r="Q50" s="2369" t="s">
        <v>940</v>
      </c>
      <c r="R50" s="2213"/>
      <c r="S50" s="2213"/>
      <c r="T50" s="2213"/>
      <c r="U50" s="2213"/>
      <c r="V50" s="2213"/>
      <c r="W50" s="2213"/>
      <c r="X50" s="2213"/>
      <c r="Y50" s="2213"/>
      <c r="Z50" s="2213"/>
    </row>
    <row r="51" spans="1:26" ht="12.75">
      <c r="A51" s="1087" t="s">
        <v>403</v>
      </c>
      <c r="B51" s="1102" t="s">
        <v>457</v>
      </c>
      <c r="C51" s="268">
        <v>1705.1089999999999</v>
      </c>
      <c r="D51" s="1320"/>
      <c r="E51" s="246">
        <v>568.899</v>
      </c>
      <c r="F51" s="1071"/>
      <c r="G51" s="267">
        <v>391.82900000000001</v>
      </c>
      <c r="H51" s="150" t="s">
        <v>604</v>
      </c>
      <c r="I51" s="2558" t="str">
        <f>IF(SUM(E51-G51+100)&lt;Motpart!AA19,"I Motparten är statsbidragen "&amp;""&amp;(Motpart!AA19)&amp;" tkr. Alla bidrag från staten o statliga myndigheter, inklusive de från Migrationsverket, ska ingå under Övrigt som extern intäkt. De externa intäkterna på Övrigt-raden är dock bara "&amp;""&amp;(ROUND(E51-G51,0))&amp;" tkr. ","")</f>
        <v/>
      </c>
      <c r="J51" s="1980"/>
      <c r="K51" s="1980"/>
      <c r="L51" s="2352"/>
      <c r="M51" s="2363">
        <f>(C51+C52-G51)*1000000/J44</f>
        <v>1367.4215667772055</v>
      </c>
      <c r="N51" s="2213"/>
      <c r="O51" s="2213"/>
      <c r="P51" s="2213"/>
      <c r="Q51" s="2369" t="s">
        <v>941</v>
      </c>
      <c r="R51" s="2213"/>
      <c r="S51" s="2213"/>
      <c r="T51" s="2213"/>
      <c r="U51" s="2213"/>
      <c r="V51" s="2213"/>
      <c r="W51" s="2213"/>
      <c r="X51" s="2213"/>
      <c r="Y51" s="2213"/>
      <c r="Z51" s="2213"/>
    </row>
    <row r="52" spans="1:26" ht="12.75">
      <c r="A52" s="1087" t="s">
        <v>404</v>
      </c>
      <c r="B52" s="1105" t="s">
        <v>467</v>
      </c>
      <c r="C52" s="268">
        <v>208.291</v>
      </c>
      <c r="D52" s="2197" t="str">
        <f>IF(OR(C52 &gt; SUM(Drift!N55+Drift!O55+100), C52 &lt; SUM(Drift!N55+Drift!O55-100)),"Fördelad gemensam verksamhet skiljer sig mot Driftfliken.","")</f>
        <v/>
      </c>
      <c r="E52" s="1079"/>
      <c r="F52" s="1079"/>
      <c r="G52" s="1081"/>
      <c r="H52" s="154"/>
      <c r="I52" s="2555"/>
      <c r="J52" s="1980"/>
      <c r="K52" s="1980"/>
      <c r="L52" s="2352"/>
      <c r="M52" s="2358">
        <f>((M44*J44/1000000+D44-F44-(Motpart!D19+Motpart!E19+Motpart!F19+Motpart!J19)*0.06))*1000000/J44+M48</f>
        <v>5564.8260764066754</v>
      </c>
      <c r="N52" s="2213"/>
      <c r="O52" s="2213"/>
      <c r="P52" s="2213"/>
      <c r="Q52" s="2369" t="s">
        <v>942</v>
      </c>
      <c r="R52" s="2213"/>
      <c r="S52" s="2213"/>
      <c r="T52" s="2213"/>
      <c r="U52" s="2213"/>
      <c r="V52" s="2213"/>
      <c r="W52" s="2213"/>
      <c r="X52" s="2213"/>
      <c r="Y52" s="2213"/>
      <c r="Z52" s="2213"/>
    </row>
    <row r="53" spans="1:26" ht="12.75">
      <c r="A53" s="1108" t="s">
        <v>569</v>
      </c>
      <c r="B53" s="1105" t="s">
        <v>129</v>
      </c>
      <c r="C53" s="1258">
        <f>(C44-SUM(C45:C52)-D44)*-1</f>
        <v>1.7999999998210114E-2</v>
      </c>
      <c r="D53" s="1079"/>
      <c r="E53" s="1259">
        <f>(E44-SUM(E45:E51)-F44-SUM(Motpart!D19+Motpart!E19+Motpart!F19+Motpart!J19)*0.06)*-1</f>
        <v>5.0800000001061107E-3</v>
      </c>
      <c r="F53" s="1079"/>
      <c r="G53" s="1260">
        <f>(G44-SUM(G45:G51))*-1</f>
        <v>9.9999999997635314E-4</v>
      </c>
      <c r="H53" s="154"/>
      <c r="I53" s="2555"/>
      <c r="J53" s="1980"/>
      <c r="K53" s="1980"/>
      <c r="L53" s="2352"/>
      <c r="M53" s="2359">
        <f>(Motpart!G19+Motpart!K19)*1000000/J44</f>
        <v>276.93420686060409</v>
      </c>
      <c r="N53" s="2213"/>
      <c r="O53" s="2213"/>
      <c r="P53" s="2213"/>
      <c r="Q53" s="2369" t="s">
        <v>943</v>
      </c>
      <c r="R53" s="2213"/>
      <c r="S53" s="2213"/>
      <c r="T53" s="2213"/>
      <c r="U53" s="2213"/>
      <c r="V53" s="2213"/>
      <c r="W53" s="2213"/>
      <c r="X53" s="2213"/>
      <c r="Y53" s="2213"/>
      <c r="Z53" s="2213"/>
    </row>
    <row r="54" spans="1:26" ht="12.75">
      <c r="A54" s="1108" t="s">
        <v>570</v>
      </c>
      <c r="B54" s="1105"/>
      <c r="C54" s="1079"/>
      <c r="D54" s="1079"/>
      <c r="E54" s="1079"/>
      <c r="F54" s="1079"/>
      <c r="G54" s="1081"/>
      <c r="H54" s="152"/>
      <c r="I54" s="2555"/>
      <c r="J54" s="1980"/>
      <c r="K54" s="1980"/>
      <c r="L54" s="2352"/>
      <c r="M54" s="2363">
        <f>F44*1000000/J44</f>
        <v>285.22732378923905</v>
      </c>
      <c r="N54" s="2213"/>
      <c r="O54" s="2213"/>
      <c r="P54" s="2213"/>
      <c r="Q54" s="2369" t="s">
        <v>944</v>
      </c>
      <c r="R54" s="2213"/>
      <c r="S54" s="2213"/>
      <c r="T54" s="2213"/>
      <c r="U54" s="2213"/>
      <c r="V54" s="2213"/>
      <c r="W54" s="2213"/>
      <c r="X54" s="2213"/>
      <c r="Y54" s="2213"/>
      <c r="Z54" s="2213"/>
    </row>
    <row r="55" spans="1:26" ht="12.75">
      <c r="A55" s="1108" t="s">
        <v>571</v>
      </c>
      <c r="B55" s="1110"/>
      <c r="C55" s="1079"/>
      <c r="D55" s="1079"/>
      <c r="E55" s="1079"/>
      <c r="F55" s="1079"/>
      <c r="G55" s="1081"/>
      <c r="H55" s="150"/>
      <c r="I55" s="2555"/>
      <c r="J55" s="1980"/>
      <c r="K55" s="1980"/>
      <c r="L55" s="2352"/>
      <c r="M55" s="2363">
        <f>Motpart!H19*1000000/J44</f>
        <v>1.3381503149910581</v>
      </c>
      <c r="N55" s="2213"/>
      <c r="O55" s="2213"/>
      <c r="P55" s="2213"/>
      <c r="Q55" s="2369" t="s">
        <v>1176</v>
      </c>
      <c r="R55" s="2213"/>
      <c r="S55" s="2213"/>
      <c r="T55" s="2213"/>
      <c r="U55" s="2213"/>
      <c r="V55" s="2213"/>
      <c r="W55" s="2213"/>
      <c r="X55" s="2213"/>
      <c r="Y55" s="2213"/>
      <c r="Z55" s="2213"/>
    </row>
    <row r="56" spans="1:26" ht="12.75">
      <c r="A56" s="1090" t="s">
        <v>572</v>
      </c>
      <c r="B56" s="1105"/>
      <c r="C56" s="1068"/>
      <c r="D56" s="1068"/>
      <c r="E56" s="1068"/>
      <c r="F56" s="1068"/>
      <c r="G56" s="1078"/>
      <c r="H56" s="1263"/>
      <c r="I56" s="1264"/>
      <c r="J56" s="1503"/>
      <c r="K56" s="1121"/>
      <c r="L56" s="1121"/>
      <c r="M56" s="2363">
        <f>(Motpart!D19+Motpart!E19+Motpart!F19+Motpart!J19-(Motpart!D19+Motpart!E19+Motpart!F19+Motpart!J19)*0.06)*1000000/J44</f>
        <v>299.52811553566448</v>
      </c>
      <c r="N56" s="2213"/>
      <c r="O56" s="2213"/>
      <c r="P56" s="2213"/>
      <c r="Q56" s="2369" t="s">
        <v>945</v>
      </c>
      <c r="R56" s="2213"/>
      <c r="S56" s="2213"/>
      <c r="T56" s="2213"/>
      <c r="U56" s="2213"/>
      <c r="V56" s="2213"/>
      <c r="W56" s="2213"/>
      <c r="X56" s="2213"/>
      <c r="Y56" s="2213"/>
      <c r="Z56" s="2213"/>
    </row>
    <row r="57" spans="1:26" ht="13.5" thickBot="1">
      <c r="A57" s="1108"/>
      <c r="B57" s="1111"/>
      <c r="C57" s="1836" t="str">
        <f>IF(ABS(C53)&lt;100,"",IF(C44=0,"C44",IF(ABS(C53/C44)&gt;0.01,"C53")))</f>
        <v/>
      </c>
      <c r="D57" s="1836"/>
      <c r="E57" s="1836" t="str">
        <f>IF(ABS(E53)&lt;100,"",IF(E44=0,"E44",IF(ABS(E53/E44)&gt;0.01,"E53")))</f>
        <v/>
      </c>
      <c r="F57" s="1836"/>
      <c r="G57" s="1837" t="str">
        <f>IF(ABS(G53)&lt;100,"",IF(G44=0,"G44",IF(ABS(G53/G44)&gt;0.01,"G53")))</f>
        <v/>
      </c>
      <c r="H57" s="168"/>
      <c r="I57" s="1122"/>
      <c r="J57" s="1504"/>
      <c r="K57" s="1118"/>
      <c r="L57" s="1118"/>
      <c r="M57" s="2364"/>
      <c r="N57" s="2213"/>
      <c r="O57" s="2213"/>
      <c r="P57" s="2213"/>
      <c r="Q57" s="2371" t="s">
        <v>509</v>
      </c>
      <c r="R57" s="2213"/>
      <c r="S57" s="2213"/>
      <c r="T57" s="2213"/>
      <c r="U57" s="2213"/>
      <c r="V57" s="2213"/>
      <c r="W57" s="2213"/>
      <c r="X57" s="2213"/>
      <c r="Y57" s="2213"/>
      <c r="Z57" s="2213"/>
    </row>
    <row r="58" spans="1:26" ht="12.75">
      <c r="A58" s="1092" t="s">
        <v>405</v>
      </c>
      <c r="B58" s="1101" t="s">
        <v>549</v>
      </c>
      <c r="C58" s="81">
        <f>Drift!P56</f>
        <v>57996.665000000008</v>
      </c>
      <c r="D58" s="82">
        <f>SUM(Motpart!D20:L20)</f>
        <v>22295.997999999996</v>
      </c>
      <c r="E58" s="82">
        <f>Drift!W56</f>
        <v>14959.855000000001</v>
      </c>
      <c r="F58" s="82">
        <f>Motpart!Y20</f>
        <v>7647.8119999999999</v>
      </c>
      <c r="G58" s="130">
        <f>Drift!V56</f>
        <v>4008.84</v>
      </c>
      <c r="H58" s="150"/>
      <c r="I58" s="1400" t="s">
        <v>870</v>
      </c>
      <c r="J58" s="1502">
        <v>347667</v>
      </c>
      <c r="K58" s="1399"/>
      <c r="L58" s="1399"/>
      <c r="M58" s="2365">
        <f>SUM(M59:M61,M63:M65)</f>
        <v>86375.051414140544</v>
      </c>
      <c r="N58" s="2213"/>
      <c r="O58" s="2213"/>
      <c r="P58" s="2213"/>
      <c r="Q58" s="2369" t="s">
        <v>878</v>
      </c>
      <c r="R58" s="2213"/>
      <c r="S58" s="2213"/>
      <c r="T58" s="2213"/>
      <c r="U58" s="2213"/>
      <c r="V58" s="2213"/>
      <c r="W58" s="2213"/>
      <c r="X58" s="2213"/>
      <c r="Y58" s="2213"/>
      <c r="Z58" s="2213"/>
    </row>
    <row r="59" spans="1:26" ht="12.75">
      <c r="A59" s="1087" t="s">
        <v>406</v>
      </c>
      <c r="B59" s="1102" t="s">
        <v>507</v>
      </c>
      <c r="C59" s="268">
        <v>18075.578000000001</v>
      </c>
      <c r="D59" s="1079"/>
      <c r="E59" s="246">
        <v>1905.8879999999999</v>
      </c>
      <c r="F59" s="1071"/>
      <c r="G59" s="267">
        <v>1798.549</v>
      </c>
      <c r="H59" s="154" t="s">
        <v>605</v>
      </c>
      <c r="I59" s="1396"/>
      <c r="J59" s="1397"/>
      <c r="K59" s="1398"/>
      <c r="L59" s="1398"/>
      <c r="M59" s="2363">
        <f>(C59-E59)*1000000/J58</f>
        <v>46509.130863728802</v>
      </c>
      <c r="N59" s="2213"/>
      <c r="O59" s="2213"/>
      <c r="P59" s="2213"/>
      <c r="Q59" s="2369" t="s">
        <v>879</v>
      </c>
      <c r="R59" s="2213"/>
      <c r="S59" s="2213"/>
      <c r="T59" s="2213"/>
      <c r="U59" s="2213"/>
      <c r="V59" s="2213"/>
      <c r="W59" s="2213"/>
      <c r="X59" s="2213"/>
      <c r="Y59" s="2213"/>
      <c r="Z59" s="2213"/>
    </row>
    <row r="60" spans="1:26" ht="12.75">
      <c r="A60" s="1087" t="s">
        <v>407</v>
      </c>
      <c r="B60" s="1102" t="s">
        <v>857</v>
      </c>
      <c r="C60" s="268">
        <v>2242.779</v>
      </c>
      <c r="D60" s="1079"/>
      <c r="E60" s="246">
        <v>155.94</v>
      </c>
      <c r="F60" s="1071"/>
      <c r="G60" s="267">
        <v>52.712000000000003</v>
      </c>
      <c r="H60" s="154" t="s">
        <v>606</v>
      </c>
      <c r="I60" s="1396"/>
      <c r="J60" s="1397"/>
      <c r="K60" s="1121"/>
      <c r="L60" s="1121"/>
      <c r="M60" s="2363">
        <f>(C60-E60)*1000000/J58</f>
        <v>6002.4074761193897</v>
      </c>
      <c r="N60" s="2213"/>
      <c r="O60" s="2213"/>
      <c r="P60" s="2213"/>
      <c r="Q60" s="2369" t="s">
        <v>880</v>
      </c>
      <c r="R60" s="2213"/>
      <c r="S60" s="2213"/>
      <c r="T60" s="2213"/>
      <c r="U60" s="2213"/>
      <c r="V60" s="2213"/>
      <c r="W60" s="2213"/>
      <c r="X60" s="2213"/>
      <c r="Y60" s="2213"/>
      <c r="Z60" s="2213"/>
    </row>
    <row r="61" spans="1:26" ht="12.75">
      <c r="A61" s="1087" t="s">
        <v>408</v>
      </c>
      <c r="B61" s="1102" t="s">
        <v>525</v>
      </c>
      <c r="C61" s="268">
        <v>1329.989</v>
      </c>
      <c r="D61" s="1079"/>
      <c r="E61" s="246">
        <v>124.333</v>
      </c>
      <c r="F61" s="1071"/>
      <c r="G61" s="267">
        <v>55.539000000000001</v>
      </c>
      <c r="H61" s="152"/>
      <c r="I61" s="1396"/>
      <c r="J61" s="1212"/>
      <c r="K61" s="1117"/>
      <c r="L61" s="1117"/>
      <c r="M61" s="2363">
        <f>(C61-E61)*1000000/J58</f>
        <v>3467.8471065703675</v>
      </c>
      <c r="N61" s="2213"/>
      <c r="O61" s="2213"/>
      <c r="P61" s="2213"/>
      <c r="Q61" s="2369" t="s">
        <v>881</v>
      </c>
      <c r="R61" s="2213"/>
      <c r="S61" s="2213"/>
      <c r="T61" s="2213"/>
      <c r="U61" s="2213"/>
      <c r="V61" s="2213"/>
      <c r="W61" s="2213"/>
      <c r="X61" s="2213"/>
      <c r="Y61" s="2213"/>
      <c r="Z61" s="2213"/>
    </row>
    <row r="62" spans="1:26" ht="12.75">
      <c r="A62" s="1087" t="s">
        <v>255</v>
      </c>
      <c r="B62" s="1102" t="s">
        <v>505</v>
      </c>
      <c r="C62" s="268">
        <v>1331.769</v>
      </c>
      <c r="D62" s="1079"/>
      <c r="E62" s="246">
        <v>76.552999999999997</v>
      </c>
      <c r="F62" s="1071"/>
      <c r="G62" s="267">
        <v>9.8889999999999993</v>
      </c>
      <c r="H62" s="150" t="s">
        <v>607</v>
      </c>
      <c r="I62" s="1396"/>
      <c r="J62" s="1397"/>
      <c r="K62" s="1398"/>
      <c r="L62" s="1398"/>
      <c r="M62" s="2363">
        <f>(C62-E62)*1000000/J58</f>
        <v>3610.397305467588</v>
      </c>
      <c r="N62" s="2213"/>
      <c r="O62" s="2213"/>
      <c r="P62" s="2213"/>
      <c r="Q62" s="2369" t="s">
        <v>882</v>
      </c>
      <c r="R62" s="2213"/>
      <c r="S62" s="2213"/>
      <c r="T62" s="2213"/>
      <c r="U62" s="2213"/>
      <c r="V62" s="2213"/>
      <c r="W62" s="2213"/>
      <c r="X62" s="2213"/>
      <c r="Y62" s="2213"/>
      <c r="Z62" s="2213"/>
    </row>
    <row r="63" spans="1:26" ht="12.75">
      <c r="A63" s="1087" t="s">
        <v>409</v>
      </c>
      <c r="B63" s="1103" t="s">
        <v>765</v>
      </c>
      <c r="C63" s="268">
        <v>831.38300000000004</v>
      </c>
      <c r="D63" s="1079"/>
      <c r="E63" s="246">
        <v>43.856000000000002</v>
      </c>
      <c r="F63" s="1071"/>
      <c r="G63" s="267">
        <v>31.829000000000001</v>
      </c>
      <c r="H63" s="154" t="s">
        <v>608</v>
      </c>
      <c r="I63" s="1396"/>
      <c r="J63" s="1397"/>
      <c r="K63" s="1398"/>
      <c r="L63" s="1398"/>
      <c r="M63" s="2363">
        <f>(C63-E63)*1000000/J58</f>
        <v>2265.1761599461552</v>
      </c>
      <c r="N63" s="2213"/>
      <c r="O63" s="2213"/>
      <c r="P63" s="2213"/>
      <c r="Q63" s="2369" t="s">
        <v>883</v>
      </c>
      <c r="R63" s="2213"/>
      <c r="S63" s="2213"/>
      <c r="T63" s="2213"/>
      <c r="U63" s="2213"/>
      <c r="V63" s="2213"/>
      <c r="W63" s="2213"/>
      <c r="X63" s="2213"/>
      <c r="Y63" s="2213"/>
      <c r="Z63" s="2213"/>
    </row>
    <row r="64" spans="1:26" ht="12.75">
      <c r="A64" s="1087" t="s">
        <v>410</v>
      </c>
      <c r="B64" s="1104" t="s">
        <v>543</v>
      </c>
      <c r="C64" s="268">
        <v>5366.777</v>
      </c>
      <c r="D64" s="1079"/>
      <c r="E64" s="246">
        <v>122.973</v>
      </c>
      <c r="F64" s="1071"/>
      <c r="G64" s="267">
        <v>74.155000000000001</v>
      </c>
      <c r="H64" s="154" t="s">
        <v>609</v>
      </c>
      <c r="I64" s="1396"/>
      <c r="J64" s="1397"/>
      <c r="K64" s="1398"/>
      <c r="L64" s="1398"/>
      <c r="M64" s="2363">
        <f>(C64-E64)*1000000/J58</f>
        <v>15082.835011663459</v>
      </c>
      <c r="N64" s="2213"/>
      <c r="O64" s="2213"/>
      <c r="P64" s="2213"/>
      <c r="Q64" s="2369" t="s">
        <v>884</v>
      </c>
      <c r="R64" s="2213"/>
      <c r="S64" s="2213"/>
      <c r="T64" s="2213"/>
      <c r="U64" s="2213"/>
      <c r="V64" s="2213"/>
      <c r="W64" s="2213"/>
      <c r="X64" s="2213"/>
      <c r="Y64" s="2213"/>
      <c r="Z64" s="2213"/>
    </row>
    <row r="65" spans="1:26" ht="12.75">
      <c r="A65" s="1087" t="s">
        <v>411</v>
      </c>
      <c r="B65" s="1112" t="s">
        <v>457</v>
      </c>
      <c r="C65" s="268">
        <v>5430.9369999999999</v>
      </c>
      <c r="D65" s="1079"/>
      <c r="E65" s="246">
        <v>4188.2809999999999</v>
      </c>
      <c r="F65" s="1071"/>
      <c r="G65" s="267">
        <v>1986.1659999999999</v>
      </c>
      <c r="H65" s="154" t="s">
        <v>610</v>
      </c>
      <c r="I65" s="2559" t="str">
        <f>IF(SUM(E65-G65+100)&lt;Motpart!AA20,"I Motparten är statsbidragen "&amp;""&amp;(Motpart!AA20)&amp;" tkr. Alla bidrag från staten o statliga myndigheter, inklusive de från Migrationsverket, ska ingå under Övrigt som extern intäkt. De externa intäkterna på Övrigt-raden är dock bara "&amp;""&amp;(ROUND(E65-G65,0))&amp;" tkr. ","")</f>
        <v/>
      </c>
      <c r="J65" s="1981"/>
      <c r="K65" s="1981"/>
      <c r="L65" s="2353"/>
      <c r="M65" s="2363">
        <f>(C65+C66-G65)*1000000/J58</f>
        <v>13047.654796112372</v>
      </c>
      <c r="N65" s="2213"/>
      <c r="O65" s="2213"/>
      <c r="P65" s="2213"/>
      <c r="Q65" s="2369" t="s">
        <v>885</v>
      </c>
      <c r="R65" s="2213"/>
      <c r="S65" s="2213"/>
      <c r="T65" s="2213"/>
      <c r="U65" s="2213"/>
      <c r="V65" s="2213"/>
      <c r="W65" s="2213"/>
      <c r="X65" s="2213"/>
      <c r="Y65" s="2213"/>
      <c r="Z65" s="2213"/>
    </row>
    <row r="66" spans="1:26" ht="12.75">
      <c r="A66" s="1087" t="s">
        <v>412</v>
      </c>
      <c r="B66" s="1113" t="s">
        <v>467</v>
      </c>
      <c r="C66" s="268">
        <v>1091.4680000000001</v>
      </c>
      <c r="D66" s="2196" t="str">
        <f>IF(OR(C66 &gt; SUM(Drift!N56+Drift!O56+100), C66 &lt; SUM(Drift!N56+Drift!O56-100)),"Fördelad gemensam verksamhet skiljer sig mot Driftfliken.","")</f>
        <v/>
      </c>
      <c r="E66" s="1079"/>
      <c r="F66" s="1079"/>
      <c r="G66" s="1081"/>
      <c r="H66" s="154"/>
      <c r="I66" s="2560"/>
      <c r="J66" s="1981"/>
      <c r="K66" s="1981"/>
      <c r="L66" s="2353"/>
      <c r="M66" s="2363">
        <f>(M58*J58/1000000+D58-F58-(Motpart!D20+Motpart!E20+Motpart!F20+Motpart!J20)*0.06)*1000000/J58+M62</f>
        <v>130121.40973977973</v>
      </c>
      <c r="N66" s="2213"/>
      <c r="O66" s="2213"/>
      <c r="P66" s="2213"/>
      <c r="Q66" s="2369" t="s">
        <v>886</v>
      </c>
      <c r="R66" s="2213"/>
      <c r="S66" s="2213"/>
      <c r="T66" s="2213"/>
      <c r="U66" s="2213"/>
      <c r="V66" s="2213"/>
      <c r="W66" s="2213"/>
      <c r="X66" s="2213"/>
      <c r="Y66" s="2213"/>
      <c r="Z66" s="2213"/>
    </row>
    <row r="67" spans="1:26" ht="12.75">
      <c r="A67" s="1087" t="s">
        <v>576</v>
      </c>
      <c r="B67" s="1105" t="s">
        <v>129</v>
      </c>
      <c r="C67" s="1258">
        <f>(C58-SUM(C59:C66)-D58)*-1</f>
        <v>1.2999999988096533E-2</v>
      </c>
      <c r="D67" s="1067"/>
      <c r="E67" s="1259">
        <f>(E58-SUM(E59:E65)-F58-SUM(Motpart!D20+Motpart!E20+Motpart!F20+Motpart!J20)*0.06)*-1</f>
        <v>1.7839999998955136E-2</v>
      </c>
      <c r="F67" s="1067"/>
      <c r="G67" s="1260">
        <f>(G58-SUM(G59:G65))*-1</f>
        <v>-1.0000000002037268E-3</v>
      </c>
      <c r="H67" s="154"/>
      <c r="I67" s="2560"/>
      <c r="J67" s="1981"/>
      <c r="K67" s="1981"/>
      <c r="L67" s="2353"/>
      <c r="M67" s="2363">
        <f>(Motpart!G20+Motpart!K20)*1000000/J58</f>
        <v>29125.016179274997</v>
      </c>
      <c r="N67" s="2213"/>
      <c r="O67" s="2213"/>
      <c r="P67" s="2213"/>
      <c r="Q67" s="2369" t="s">
        <v>1175</v>
      </c>
      <c r="R67" s="2213"/>
      <c r="S67" s="2213"/>
      <c r="T67" s="2213"/>
      <c r="U67" s="2213"/>
      <c r="V67" s="2213"/>
      <c r="W67" s="2213"/>
      <c r="X67" s="2213"/>
      <c r="Y67" s="2213"/>
      <c r="Z67" s="2213"/>
    </row>
    <row r="68" spans="1:26" ht="12.75">
      <c r="A68" s="1106" t="s">
        <v>577</v>
      </c>
      <c r="B68" s="1105"/>
      <c r="C68" s="1079"/>
      <c r="D68" s="1068"/>
      <c r="E68" s="1079"/>
      <c r="F68" s="1079"/>
      <c r="G68" s="1081"/>
      <c r="H68" s="152"/>
      <c r="I68" s="2560"/>
      <c r="J68" s="1981"/>
      <c r="K68" s="1981"/>
      <c r="L68" s="2353"/>
      <c r="M68" s="2363">
        <f>F58*1000000/J58</f>
        <v>21997.52061599174</v>
      </c>
      <c r="N68" s="2213"/>
      <c r="O68" s="2213"/>
      <c r="P68" s="2213"/>
      <c r="Q68" s="2369" t="s">
        <v>1174</v>
      </c>
      <c r="R68" s="2213"/>
      <c r="S68" s="2213"/>
      <c r="T68" s="2213"/>
      <c r="U68" s="2213"/>
      <c r="V68" s="2213"/>
      <c r="W68" s="2213"/>
      <c r="X68" s="2213"/>
      <c r="Y68" s="2213"/>
      <c r="Z68" s="2213"/>
    </row>
    <row r="69" spans="1:26" ht="12.75">
      <c r="A69" s="1106" t="s">
        <v>578</v>
      </c>
      <c r="B69" s="1110"/>
      <c r="C69" s="1079"/>
      <c r="D69" s="1068"/>
      <c r="E69" s="1079"/>
      <c r="F69" s="1079"/>
      <c r="G69" s="1081"/>
      <c r="H69" s="150"/>
      <c r="I69" s="2560"/>
      <c r="J69" s="1981"/>
      <c r="K69" s="1981"/>
      <c r="L69" s="2353"/>
      <c r="M69" s="2363">
        <f>Motpart!H20*1000000/J58</f>
        <v>1327.2441733037649</v>
      </c>
      <c r="N69" s="2213"/>
      <c r="O69" s="2213"/>
      <c r="P69" s="2213"/>
      <c r="Q69" s="2369" t="s">
        <v>1177</v>
      </c>
      <c r="R69" s="2213"/>
      <c r="S69" s="2213"/>
      <c r="T69" s="2213"/>
      <c r="U69" s="2213"/>
      <c r="V69" s="2213"/>
      <c r="W69" s="2213"/>
      <c r="X69" s="2213"/>
      <c r="Y69" s="2213"/>
      <c r="Z69" s="2213"/>
    </row>
    <row r="70" spans="1:26" ht="12.75">
      <c r="A70" s="1106" t="s">
        <v>579</v>
      </c>
      <c r="B70" s="1105"/>
      <c r="C70" s="1068"/>
      <c r="D70" s="1068"/>
      <c r="E70" s="1068"/>
      <c r="F70" s="1068"/>
      <c r="G70" s="1078"/>
      <c r="H70" s="1263"/>
      <c r="I70" s="1264"/>
      <c r="J70" s="1503"/>
      <c r="K70" s="1121"/>
      <c r="L70" s="1121"/>
      <c r="M70" s="2363">
        <f>((Motpart!D20+Motpart!E20+Motpart!F20+Motpart!J20)-(Motpart!D20+Motpart!E20+Motpart!F20+Motpart!J20)*0.06)*1000000/J58</f>
        <v>31283.892805471904</v>
      </c>
      <c r="N70" s="2213"/>
      <c r="O70" s="2213"/>
      <c r="P70" s="2213"/>
      <c r="Q70" s="2369" t="s">
        <v>887</v>
      </c>
      <c r="R70" s="2213"/>
      <c r="S70" s="2213"/>
      <c r="T70" s="2213"/>
      <c r="U70" s="2213"/>
      <c r="V70" s="2213"/>
      <c r="W70" s="2213"/>
      <c r="X70" s="2213"/>
      <c r="Y70" s="2213"/>
      <c r="Z70" s="2213"/>
    </row>
    <row r="71" spans="1:26" ht="13.5" thickBot="1">
      <c r="A71" s="1114"/>
      <c r="B71" s="1115"/>
      <c r="C71" s="1832" t="str">
        <f>IF(ABS(C67)&lt;100,"",IF(C58=0,"C58",IF(ABS(C67/C58)&gt;0.01,"C67")))</f>
        <v/>
      </c>
      <c r="D71" s="1833"/>
      <c r="E71" s="1833" t="str">
        <f>IF(ABS(E67)&lt;100,"",IF(E58=0,"E58",IF(ABS(E67/E58)&gt;0.01,"E67")))</f>
        <v/>
      </c>
      <c r="F71" s="1835"/>
      <c r="G71" s="1834" t="str">
        <f>IF(ABS(G67)&lt;100,"",IF(G58=0,"G58",IF(ABS(G67/G58)&gt;0.01,"G67")))</f>
        <v/>
      </c>
      <c r="H71" s="153"/>
      <c r="I71" s="1120"/>
      <c r="J71" s="1504"/>
      <c r="K71" s="1118"/>
      <c r="L71" s="1118"/>
      <c r="M71" s="2364"/>
      <c r="N71" s="2213"/>
      <c r="O71" s="2213"/>
      <c r="P71" s="2213"/>
      <c r="Q71" s="2371" t="s">
        <v>510</v>
      </c>
      <c r="R71" s="2213"/>
      <c r="S71" s="2213"/>
      <c r="T71" s="2213"/>
      <c r="U71" s="2213"/>
      <c r="V71" s="2213"/>
      <c r="W71" s="2213"/>
      <c r="X71" s="2213"/>
      <c r="Y71" s="2213"/>
      <c r="Z71" s="2213"/>
    </row>
    <row r="72" spans="1:26" ht="12.75">
      <c r="A72" s="1092" t="s">
        <v>413</v>
      </c>
      <c r="B72" s="1101" t="s">
        <v>550</v>
      </c>
      <c r="C72" s="81">
        <f>Drift!P57</f>
        <v>4002.2979999999998</v>
      </c>
      <c r="D72" s="82">
        <f>SUM(Motpart!D21:L21)</f>
        <v>1118.9570000000001</v>
      </c>
      <c r="E72" s="82">
        <f>Drift!W57</f>
        <v>1030.2250000000001</v>
      </c>
      <c r="F72" s="82">
        <f>Motpart!Y21</f>
        <v>641.85500000000002</v>
      </c>
      <c r="G72" s="130">
        <f>Drift!V57</f>
        <v>256.459</v>
      </c>
      <c r="H72" s="150"/>
      <c r="I72" s="1410" t="s">
        <v>870</v>
      </c>
      <c r="J72" s="1502">
        <v>347667</v>
      </c>
      <c r="K72" s="1401"/>
      <c r="L72" s="1399"/>
      <c r="M72" s="2365">
        <f>SUM(M73:M75,M77:M79)</f>
        <v>6711.6234787886115</v>
      </c>
      <c r="N72" s="2213"/>
      <c r="O72" s="2213"/>
      <c r="P72" s="2213"/>
      <c r="Q72" s="2369" t="s">
        <v>878</v>
      </c>
      <c r="R72" s="2213"/>
      <c r="S72" s="2213"/>
      <c r="T72" s="2213"/>
      <c r="U72" s="2213"/>
      <c r="V72" s="2213"/>
      <c r="W72" s="2213"/>
      <c r="X72" s="2213"/>
      <c r="Y72" s="2213"/>
      <c r="Z72" s="2213"/>
    </row>
    <row r="73" spans="1:26" ht="12.75">
      <c r="A73" s="1087" t="s">
        <v>414</v>
      </c>
      <c r="B73" s="1102" t="s">
        <v>507</v>
      </c>
      <c r="C73" s="268">
        <v>1330.913</v>
      </c>
      <c r="D73" s="1079"/>
      <c r="E73" s="246">
        <v>131.143</v>
      </c>
      <c r="F73" s="1071"/>
      <c r="G73" s="267">
        <v>127.764</v>
      </c>
      <c r="H73" s="167" t="s">
        <v>611</v>
      </c>
      <c r="I73" s="841"/>
      <c r="J73" s="1397"/>
      <c r="K73" s="1398"/>
      <c r="L73" s="1398"/>
      <c r="M73" s="2363">
        <f>(C73-E73)*1000000/J72</f>
        <v>3450.9171132146566</v>
      </c>
      <c r="N73" s="2213"/>
      <c r="O73" s="2213"/>
      <c r="P73" s="2213"/>
      <c r="Q73" s="2369" t="s">
        <v>879</v>
      </c>
      <c r="R73" s="2213"/>
      <c r="S73" s="2213"/>
      <c r="T73" s="2213"/>
      <c r="U73" s="2213"/>
      <c r="V73" s="2213"/>
      <c r="W73" s="2213"/>
      <c r="X73" s="2213"/>
      <c r="Y73" s="2213"/>
      <c r="Z73" s="2213"/>
    </row>
    <row r="74" spans="1:26" ht="12.75">
      <c r="A74" s="1087" t="s">
        <v>415</v>
      </c>
      <c r="B74" s="1102" t="s">
        <v>857</v>
      </c>
      <c r="C74" s="268">
        <v>73.153000000000006</v>
      </c>
      <c r="D74" s="1079"/>
      <c r="E74" s="246">
        <v>8.9719999999999995</v>
      </c>
      <c r="F74" s="1071"/>
      <c r="G74" s="267">
        <v>4.0590000000000002</v>
      </c>
      <c r="H74" s="166" t="s">
        <v>612</v>
      </c>
      <c r="I74" s="841"/>
      <c r="J74" s="1397"/>
      <c r="K74" s="1121"/>
      <c r="L74" s="1121"/>
      <c r="M74" s="2363">
        <f>(C74-E74)*1000000/J72</f>
        <v>184.6048086243446</v>
      </c>
      <c r="N74" s="2213"/>
      <c r="O74" s="2213"/>
      <c r="P74" s="2213"/>
      <c r="Q74" s="2369" t="s">
        <v>880</v>
      </c>
      <c r="R74" s="2213"/>
      <c r="S74" s="2213"/>
      <c r="T74" s="2213"/>
      <c r="U74" s="2213"/>
      <c r="V74" s="2213"/>
      <c r="W74" s="2213"/>
      <c r="X74" s="2213"/>
      <c r="Y74" s="2213"/>
      <c r="Z74" s="2213"/>
    </row>
    <row r="75" spans="1:26" ht="12.75">
      <c r="A75" s="1087" t="s">
        <v>416</v>
      </c>
      <c r="B75" s="1102" t="s">
        <v>525</v>
      </c>
      <c r="C75" s="268">
        <v>39.25</v>
      </c>
      <c r="D75" s="1079"/>
      <c r="E75" s="246">
        <v>1.6839999999999999</v>
      </c>
      <c r="F75" s="1071"/>
      <c r="G75" s="267">
        <v>0.39900000000000002</v>
      </c>
      <c r="H75" s="1409"/>
      <c r="I75" s="841"/>
      <c r="J75" s="1212"/>
      <c r="K75" s="1117"/>
      <c r="L75" s="1117"/>
      <c r="M75" s="2363">
        <f>(C75-E75)*1000000/J72</f>
        <v>108.05167013262691</v>
      </c>
      <c r="N75" s="2213"/>
      <c r="O75" s="2213"/>
      <c r="P75" s="2213"/>
      <c r="Q75" s="2369" t="s">
        <v>881</v>
      </c>
      <c r="R75" s="2213"/>
      <c r="S75" s="2213"/>
      <c r="T75" s="2213"/>
      <c r="U75" s="2213"/>
      <c r="V75" s="2213"/>
      <c r="W75" s="2213"/>
      <c r="X75" s="2213"/>
      <c r="Y75" s="2213"/>
      <c r="Z75" s="2213"/>
    </row>
    <row r="76" spans="1:26" ht="12.75">
      <c r="A76" s="1087" t="s">
        <v>417</v>
      </c>
      <c r="B76" s="1102" t="s">
        <v>505</v>
      </c>
      <c r="C76" s="268">
        <v>286.06400000000002</v>
      </c>
      <c r="D76" s="1079"/>
      <c r="E76" s="246">
        <v>7.157</v>
      </c>
      <c r="F76" s="1071"/>
      <c r="G76" s="267">
        <v>2.9620000000000002</v>
      </c>
      <c r="H76" s="1409" t="s">
        <v>613</v>
      </c>
      <c r="I76" s="841"/>
      <c r="J76" s="1397"/>
      <c r="K76" s="1398"/>
      <c r="L76" s="1398"/>
      <c r="M76" s="2363">
        <f>(C76-E76)*1000000/J72</f>
        <v>802.22454245010329</v>
      </c>
      <c r="N76" s="2213"/>
      <c r="O76" s="2213"/>
      <c r="P76" s="2213"/>
      <c r="Q76" s="2369" t="s">
        <v>882</v>
      </c>
      <c r="R76" s="2213"/>
      <c r="S76" s="2213"/>
      <c r="T76" s="2213"/>
      <c r="U76" s="2213"/>
      <c r="V76" s="2213"/>
      <c r="W76" s="2213"/>
      <c r="X76" s="2213"/>
      <c r="Y76" s="2213"/>
      <c r="Z76" s="2213"/>
    </row>
    <row r="77" spans="1:26" ht="12.75">
      <c r="A77" s="1087" t="s">
        <v>418</v>
      </c>
      <c r="B77" s="1103" t="s">
        <v>765</v>
      </c>
      <c r="C77" s="268">
        <v>63.146000000000001</v>
      </c>
      <c r="D77" s="1079"/>
      <c r="E77" s="246">
        <v>0.997</v>
      </c>
      <c r="F77" s="1071"/>
      <c r="G77" s="267">
        <v>0.61599999999999999</v>
      </c>
      <c r="H77" s="1409" t="s">
        <v>614</v>
      </c>
      <c r="I77" s="841"/>
      <c r="J77" s="1397"/>
      <c r="K77" s="1398"/>
      <c r="L77" s="1398"/>
      <c r="M77" s="2363">
        <f>(C77-E77)*1000000/J72</f>
        <v>178.76013541693632</v>
      </c>
      <c r="N77" s="2213"/>
      <c r="O77" s="2213"/>
      <c r="P77" s="2213"/>
      <c r="Q77" s="2369" t="s">
        <v>883</v>
      </c>
      <c r="R77" s="2213"/>
      <c r="S77" s="2213"/>
      <c r="T77" s="2213"/>
      <c r="U77" s="2213"/>
      <c r="V77" s="2213"/>
      <c r="W77" s="2213"/>
      <c r="X77" s="2213"/>
      <c r="Y77" s="2213"/>
      <c r="Z77" s="2213"/>
    </row>
    <row r="78" spans="1:26" ht="12.75">
      <c r="A78" s="1087" t="s">
        <v>419</v>
      </c>
      <c r="B78" s="1104" t="s">
        <v>543</v>
      </c>
      <c r="C78" s="268">
        <v>297.87299999999999</v>
      </c>
      <c r="D78" s="1079"/>
      <c r="E78" s="246">
        <v>1.7250000000000001</v>
      </c>
      <c r="F78" s="1071"/>
      <c r="G78" s="267">
        <v>1.3129999999999999</v>
      </c>
      <c r="H78" s="1409" t="s">
        <v>615</v>
      </c>
      <c r="I78" s="841"/>
      <c r="J78" s="1397"/>
      <c r="K78" s="1398"/>
      <c r="L78" s="1398"/>
      <c r="M78" s="2363">
        <f>(C78-E78)*1000000/J72</f>
        <v>851.81509893087332</v>
      </c>
      <c r="N78" s="2213"/>
      <c r="O78" s="2213"/>
      <c r="P78" s="2213"/>
      <c r="Q78" s="2369" t="s">
        <v>884</v>
      </c>
      <c r="R78" s="2213"/>
      <c r="S78" s="2213"/>
      <c r="T78" s="2213"/>
      <c r="U78" s="2213"/>
      <c r="V78" s="2213"/>
      <c r="W78" s="2213"/>
      <c r="X78" s="2213"/>
      <c r="Y78" s="2213"/>
      <c r="Z78" s="2213"/>
    </row>
    <row r="79" spans="1:26" ht="12.75">
      <c r="A79" s="1087" t="s">
        <v>420</v>
      </c>
      <c r="B79" s="1102" t="s">
        <v>457</v>
      </c>
      <c r="C79" s="268">
        <v>706.08500000000004</v>
      </c>
      <c r="D79" s="1079"/>
      <c r="E79" s="246">
        <v>220.596</v>
      </c>
      <c r="F79" s="1071"/>
      <c r="G79" s="267">
        <v>119.34699999999999</v>
      </c>
      <c r="H79" s="167" t="s">
        <v>616</v>
      </c>
      <c r="I79" s="2556" t="str">
        <f>IF(SUM(E79-G79+100)&lt;Motpart!AA21,"I Motparten är statsbidragen "&amp;""&amp;(Motpart!AA21)&amp;" tkr. Alla bidrag från staten o statliga myndigheter, inklusive de från Migrationsverket, ska ingå under Övrigt som extern intäkt. De externa intäkterna på Övrigt-raden är dock bara "&amp;""&amp;(ROUND(E79-G79,0))&amp;" tkr. ","")</f>
        <v/>
      </c>
      <c r="J79" s="1980"/>
      <c r="K79" s="1980"/>
      <c r="L79" s="2352"/>
      <c r="M79" s="2358">
        <f>(C79+C80-G79)*1000000/J72</f>
        <v>1937.4746524691732</v>
      </c>
      <c r="N79" s="2213"/>
      <c r="O79" s="2213"/>
      <c r="P79" s="2213"/>
      <c r="Q79" s="2369" t="s">
        <v>885</v>
      </c>
      <c r="R79" s="2213"/>
      <c r="S79" s="2213"/>
      <c r="T79" s="2213"/>
      <c r="U79" s="2213"/>
      <c r="V79" s="2213"/>
      <c r="W79" s="2213"/>
      <c r="X79" s="2213"/>
      <c r="Y79" s="2213"/>
      <c r="Z79" s="2213"/>
    </row>
    <row r="80" spans="1:26" ht="12.75">
      <c r="A80" s="1087" t="s">
        <v>421</v>
      </c>
      <c r="B80" s="1116" t="s">
        <v>467</v>
      </c>
      <c r="C80" s="268">
        <v>86.858000000000004</v>
      </c>
      <c r="D80" s="2196" t="str">
        <f>IF(OR(C80 &gt; SUM(Drift!N57+Drift!O57+100), C80 &lt; SUM(Drift!N57+Drift!O57-100)),"Fördelad gemensam verksamhet skiljer sig mot Driftfliken.","")</f>
        <v/>
      </c>
      <c r="E80" s="1079"/>
      <c r="F80" s="1079"/>
      <c r="G80" s="1081"/>
      <c r="H80" s="166"/>
      <c r="I80" s="2561"/>
      <c r="J80" s="1980"/>
      <c r="K80" s="1980"/>
      <c r="L80" s="2352"/>
      <c r="M80" s="2358">
        <f>((M72*J72/1000000+D72-F72-(Motpart!D21+Motpart!E21+Motpart!F21+Motpart!J21)*0.06))/J72*1000000+M76</f>
        <v>8839.8370279606625</v>
      </c>
      <c r="N80" s="2213"/>
      <c r="O80" s="2213"/>
      <c r="P80" s="2213"/>
      <c r="Q80" s="2369" t="s">
        <v>886</v>
      </c>
      <c r="R80" s="2213"/>
      <c r="S80" s="2213"/>
      <c r="T80" s="2213"/>
      <c r="U80" s="2213"/>
      <c r="V80" s="2213"/>
      <c r="W80" s="2213"/>
      <c r="X80" s="2213"/>
      <c r="Y80" s="2213"/>
      <c r="Z80" s="2213"/>
    </row>
    <row r="81" spans="1:26" ht="12.75">
      <c r="A81" s="1106" t="s">
        <v>580</v>
      </c>
      <c r="B81" s="1105" t="s">
        <v>129</v>
      </c>
      <c r="C81" s="1258">
        <f>(C72-SUM(C73:C80)-D72)*-1</f>
        <v>1.0000000004311005E-3</v>
      </c>
      <c r="D81" s="1067"/>
      <c r="E81" s="1259">
        <f>(E72-SUM(E73:E79)-F72-SUM(Motpart!D21+Motpart!E21+Motpart!F21+Motpart!J21)*0.06)*-1</f>
        <v>3.3799999998791463E-3</v>
      </c>
      <c r="F81" s="1067"/>
      <c r="G81" s="1260">
        <f>(G72-SUM(G73:G79))*-1</f>
        <v>9.9999999997635314E-4</v>
      </c>
      <c r="H81" s="152"/>
      <c r="I81" s="2561"/>
      <c r="J81" s="1980"/>
      <c r="K81" s="1980"/>
      <c r="L81" s="2352"/>
      <c r="M81" s="2363">
        <f>(Motpart!G21+Motpart!K21)*1000000/J72</f>
        <v>2290.8817920596434</v>
      </c>
      <c r="N81" s="2213"/>
      <c r="O81" s="2213"/>
      <c r="P81" s="2213"/>
      <c r="Q81" s="2369" t="s">
        <v>1175</v>
      </c>
      <c r="R81" s="2213"/>
      <c r="S81" s="2213"/>
      <c r="T81" s="2213"/>
      <c r="U81" s="2213"/>
      <c r="V81" s="2213"/>
      <c r="W81" s="2213"/>
      <c r="X81" s="2213"/>
      <c r="Y81" s="2213"/>
      <c r="Z81" s="2213"/>
    </row>
    <row r="82" spans="1:26" ht="12.75">
      <c r="A82" s="1106" t="s">
        <v>581</v>
      </c>
      <c r="B82" s="1105"/>
      <c r="C82" s="1079"/>
      <c r="D82" s="1068"/>
      <c r="E82" s="1079"/>
      <c r="F82" s="1079"/>
      <c r="G82" s="1081"/>
      <c r="H82" s="150"/>
      <c r="I82" s="2561"/>
      <c r="J82" s="1980"/>
      <c r="K82" s="1980"/>
      <c r="L82" s="2352"/>
      <c r="M82" s="2363">
        <f>F72*1000000/J72</f>
        <v>1846.1775204434127</v>
      </c>
      <c r="N82" s="2213"/>
      <c r="O82" s="2213"/>
      <c r="P82" s="2213"/>
      <c r="Q82" s="2369" t="s">
        <v>1174</v>
      </c>
      <c r="R82" s="2213"/>
      <c r="S82" s="2213"/>
      <c r="T82" s="2213"/>
      <c r="U82" s="2213"/>
      <c r="V82" s="2213"/>
      <c r="W82" s="2213"/>
      <c r="X82" s="2213"/>
      <c r="Y82" s="2213"/>
      <c r="Z82" s="2213"/>
    </row>
    <row r="83" spans="1:26" ht="12.75">
      <c r="A83" s="1106" t="s">
        <v>582</v>
      </c>
      <c r="B83" s="1110"/>
      <c r="C83" s="1079"/>
      <c r="D83" s="1068"/>
      <c r="E83" s="1079"/>
      <c r="F83" s="1079"/>
      <c r="G83" s="1081"/>
      <c r="H83" s="154"/>
      <c r="I83" s="2561"/>
      <c r="J83" s="1980"/>
      <c r="K83" s="1980"/>
      <c r="L83" s="2352"/>
      <c r="M83" s="2358">
        <f>Motpart!H21*1000000/J72</f>
        <v>147.10053010495676</v>
      </c>
      <c r="N83" s="2213"/>
      <c r="O83" s="2213"/>
      <c r="P83" s="2213"/>
      <c r="Q83" s="2369" t="s">
        <v>1177</v>
      </c>
      <c r="R83" s="2213"/>
      <c r="S83" s="2213"/>
      <c r="T83" s="2213"/>
      <c r="U83" s="2213"/>
      <c r="V83" s="2213"/>
      <c r="W83" s="2213"/>
      <c r="X83" s="2213"/>
      <c r="Y83" s="2213"/>
      <c r="Z83" s="2213"/>
    </row>
    <row r="84" spans="1:26" ht="12.75">
      <c r="A84" s="1087" t="s">
        <v>583</v>
      </c>
      <c r="B84" s="1105"/>
      <c r="C84" s="1068"/>
      <c r="D84" s="1068"/>
      <c r="E84" s="1068"/>
      <c r="F84" s="1068"/>
      <c r="G84" s="1078"/>
      <c r="H84" s="1263"/>
      <c r="I84" s="1264"/>
      <c r="J84" s="1503"/>
      <c r="K84" s="1121"/>
      <c r="L84" s="1121"/>
      <c r="M84" s="2358">
        <f>((Motpart!D21+Motpart!E21+Motpart!F21+Motpart!J21)-(Motpart!D21+Motpart!E21+Motpart!F21+Motpart!J21)*0.06)*1000000/J72</f>
        <v>725.47472150074634</v>
      </c>
      <c r="N84" s="2213"/>
      <c r="O84" s="2213"/>
      <c r="P84" s="2213"/>
      <c r="Q84" s="2369" t="s">
        <v>888</v>
      </c>
      <c r="R84" s="2213"/>
      <c r="S84" s="2213"/>
      <c r="T84" s="2213"/>
      <c r="U84" s="2213"/>
      <c r="V84" s="2213"/>
      <c r="W84" s="2213"/>
      <c r="X84" s="2213"/>
      <c r="Y84" s="2213"/>
      <c r="Z84" s="2213"/>
    </row>
    <row r="85" spans="1:26" ht="13.5" thickBot="1">
      <c r="A85" s="1108"/>
      <c r="B85" s="1115"/>
      <c r="C85" s="1832" t="str">
        <f>IF(ABS(C81)&lt;100,"",IF(C72=0,"C72",IF(ABS(C81/C72)&gt;0.01,"C81")))</f>
        <v/>
      </c>
      <c r="D85" s="1833"/>
      <c r="E85" s="1833" t="str">
        <f>IF(ABS(E81)&lt;100,"",IF(E72=0,"E72",IF(ABS(E81/E72)&gt;0.01,"E81")))</f>
        <v/>
      </c>
      <c r="F85" s="1833"/>
      <c r="G85" s="1834" t="str">
        <f>IF(ABS(G81)&lt;100,"",IF(G72=0,"G72",IF(ABS(G81/G72)&gt;0.01,"G81")))</f>
        <v/>
      </c>
      <c r="H85" s="153"/>
      <c r="I85" s="1120"/>
      <c r="J85" s="1504"/>
      <c r="K85" s="1118"/>
      <c r="L85" s="1121"/>
      <c r="M85" s="2359"/>
      <c r="N85" s="2213"/>
      <c r="O85" s="2213"/>
      <c r="P85" s="2213"/>
      <c r="Q85" s="2371" t="s">
        <v>511</v>
      </c>
      <c r="R85" s="2213"/>
      <c r="S85" s="2213"/>
      <c r="T85" s="2213"/>
      <c r="U85" s="2213"/>
      <c r="V85" s="2213"/>
      <c r="W85" s="2213"/>
      <c r="X85" s="2213"/>
      <c r="Y85" s="2213"/>
      <c r="Z85" s="2213"/>
    </row>
    <row r="86" spans="1:26" ht="12.75" customHeight="1">
      <c r="A86" s="1092" t="s">
        <v>422</v>
      </c>
      <c r="B86" s="1101" t="s">
        <v>552</v>
      </c>
      <c r="C86" s="165">
        <f>Drift!P60</f>
        <v>1736.0630000000001</v>
      </c>
      <c r="D86" s="82">
        <f>SUM(Motpart!D22:L22)</f>
        <v>519.71</v>
      </c>
      <c r="E86" s="164">
        <f>Drift!W60</f>
        <v>273.69600000000003</v>
      </c>
      <c r="F86" s="82">
        <f>Motpart!Y22</f>
        <v>68.765000000000001</v>
      </c>
      <c r="G86" s="131">
        <f>Drift!V60</f>
        <v>89.802000000000007</v>
      </c>
      <c r="H86" s="155"/>
      <c r="I86" s="1123" t="s">
        <v>544</v>
      </c>
      <c r="J86" s="1502">
        <v>5987826</v>
      </c>
      <c r="K86" s="1124"/>
      <c r="L86" s="1124"/>
      <c r="M86" s="2365">
        <f>SUM(M87:M91)</f>
        <v>186.99140556188507</v>
      </c>
      <c r="N86" s="2213"/>
      <c r="O86" s="2213"/>
      <c r="P86" s="2213"/>
      <c r="Q86" s="2369" t="s">
        <v>889</v>
      </c>
      <c r="R86" s="2213"/>
      <c r="S86" s="2213"/>
      <c r="T86" s="2213"/>
      <c r="U86" s="2213"/>
      <c r="V86" s="2213"/>
      <c r="W86" s="2213"/>
      <c r="X86" s="2213"/>
      <c r="Y86" s="2213"/>
      <c r="Z86" s="2213"/>
    </row>
    <row r="87" spans="1:26" ht="12.75" customHeight="1">
      <c r="A87" s="1087" t="s">
        <v>423</v>
      </c>
      <c r="B87" s="1102" t="s">
        <v>507</v>
      </c>
      <c r="C87" s="268">
        <v>664.91300000000001</v>
      </c>
      <c r="D87" s="1079"/>
      <c r="E87" s="246">
        <v>42.414000000000001</v>
      </c>
      <c r="F87" s="1071"/>
      <c r="G87" s="267">
        <v>36.536000000000001</v>
      </c>
      <c r="H87" s="154"/>
      <c r="I87" s="1125"/>
      <c r="J87" s="1505"/>
      <c r="K87" s="1121"/>
      <c r="L87" s="1121"/>
      <c r="M87" s="2363">
        <f>(C87-E87)*1000000/J86</f>
        <v>103.96076973512591</v>
      </c>
      <c r="N87" s="2213"/>
      <c r="O87" s="2213"/>
      <c r="P87" s="2213"/>
      <c r="Q87" s="2369" t="s">
        <v>890</v>
      </c>
      <c r="R87" s="2213"/>
      <c r="S87" s="2213"/>
      <c r="T87" s="2213"/>
      <c r="U87" s="2213"/>
      <c r="V87" s="2213"/>
      <c r="W87" s="2213"/>
      <c r="X87" s="2213"/>
      <c r="Y87" s="2213"/>
      <c r="Z87" s="2213"/>
    </row>
    <row r="88" spans="1:26" ht="12.75" customHeight="1">
      <c r="A88" s="1087" t="s">
        <v>424</v>
      </c>
      <c r="B88" s="1102" t="s">
        <v>857</v>
      </c>
      <c r="C88" s="268">
        <v>35.317</v>
      </c>
      <c r="D88" s="1079"/>
      <c r="E88" s="246">
        <v>0.66500000000000004</v>
      </c>
      <c r="F88" s="1071"/>
      <c r="G88" s="267">
        <v>0.29399999999999998</v>
      </c>
      <c r="H88" s="154"/>
      <c r="I88" s="1125"/>
      <c r="J88" s="1505"/>
      <c r="K88" s="1121"/>
      <c r="L88" s="1121"/>
      <c r="M88" s="2363">
        <f>(C88-E88)*1000000/J86</f>
        <v>5.7870753091355693</v>
      </c>
      <c r="N88" s="2213"/>
      <c r="O88" s="2213"/>
      <c r="P88" s="2213"/>
      <c r="Q88" s="2369" t="s">
        <v>891</v>
      </c>
      <c r="R88" s="2213"/>
      <c r="S88" s="2213"/>
      <c r="T88" s="2213"/>
      <c r="U88" s="2213"/>
      <c r="V88" s="2213"/>
      <c r="W88" s="2213"/>
      <c r="X88" s="2213"/>
      <c r="Y88" s="2213"/>
      <c r="Z88" s="2213"/>
    </row>
    <row r="89" spans="1:26" ht="15.75" customHeight="1">
      <c r="A89" s="1087" t="s">
        <v>425</v>
      </c>
      <c r="B89" s="1112" t="s">
        <v>765</v>
      </c>
      <c r="C89" s="268">
        <v>6.9219999999999997</v>
      </c>
      <c r="D89" s="1079"/>
      <c r="E89" s="246">
        <v>3.4000000000000002E-2</v>
      </c>
      <c r="F89" s="1071"/>
      <c r="G89" s="267">
        <v>1.0999999999999999E-2</v>
      </c>
      <c r="H89" s="154"/>
      <c r="I89" s="1126"/>
      <c r="J89" s="1506"/>
      <c r="K89" s="1127"/>
      <c r="L89" s="1127"/>
      <c r="M89" s="2363">
        <f>(C89-E89)*1000000/J86</f>
        <v>1.1503340277422891</v>
      </c>
      <c r="N89" s="2213"/>
      <c r="O89" s="2213"/>
      <c r="P89" s="2213"/>
      <c r="Q89" s="2369" t="s">
        <v>892</v>
      </c>
      <c r="R89" s="2213"/>
      <c r="S89" s="2213"/>
      <c r="T89" s="2213"/>
      <c r="U89" s="2213"/>
      <c r="V89" s="2213"/>
      <c r="W89" s="2213"/>
      <c r="X89" s="2213"/>
      <c r="Y89" s="2213"/>
      <c r="Z89" s="2213"/>
    </row>
    <row r="90" spans="1:26" ht="12.75" customHeight="1">
      <c r="A90" s="1087" t="s">
        <v>426</v>
      </c>
      <c r="B90" s="1104" t="s">
        <v>543</v>
      </c>
      <c r="C90" s="268">
        <v>153.79499999999999</v>
      </c>
      <c r="D90" s="1079"/>
      <c r="E90" s="246">
        <v>1.2749999999999999</v>
      </c>
      <c r="F90" s="1071"/>
      <c r="G90" s="267">
        <v>0.64600000000000002</v>
      </c>
      <c r="H90" s="154"/>
      <c r="I90" s="2562" t="str">
        <f>IF(SUM(E91-G91+100)&lt;Motpart!AA22,"I Motparten är statsbidragen "&amp;""&amp;(Motpart!AA22)&amp;" tkr. Alla bidrag från staten o statliga myndigheter, inklusive de från Migrationsverket, ska ingå under Övrigt som extern intäkt. De externa intäkterna på Övrigt-raden är dock bara "&amp;""&amp;(ROUND(E91-G91,0))&amp;" tkr. ","")</f>
        <v/>
      </c>
      <c r="J90" s="1974"/>
      <c r="K90" s="1974"/>
      <c r="L90" s="2354"/>
      <c r="M90" s="2363">
        <f>(C90-E90)*1000000/J86</f>
        <v>25.47168204286497</v>
      </c>
      <c r="N90" s="2213"/>
      <c r="O90" s="2213"/>
      <c r="P90" s="2213"/>
      <c r="Q90" s="2369" t="s">
        <v>893</v>
      </c>
      <c r="R90" s="2213"/>
      <c r="S90" s="2213"/>
      <c r="T90" s="2213"/>
      <c r="U90" s="2213"/>
      <c r="V90" s="2213"/>
      <c r="W90" s="2213"/>
      <c r="X90" s="2213"/>
      <c r="Y90" s="2213"/>
      <c r="Z90" s="2213"/>
    </row>
    <row r="91" spans="1:26" ht="12.75" customHeight="1">
      <c r="A91" s="1087" t="s">
        <v>427</v>
      </c>
      <c r="B91" s="1102" t="s">
        <v>457</v>
      </c>
      <c r="C91" s="268">
        <v>318.01600000000002</v>
      </c>
      <c r="D91" s="1079"/>
      <c r="E91" s="246">
        <v>141.41999999999999</v>
      </c>
      <c r="F91" s="1071"/>
      <c r="G91" s="267">
        <v>52.314</v>
      </c>
      <c r="H91" s="154"/>
      <c r="I91" s="2561"/>
      <c r="J91" s="1974"/>
      <c r="K91" s="1974"/>
      <c r="L91" s="2354"/>
      <c r="M91" s="2363">
        <f>(C91+C92-G91)*1000000/J86</f>
        <v>50.621544447016326</v>
      </c>
      <c r="N91" s="2213"/>
      <c r="O91" s="2213"/>
      <c r="P91" s="2213"/>
      <c r="Q91" s="2369" t="s">
        <v>894</v>
      </c>
      <c r="R91" s="2213"/>
      <c r="S91" s="2213"/>
      <c r="T91" s="2213"/>
      <c r="U91" s="2213"/>
      <c r="V91" s="2213"/>
      <c r="W91" s="2213"/>
      <c r="X91" s="2213"/>
      <c r="Y91" s="2213"/>
      <c r="Z91" s="2213"/>
    </row>
    <row r="92" spans="1:26" ht="12.75" customHeight="1">
      <c r="A92" s="1087" t="s">
        <v>428</v>
      </c>
      <c r="B92" s="1116" t="s">
        <v>506</v>
      </c>
      <c r="C92" s="268">
        <v>37.411000000000001</v>
      </c>
      <c r="D92" s="2196" t="str">
        <f>IF(OR(C92 &gt; SUM(Drift!N60+Drift!O60+100), C92 &lt; SUM(Drift!N60+Drift!O60-100)),"Fördelad gemensam verksamhet skiljer sig mot Driftfliken.","")</f>
        <v/>
      </c>
      <c r="E92" s="1079"/>
      <c r="F92" s="1079"/>
      <c r="G92" s="1081"/>
      <c r="H92" s="154"/>
      <c r="I92" s="2561"/>
      <c r="J92" s="1974"/>
      <c r="K92" s="1974"/>
      <c r="L92" s="2354"/>
      <c r="M92" s="2366"/>
      <c r="N92" s="2213"/>
      <c r="O92" s="2213"/>
      <c r="P92" s="2213"/>
      <c r="Q92" s="2372"/>
      <c r="R92" s="2213"/>
      <c r="S92" s="2213"/>
      <c r="T92" s="2213"/>
      <c r="U92" s="2213"/>
      <c r="V92" s="2213"/>
      <c r="W92" s="2213"/>
      <c r="X92" s="2213"/>
      <c r="Y92" s="2213"/>
      <c r="Z92" s="2213"/>
    </row>
    <row r="93" spans="1:26" ht="12.75" customHeight="1">
      <c r="A93" s="1087"/>
      <c r="B93" s="1116" t="s">
        <v>129</v>
      </c>
      <c r="C93" s="1258">
        <f>(C86-SUM(C87:C92)-D86)*-1</f>
        <v>2.0999999999958163E-2</v>
      </c>
      <c r="D93" s="1083"/>
      <c r="E93" s="1259">
        <f>(E86-SUM(E87:E91)-F86-SUM(Motpart!D22+Motpart!E22+Motpart!F22+Motpart!J22)*0.06)*-1</f>
        <v>6.1999999996587007E-4</v>
      </c>
      <c r="F93" s="1083"/>
      <c r="G93" s="1260">
        <f>(G86-SUM(G87:G91))*-1</f>
        <v>-1.0000000000047748E-3</v>
      </c>
      <c r="H93" s="152"/>
      <c r="I93" s="2561"/>
      <c r="J93" s="1974"/>
      <c r="K93" s="1974"/>
      <c r="L93" s="2354"/>
      <c r="M93" s="2366"/>
      <c r="N93" s="2213"/>
      <c r="O93" s="2213"/>
      <c r="P93" s="2213"/>
      <c r="Q93" s="2369" t="s">
        <v>512</v>
      </c>
      <c r="R93" s="2213"/>
      <c r="S93" s="2213"/>
      <c r="T93" s="2213"/>
      <c r="U93" s="2213"/>
      <c r="V93" s="2213"/>
      <c r="W93" s="2213"/>
      <c r="X93" s="2213"/>
      <c r="Y93" s="2213"/>
      <c r="Z93" s="2213"/>
    </row>
    <row r="94" spans="1:26" ht="16.5" customHeight="1" thickBot="1">
      <c r="A94" s="1108"/>
      <c r="B94" s="1109"/>
      <c r="C94" s="1832" t="str">
        <f>IF(ABS(C93)&lt;100,"",IF(C86=0,"C86",IF(ABS(C93/C86)&gt;0.01,"C93")))</f>
        <v/>
      </c>
      <c r="D94" s="1833"/>
      <c r="E94" s="1833" t="str">
        <f>IF(ABS(E93)&lt;100,"",IF(E86=0,"E86",IF(ABS(E93/E86)&gt;0.01,"E93")))</f>
        <v/>
      </c>
      <c r="F94" s="1833"/>
      <c r="G94" s="1834" t="str">
        <f>IF(ABS(G93)&lt;100,"",IF(G86=0,"G86",IF(ABS(G93/G86)&gt;0.01,"G93")))</f>
        <v/>
      </c>
      <c r="H94" s="168"/>
      <c r="I94" s="2563"/>
      <c r="J94" s="1982"/>
      <c r="K94" s="1982"/>
      <c r="L94" s="1982"/>
      <c r="M94" s="2367"/>
      <c r="N94" s="2213"/>
      <c r="O94" s="2213"/>
      <c r="P94" s="2213"/>
      <c r="Q94" s="2371"/>
      <c r="R94" s="2213"/>
      <c r="S94" s="2213"/>
      <c r="T94" s="2213"/>
      <c r="U94" s="2213"/>
      <c r="V94" s="2213"/>
      <c r="W94" s="2213"/>
      <c r="X94" s="2213"/>
      <c r="Y94" s="2213"/>
      <c r="Z94" s="2213"/>
    </row>
    <row r="95" spans="1:26" ht="12.75" customHeight="1">
      <c r="A95" s="1092" t="s">
        <v>429</v>
      </c>
      <c r="B95" s="1101" t="s">
        <v>553</v>
      </c>
      <c r="C95" s="81">
        <f>Drift!P61</f>
        <v>5903.6820000000007</v>
      </c>
      <c r="D95" s="1084">
        <f>SUM(Motpart!D23:L23)</f>
        <v>2319.337</v>
      </c>
      <c r="E95" s="164">
        <f>Drift!W61</f>
        <v>3184.732</v>
      </c>
      <c r="F95" s="82">
        <f>Motpart!Y23</f>
        <v>435.202</v>
      </c>
      <c r="G95" s="131">
        <f>Drift!V61</f>
        <v>316.53699999999998</v>
      </c>
      <c r="H95" s="155"/>
      <c r="I95" s="1123" t="s">
        <v>544</v>
      </c>
      <c r="J95" s="1502">
        <v>5987826</v>
      </c>
      <c r="K95" s="1124"/>
      <c r="L95" s="1124"/>
      <c r="M95" s="2365">
        <f>SUM(M96:M100)</f>
        <v>523.8577406891917</v>
      </c>
      <c r="N95" s="2213"/>
      <c r="O95" s="2213"/>
      <c r="P95" s="2213"/>
      <c r="Q95" s="2369" t="s">
        <v>889</v>
      </c>
      <c r="R95" s="2213"/>
      <c r="S95" s="2213"/>
      <c r="T95" s="2213"/>
      <c r="U95" s="2213"/>
      <c r="V95" s="2213"/>
      <c r="W95" s="2213"/>
      <c r="X95" s="2213"/>
      <c r="Y95" s="2213"/>
      <c r="Z95" s="2213"/>
    </row>
    <row r="96" spans="1:26" ht="12.75" customHeight="1">
      <c r="A96" s="1087" t="s">
        <v>430</v>
      </c>
      <c r="B96" s="1102" t="s">
        <v>507</v>
      </c>
      <c r="C96" s="268">
        <v>1768.5989999999999</v>
      </c>
      <c r="D96" s="1079"/>
      <c r="E96" s="246">
        <v>183.86500000000001</v>
      </c>
      <c r="F96" s="1071"/>
      <c r="G96" s="267">
        <v>70.52</v>
      </c>
      <c r="H96" s="154"/>
      <c r="I96" s="1125"/>
      <c r="J96" s="1505"/>
      <c r="K96" s="1121"/>
      <c r="L96" s="1121"/>
      <c r="M96" s="2363">
        <f>(C96-E96)*1000000/J95</f>
        <v>264.65932710803554</v>
      </c>
      <c r="N96" s="2213"/>
      <c r="O96" s="2213"/>
      <c r="P96" s="2213"/>
      <c r="Q96" s="2369" t="s">
        <v>890</v>
      </c>
      <c r="R96" s="2213"/>
      <c r="S96" s="2213"/>
      <c r="T96" s="2213"/>
      <c r="U96" s="2213"/>
      <c r="V96" s="2213"/>
      <c r="W96" s="2213"/>
      <c r="X96" s="2213"/>
      <c r="Y96" s="2213"/>
      <c r="Z96" s="2213"/>
    </row>
    <row r="97" spans="1:26" ht="12.75" customHeight="1">
      <c r="A97" s="1087" t="s">
        <v>431</v>
      </c>
      <c r="B97" s="1102" t="s">
        <v>857</v>
      </c>
      <c r="C97" s="268">
        <v>129.86099999999999</v>
      </c>
      <c r="D97" s="1079"/>
      <c r="E97" s="246">
        <v>9.0730000000000004</v>
      </c>
      <c r="F97" s="1071"/>
      <c r="G97" s="267">
        <v>1.77</v>
      </c>
      <c r="H97" s="152"/>
      <c r="I97" s="1125"/>
      <c r="J97" s="1505"/>
      <c r="K97" s="1121"/>
      <c r="L97" s="1121"/>
      <c r="M97" s="2363">
        <f>(C97-E97)*1000000/J95</f>
        <v>20.172262854665448</v>
      </c>
      <c r="N97" s="2213"/>
      <c r="O97" s="2213"/>
      <c r="P97" s="2213"/>
      <c r="Q97" s="2369" t="s">
        <v>891</v>
      </c>
      <c r="R97" s="2213"/>
      <c r="S97" s="2213"/>
      <c r="T97" s="2213"/>
      <c r="U97" s="2213"/>
      <c r="V97" s="2213"/>
      <c r="W97" s="2213"/>
      <c r="X97" s="2213"/>
      <c r="Y97" s="2213"/>
      <c r="Z97" s="2213"/>
    </row>
    <row r="98" spans="1:26" ht="14.25" customHeight="1">
      <c r="A98" s="1087" t="s">
        <v>432</v>
      </c>
      <c r="B98" s="1103" t="s">
        <v>765</v>
      </c>
      <c r="C98" s="268">
        <v>10.824</v>
      </c>
      <c r="D98" s="1079"/>
      <c r="E98" s="246">
        <v>0.32800000000000001</v>
      </c>
      <c r="F98" s="1071"/>
      <c r="G98" s="267">
        <v>2.5999999999999999E-2</v>
      </c>
      <c r="H98" s="150"/>
      <c r="I98" s="1126"/>
      <c r="J98" s="1506"/>
      <c r="K98" s="1127"/>
      <c r="L98" s="1127"/>
      <c r="M98" s="2363">
        <f>(C98-E98)*1000000/J95</f>
        <v>1.7528899470358692</v>
      </c>
      <c r="N98" s="2213"/>
      <c r="O98" s="2213"/>
      <c r="P98" s="2213"/>
      <c r="Q98" s="2369" t="s">
        <v>892</v>
      </c>
      <c r="R98" s="2213"/>
      <c r="S98" s="2213"/>
      <c r="T98" s="2213"/>
      <c r="U98" s="2213"/>
      <c r="V98" s="2213"/>
      <c r="W98" s="2213"/>
      <c r="X98" s="2213"/>
      <c r="Y98" s="2213"/>
      <c r="Z98" s="2213"/>
    </row>
    <row r="99" spans="1:26" ht="15" customHeight="1">
      <c r="A99" s="1087" t="s">
        <v>433</v>
      </c>
      <c r="B99" s="1104" t="s">
        <v>543</v>
      </c>
      <c r="C99" s="268">
        <v>413.13</v>
      </c>
      <c r="D99" s="1079"/>
      <c r="E99" s="246">
        <v>22.818999999999999</v>
      </c>
      <c r="F99" s="1071"/>
      <c r="G99" s="267">
        <v>12.725</v>
      </c>
      <c r="H99" s="154"/>
      <c r="I99" s="2554" t="str">
        <f>IF(SUM(E100-G100+100)&lt;Motpart!AA23,"I Motparten är statsbidragen "&amp;""&amp;(Motpart!AA23)&amp;" tkr. Alla bidrag från staten o statliga myndigheter, inklusive de från Migrationsverket, ska ingå under Övrigt som extern intäkt. De externa intäkterna på Övrigt-raden är dock bara "&amp;""&amp;(ROUND(E100-G100,0))&amp;" tkr. ","")</f>
        <v/>
      </c>
      <c r="J99" s="1983"/>
      <c r="K99" s="1983"/>
      <c r="L99" s="2355"/>
      <c r="M99" s="2363">
        <f>(C99-E99)*1000000/J95</f>
        <v>65.184091855708573</v>
      </c>
      <c r="N99" s="2213"/>
      <c r="O99" s="2213"/>
      <c r="P99" s="2213"/>
      <c r="Q99" s="2369" t="s">
        <v>893</v>
      </c>
      <c r="R99" s="2213"/>
      <c r="S99" s="2213"/>
      <c r="T99" s="2213"/>
      <c r="U99" s="2213"/>
      <c r="V99" s="2213"/>
      <c r="W99" s="2213"/>
      <c r="X99" s="2213"/>
      <c r="Y99" s="2213"/>
      <c r="Z99" s="2213"/>
    </row>
    <row r="100" spans="1:26" ht="12.75" customHeight="1">
      <c r="A100" s="1087" t="s">
        <v>434</v>
      </c>
      <c r="B100" s="1102" t="s">
        <v>457</v>
      </c>
      <c r="C100" s="268">
        <v>1146.9929999999999</v>
      </c>
      <c r="D100" s="1079"/>
      <c r="E100" s="246">
        <v>2435.8580000000002</v>
      </c>
      <c r="F100" s="1071"/>
      <c r="G100" s="267">
        <v>231.49600000000001</v>
      </c>
      <c r="H100" s="152"/>
      <c r="I100" s="2555"/>
      <c r="J100" s="1983"/>
      <c r="K100" s="1983"/>
      <c r="L100" s="2355"/>
      <c r="M100" s="2363">
        <f>(C100+C101-G100)*1000000/J95</f>
        <v>172.08916892374626</v>
      </c>
      <c r="N100" s="2213"/>
      <c r="O100" s="2213"/>
      <c r="P100" s="2213"/>
      <c r="Q100" s="2369" t="s">
        <v>894</v>
      </c>
      <c r="R100" s="2213"/>
      <c r="S100" s="2213"/>
      <c r="T100" s="2213"/>
      <c r="U100" s="2213"/>
      <c r="V100" s="2213"/>
      <c r="W100" s="2213"/>
      <c r="X100" s="2213"/>
      <c r="Y100" s="2213"/>
      <c r="Z100" s="2213"/>
    </row>
    <row r="101" spans="1:26" ht="19.5" customHeight="1">
      <c r="A101" s="1087" t="s">
        <v>435</v>
      </c>
      <c r="B101" s="1102" t="s">
        <v>506</v>
      </c>
      <c r="C101" s="268">
        <v>114.943</v>
      </c>
      <c r="D101" s="2196" t="str">
        <f>IF(OR(C101 &gt; SUM(Drift!N61+Drift!O61+100), C101 &lt; SUM(Drift!N61+Drift!O61-100)),"Fördelad gemensam verksamhet skiljer sig mot Driftfliken.","")</f>
        <v/>
      </c>
      <c r="E101" s="1079"/>
      <c r="F101" s="1079"/>
      <c r="G101" s="1081"/>
      <c r="H101" s="152"/>
      <c r="I101" s="2555"/>
      <c r="J101" s="1983"/>
      <c r="K101" s="1983"/>
      <c r="L101" s="2355"/>
      <c r="M101" s="2366">
        <f>(((M95*J95/1000000)+D95-F95+((M86*J86/1000000)+D86-F86)))/(J86)*1000000</f>
        <v>1100.8203979207144</v>
      </c>
      <c r="N101" s="2213"/>
      <c r="O101" s="2213"/>
      <c r="P101" s="2213"/>
      <c r="Q101" s="2369" t="s">
        <v>895</v>
      </c>
      <c r="R101" s="2213"/>
      <c r="S101" s="2213"/>
      <c r="T101" s="2213"/>
      <c r="U101" s="2213"/>
      <c r="V101" s="2213"/>
      <c r="W101" s="2213"/>
      <c r="X101" s="2213"/>
      <c r="Y101" s="2213"/>
      <c r="Z101" s="2213"/>
    </row>
    <row r="102" spans="1:26" ht="15" customHeight="1">
      <c r="A102" s="1820"/>
      <c r="B102" s="1821" t="s">
        <v>129</v>
      </c>
      <c r="C102" s="1822">
        <f>(C95-SUM(C96:C101)-D95)*-1</f>
        <v>4.999999999654392E-3</v>
      </c>
      <c r="D102" s="1067"/>
      <c r="E102" s="1823">
        <f>(E95-SUM(E96:E100)-F95-SUM(Motpart!D23+Motpart!E23+Motpart!F23+Motpart!J23)*0.06)*-1</f>
        <v>1.920000000239952E-3</v>
      </c>
      <c r="F102" s="1067"/>
      <c r="G102" s="1824">
        <f>(G95-SUM(G96:G100))*-1</f>
        <v>0</v>
      </c>
      <c r="H102" s="1324"/>
      <c r="I102" s="2555"/>
      <c r="J102" s="1974"/>
      <c r="K102" s="1974"/>
      <c r="L102" s="2354"/>
      <c r="M102" s="2366"/>
      <c r="N102" s="2213"/>
      <c r="O102" s="2213"/>
      <c r="P102" s="2213"/>
      <c r="Q102" s="2369" t="s">
        <v>513</v>
      </c>
      <c r="R102" s="2213"/>
      <c r="S102" s="2213"/>
      <c r="T102" s="2213"/>
      <c r="U102" s="2213"/>
      <c r="V102" s="2213"/>
      <c r="W102" s="2213"/>
      <c r="X102" s="2213"/>
      <c r="Y102" s="2213"/>
      <c r="Z102" s="2213"/>
    </row>
    <row r="103" spans="1:26" ht="12.75" customHeight="1" thickBot="1">
      <c r="A103" s="1825"/>
      <c r="B103" s="1826"/>
      <c r="C103" s="1828" t="str">
        <f>IF(ABS(C102)&lt;100,"",IF(C95=0,"C95",IF(ABS(C102/C95)&gt;0.01,"C102")))</f>
        <v/>
      </c>
      <c r="D103" s="1829"/>
      <c r="E103" s="1830" t="str">
        <f>IF(ABS(E102)&lt;100,"",IF(E95=0,"E95",IF(ABS(E102/E95)&gt;0.01,"E102")))</f>
        <v/>
      </c>
      <c r="F103" s="1829"/>
      <c r="G103" s="1831" t="str">
        <f>IF(ABS(G102)&lt;100,"",IF(G95=0,"G95",IF(ABS(G102/G95)&gt;0.01,"G102")))</f>
        <v/>
      </c>
      <c r="H103" s="1827"/>
      <c r="I103" s="1975"/>
      <c r="J103" s="1975"/>
      <c r="K103" s="1975"/>
      <c r="L103" s="1975"/>
      <c r="M103" s="2368"/>
      <c r="N103" s="2213"/>
      <c r="O103" s="2213"/>
      <c r="P103" s="2213"/>
      <c r="Q103" s="2373"/>
      <c r="R103" s="2213"/>
      <c r="S103" s="2213"/>
      <c r="T103" s="2213"/>
      <c r="U103" s="2213"/>
      <c r="V103" s="2213"/>
      <c r="W103" s="2213"/>
      <c r="X103" s="2213"/>
      <c r="Y103" s="2213"/>
      <c r="Z103" s="2213"/>
    </row>
    <row r="104" spans="1:26" ht="13.5" thickTop="1">
      <c r="A104" s="143"/>
      <c r="B104" s="258"/>
      <c r="C104" s="259"/>
      <c r="D104" s="259"/>
      <c r="E104" s="259"/>
      <c r="F104" s="259"/>
      <c r="G104" s="259"/>
      <c r="H104" s="260"/>
      <c r="I104" s="259"/>
      <c r="J104" s="259"/>
      <c r="K104" s="259"/>
      <c r="L104" s="219"/>
      <c r="M104" s="261"/>
      <c r="N104" s="261"/>
      <c r="O104" s="261"/>
      <c r="P104" s="262"/>
      <c r="Q104" s="263"/>
      <c r="R104" s="2213"/>
      <c r="S104" s="2213"/>
      <c r="T104" s="2213"/>
      <c r="U104" s="2213"/>
      <c r="V104" s="2213"/>
      <c r="W104" s="2213"/>
      <c r="X104" s="2213"/>
      <c r="Y104" s="2213"/>
      <c r="Z104" s="2213"/>
    </row>
  </sheetData>
  <customSheetViews>
    <customSheetView guid="{97D6DB71-3F4C-4C5F-8C5B-51E3EBF78932}" showPageBreaks="1" showGridLines="0" hiddenRows="1">
      <pane ySplit="7" topLeftCell="A8" activePane="bottomLeft" state="frozen"/>
      <selection pane="bottomLeft" activeCell="E93" sqref="E93"/>
      <pageMargins left="0.70866141732283472" right="0.70866141732283472" top="0.74803149606299213" bottom="0.74803149606299213" header="0.31496062992125984" footer="0.31496062992125984"/>
      <pageSetup paperSize="9" scale="96" orientation="landscape" r:id="rId1"/>
    </customSheetView>
    <customSheetView guid="{99FBDEB7-DD08-4F57-81F4-3C180403E153}" showGridLines="0" hiddenRows="1">
      <pane ySplit="7" topLeftCell="A9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scale="96" orientation="landscape" r:id="rId2"/>
    </customSheetView>
    <customSheetView guid="{27C9E95B-0E2B-454F-B637-1CECC9579A10}" showGridLines="0" hiddenRows="1" hiddenColumns="1" showRuler="0">
      <pane ySplit="7" topLeftCell="A8" activePane="bottomLeft" state="frozen"/>
      <selection pane="bottomLeft" activeCell="G72" sqref="G72"/>
      <pageMargins left="0.70866141732283472" right="0.70866141732283472" top="0.74803149606299213" bottom="0.74803149606299213" header="0.31496062992125984" footer="0.31496062992125984"/>
      <pageSetup paperSize="9" scale="96" orientation="landscape" r:id="rId3"/>
      <headerFooter alignWithMargins="0"/>
    </customSheetView>
  </customSheetViews>
  <mergeCells count="13">
    <mergeCell ref="IV6:IV7"/>
    <mergeCell ref="Q4:Q7"/>
    <mergeCell ref="M4:M6"/>
    <mergeCell ref="D5:D7"/>
    <mergeCell ref="F5:F7"/>
    <mergeCell ref="G5:G7"/>
    <mergeCell ref="I4:L5"/>
    <mergeCell ref="I99:I102"/>
    <mergeCell ref="I38:I42"/>
    <mergeCell ref="I51:I55"/>
    <mergeCell ref="I65:I69"/>
    <mergeCell ref="I79:I83"/>
    <mergeCell ref="I90:I94"/>
  </mergeCells>
  <phoneticPr fontId="87" type="noConversion"/>
  <conditionalFormatting sqref="G32:G38 G45:G51 G59:G65 G73:G79 G87:G91 G96:G100">
    <cfRule type="expression" dxfId="63" priority="82" stopIfTrue="1">
      <formula>G32&gt;E32</formula>
    </cfRule>
  </conditionalFormatting>
  <conditionalFormatting sqref="G11 G19 G27 G32:G38 G45:G51 G59:G65">
    <cfRule type="expression" dxfId="62" priority="81" stopIfTrue="1">
      <formula>G11&gt;E11</formula>
    </cfRule>
  </conditionalFormatting>
  <conditionalFormatting sqref="G46:G51">
    <cfRule type="expression" dxfId="61" priority="70" stopIfTrue="1">
      <formula>G46&gt;E46</formula>
    </cfRule>
  </conditionalFormatting>
  <conditionalFormatting sqref="E53">
    <cfRule type="expression" dxfId="60" priority="39" stopIfTrue="1">
      <formula>ABS(E53/E43)&gt;0.03</formula>
    </cfRule>
  </conditionalFormatting>
  <conditionalFormatting sqref="G27">
    <cfRule type="expression" dxfId="59" priority="11" stopIfTrue="1">
      <formula>G27&gt;G24</formula>
    </cfRule>
    <cfRule type="expression" dxfId="58" priority="45" stopIfTrue="1">
      <formula>G27&gt;E27</formula>
    </cfRule>
  </conditionalFormatting>
  <conditionalFormatting sqref="G19">
    <cfRule type="expression" dxfId="57" priority="19" stopIfTrue="1">
      <formula>G19&gt;G16</formula>
    </cfRule>
    <cfRule type="expression" dxfId="56" priority="44" stopIfTrue="1">
      <formula>G19&gt;E19</formula>
    </cfRule>
  </conditionalFormatting>
  <conditionalFormatting sqref="C40">
    <cfRule type="expression" dxfId="55" priority="42" stopIfTrue="1">
      <formula>ABS(C40/C31)&gt;0.03</formula>
    </cfRule>
  </conditionalFormatting>
  <conditionalFormatting sqref="E40">
    <cfRule type="expression" dxfId="54" priority="41" stopIfTrue="1">
      <formula>ABS(E40/E31)&gt;0.03</formula>
    </cfRule>
  </conditionalFormatting>
  <conditionalFormatting sqref="G40">
    <cfRule type="expression" dxfId="53" priority="40" stopIfTrue="1">
      <formula>ABS(G40/G31)&gt;0.03</formula>
    </cfRule>
  </conditionalFormatting>
  <conditionalFormatting sqref="G53">
    <cfRule type="expression" dxfId="52" priority="38" stopIfTrue="1">
      <formula>ABS(G53/G43)&gt;0.03</formula>
    </cfRule>
  </conditionalFormatting>
  <conditionalFormatting sqref="C53">
    <cfRule type="expression" dxfId="51" priority="37" stopIfTrue="1">
      <formula>ABS(C53/C44)&gt;0.03</formula>
    </cfRule>
  </conditionalFormatting>
  <conditionalFormatting sqref="C67">
    <cfRule type="expression" dxfId="50" priority="36" stopIfTrue="1">
      <formula>ABS(C67/C57)&gt;0.03</formula>
    </cfRule>
  </conditionalFormatting>
  <conditionalFormatting sqref="E67">
    <cfRule type="expression" dxfId="49" priority="35" stopIfTrue="1">
      <formula>ABS(E67/E57)&gt;0.03</formula>
    </cfRule>
  </conditionalFormatting>
  <conditionalFormatting sqref="G67">
    <cfRule type="expression" dxfId="48" priority="34" stopIfTrue="1">
      <formula>ABS(G67/G57)&gt;0.03</formula>
    </cfRule>
  </conditionalFormatting>
  <conditionalFormatting sqref="C81">
    <cfRule type="expression" dxfId="47" priority="33" stopIfTrue="1">
      <formula>ABS(C81/C71)&gt;0.03</formula>
    </cfRule>
  </conditionalFormatting>
  <conditionalFormatting sqref="E81">
    <cfRule type="expression" dxfId="46" priority="32" stopIfTrue="1">
      <formula>ABS(E81/E71)&gt;0.03</formula>
    </cfRule>
  </conditionalFormatting>
  <conditionalFormatting sqref="G81">
    <cfRule type="expression" dxfId="45" priority="31" stopIfTrue="1">
      <formula>ABS(G81/G71)&gt;0.03</formula>
    </cfRule>
  </conditionalFormatting>
  <conditionalFormatting sqref="C93">
    <cfRule type="expression" dxfId="44" priority="30" stopIfTrue="1">
      <formula>ABS(C93/C85)&gt;0.03</formula>
    </cfRule>
  </conditionalFormatting>
  <conditionalFormatting sqref="E93">
    <cfRule type="expression" dxfId="43" priority="29" stopIfTrue="1">
      <formula>ABS(E93/E85)&gt;0.03</formula>
    </cfRule>
  </conditionalFormatting>
  <conditionalFormatting sqref="G93">
    <cfRule type="expression" dxfId="42" priority="28" stopIfTrue="1">
      <formula>ABS(G93/G85)&gt;0.03</formula>
    </cfRule>
  </conditionalFormatting>
  <conditionalFormatting sqref="C102:C103">
    <cfRule type="expression" dxfId="41" priority="27" stopIfTrue="1">
      <formula>ABS(C102/C94)&gt;0.03</formula>
    </cfRule>
  </conditionalFormatting>
  <conditionalFormatting sqref="E102:E103">
    <cfRule type="expression" dxfId="40" priority="26" stopIfTrue="1">
      <formula>ABS(E102/E94)&gt;0.03</formula>
    </cfRule>
  </conditionalFormatting>
  <conditionalFormatting sqref="G102:G103">
    <cfRule type="expression" dxfId="39" priority="25" stopIfTrue="1">
      <formula>ABS(G102/G94)&gt;0.03</formula>
    </cfRule>
  </conditionalFormatting>
  <conditionalFormatting sqref="C11 E11 E13 G11 G19 E21 E19 C19 C27 E27 G27 C32:C39 E32:E38 G32:G38 C45:C52 E45:E51 G45:G51 C59:C66 E59:E65 G59:G65 C73:C80 E73:E79 G73:G79 C87:C92 E87:E91 G87:G91 C96:C101 E96:E100 G96:G100">
    <cfRule type="cellIs" dxfId="38" priority="23" stopIfTrue="1" operator="lessThan">
      <formula>-500</formula>
    </cfRule>
  </conditionalFormatting>
  <conditionalFormatting sqref="C19">
    <cfRule type="expression" dxfId="37" priority="21" stopIfTrue="1">
      <formula>C19&gt;C16</formula>
    </cfRule>
  </conditionalFormatting>
  <conditionalFormatting sqref="E19">
    <cfRule type="expression" dxfId="36" priority="20" stopIfTrue="1">
      <formula>E19&gt;E16</formula>
    </cfRule>
  </conditionalFormatting>
  <conditionalFormatting sqref="C11">
    <cfRule type="expression" dxfId="35" priority="18" stopIfTrue="1">
      <formula>C11&gt;C8</formula>
    </cfRule>
  </conditionalFormatting>
  <conditionalFormatting sqref="E11">
    <cfRule type="expression" dxfId="34" priority="17" stopIfTrue="1">
      <formula>E11&gt;E8</formula>
    </cfRule>
  </conditionalFormatting>
  <conditionalFormatting sqref="G11">
    <cfRule type="expression" dxfId="33" priority="16" stopIfTrue="1">
      <formula>G11&gt;G8</formula>
    </cfRule>
  </conditionalFormatting>
  <conditionalFormatting sqref="E13">
    <cfRule type="expression" dxfId="32" priority="15" stopIfTrue="1">
      <formula>E13&gt;E12</formula>
    </cfRule>
  </conditionalFormatting>
  <conditionalFormatting sqref="E21">
    <cfRule type="expression" dxfId="31" priority="14" stopIfTrue="1">
      <formula>E21&gt;E20</formula>
    </cfRule>
  </conditionalFormatting>
  <conditionalFormatting sqref="C27">
    <cfRule type="expression" dxfId="30" priority="13" stopIfTrue="1">
      <formula>C27&gt;C24</formula>
    </cfRule>
  </conditionalFormatting>
  <conditionalFormatting sqref="E27">
    <cfRule type="expression" dxfId="29" priority="12" stopIfTrue="1">
      <formula>E27&gt;E24</formula>
    </cfRule>
  </conditionalFormatting>
  <dataValidations count="2">
    <dataValidation type="decimal" operator="lessThan" allowBlank="1" showInputMessage="1" showErrorMessage="1" error="Beloppen ska vara i 1000 tal kronor" sqref="C65489:C65490 G65517:K65517 L65533 C65480:C65482 C65464:C65465 E65464:F65465 E65472:F65473 C65472:C65473 E65480:F65482 E65489:F65490">
      <formula1>99999999</formula1>
    </dataValidation>
    <dataValidation type="decimal" operator="lessThan" allowBlank="1" showInputMessage="1" showErrorMessage="1" error="Beloppet ska vara i 1000 tal kronor" sqref="C11 G96:G100 E96:E100 E11 G87:G91 E87:E91 C87:C92 G73:G79 E73:E79 C73:C80 G59:G65 E59:E65 C59:C66 G45:G51 E45:E51 C45:C52 G32:G38 E32:E38 C32:C39 G27 E27 C27 C19 E21 E19 G19 G11 E13 C96:C101">
      <formula1>99999999</formula1>
    </dataValidation>
  </dataValidations>
  <pageMargins left="0.47" right="0.47" top="0.74803149606299213" bottom="0.74803149606299213" header="0.31" footer="0.31496062992125984"/>
  <pageSetup paperSize="9" scale="96" orientation="landscape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8489C6D-3605-44EB-AF30-2D3BD554AD4E}">
            <xm:f>SUM(E51-G51+100)&lt;Motpart!AA19</xm:f>
            <x14:dxf>
              <font>
                <b val="0"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I51:I55</xm:sqref>
        </x14:conditionalFormatting>
        <x14:conditionalFormatting xmlns:xm="http://schemas.microsoft.com/office/excel/2006/main">
          <x14:cfRule type="expression" priority="6" id="{468A7900-2D84-423B-9B3F-94D8EAA45899}">
            <xm:f>SUM(E65-G65+100)&lt;Motpart!AA20</xm:f>
            <x14:dxf>
              <font>
                <b val="0"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I65:I69</xm:sqref>
        </x14:conditionalFormatting>
        <x14:conditionalFormatting xmlns:xm="http://schemas.microsoft.com/office/excel/2006/main">
          <x14:cfRule type="expression" priority="5" id="{4F84AA19-49AA-46E8-9ADE-79F22FCE6F07}">
            <xm:f>SUM(E79-G79+100)&lt;Motpart!AA21</xm:f>
            <x14:dxf>
              <font>
                <b val="0"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I79:I83</xm:sqref>
        </x14:conditionalFormatting>
        <x14:conditionalFormatting xmlns:xm="http://schemas.microsoft.com/office/excel/2006/main">
          <x14:cfRule type="expression" priority="4" id="{FE6AF082-1113-4046-BE7C-F09FCD0440EC}">
            <xm:f>SUM(E91-G91+100)&lt;Motpart!AA22</xm:f>
            <x14:dxf>
              <font>
                <b val="0"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I90:I94</xm:sqref>
        </x14:conditionalFormatting>
        <x14:conditionalFormatting xmlns:xm="http://schemas.microsoft.com/office/excel/2006/main">
          <x14:cfRule type="expression" priority="2" id="{AA617564-E5DF-4D7E-8EA7-BE3A8CD251A2}">
            <xm:f>SUM(E100-G100+100)&lt;Motpart!AA23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I99:I101</xm:sqref>
        </x14:conditionalFormatting>
        <x14:conditionalFormatting xmlns:xm="http://schemas.microsoft.com/office/excel/2006/main">
          <x14:cfRule type="expression" priority="1" id="{917F4404-C110-4D85-A7BD-AEA4F7FA6FA8}">
            <xm:f>SUM(E38-G38+100)&lt;Motpart!AA18</xm:f>
            <x14:dxf>
              <fill>
                <patternFill>
                  <bgColor theme="9" tint="0.59996337778862885"/>
                </patternFill>
              </fill>
            </x14:dxf>
          </x14:cfRule>
          <xm:sqref>I38:I42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tabColor rgb="FFFFFF00"/>
  </sheetPr>
  <dimension ref="A1:W60"/>
  <sheetViews>
    <sheetView showGridLines="0" zoomScaleNormal="100" workbookViewId="0">
      <pane xSplit="2" ySplit="11" topLeftCell="C12" activePane="bottomRight" state="frozen"/>
      <selection activeCell="F36" sqref="F36"/>
      <selection pane="topRight" activeCell="F36" sqref="F36"/>
      <selection pane="bottomLeft" activeCell="F36" sqref="F36"/>
      <selection pane="bottomRight" activeCell="T31" sqref="T31"/>
    </sheetView>
  </sheetViews>
  <sheetFormatPr defaultColWidth="0" defaultRowHeight="0" customHeight="1" zeroHeight="1"/>
  <cols>
    <col min="1" max="1" width="5.28515625" style="272" customWidth="1"/>
    <col min="2" max="2" width="32.7109375" style="275" customWidth="1"/>
    <col min="3" max="3" width="11.28515625" style="278" customWidth="1"/>
    <col min="4" max="4" width="9.140625" style="278" customWidth="1"/>
    <col min="5" max="7" width="8.7109375" style="278" customWidth="1"/>
    <col min="8" max="8" width="10" style="278" customWidth="1"/>
    <col min="9" max="9" width="9.7109375" style="278" customWidth="1"/>
    <col min="10" max="10" width="10" style="278" customWidth="1"/>
    <col min="11" max="11" width="9.7109375" style="278" customWidth="1"/>
    <col min="12" max="13" width="10.140625" style="278" customWidth="1"/>
    <col min="14" max="14" width="13.140625" style="278" customWidth="1"/>
    <col min="15" max="15" width="8" style="276" customWidth="1"/>
    <col min="16" max="16" width="2.5703125" style="272" customWidth="1"/>
    <col min="17" max="17" width="7.28515625" style="277" customWidth="1"/>
    <col min="18" max="18" width="18.7109375" style="272" customWidth="1"/>
    <col min="19" max="19" width="4.140625" style="272" customWidth="1"/>
    <col min="20" max="20" width="14.7109375" style="272" customWidth="1"/>
    <col min="21" max="21" width="9.140625" style="272" customWidth="1"/>
    <col min="22" max="22" width="9.140625" style="271" customWidth="1"/>
    <col min="23" max="16384" width="0" style="271" hidden="1"/>
  </cols>
  <sheetData>
    <row r="1" spans="1:23" ht="21.75">
      <c r="A1" s="132" t="str">
        <f>"Specificering vård och omsorg om äldre och personer med funktionsnedsättning "&amp;År&amp;", miljoner kronor"</f>
        <v>Specificering vård och omsorg om äldre och personer med funktionsnedsättning 2020, miljoner kronor</v>
      </c>
      <c r="B1" s="133"/>
      <c r="C1" s="133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521" t="s">
        <v>459</v>
      </c>
      <c r="P1" s="522" t="str">
        <f>'Kn Information'!A2</f>
        <v>RIKSTOTAL</v>
      </c>
      <c r="Q1" s="270"/>
      <c r="R1" s="269"/>
      <c r="S1" s="269"/>
      <c r="T1" s="269"/>
      <c r="U1" s="269"/>
    </row>
    <row r="2" spans="1:23" ht="12.75">
      <c r="A2" s="2213"/>
      <c r="B2" s="2213"/>
      <c r="C2" s="2213"/>
      <c r="D2" s="2213"/>
      <c r="E2" s="2213"/>
      <c r="F2" s="2213"/>
      <c r="G2" s="2213"/>
      <c r="H2" s="2213"/>
      <c r="I2" s="2213"/>
      <c r="J2" s="2213"/>
      <c r="K2" s="2213"/>
      <c r="L2" s="2213"/>
      <c r="M2" s="2213"/>
      <c r="N2" s="2213"/>
      <c r="O2" s="2213"/>
      <c r="P2" s="2213"/>
      <c r="Q2" s="2213"/>
      <c r="R2" s="2213"/>
      <c r="S2" s="2213"/>
      <c r="T2" s="2213"/>
      <c r="U2" s="2213"/>
      <c r="V2" s="2213"/>
    </row>
    <row r="3" spans="1:23" ht="12.75" customHeight="1" thickBot="1">
      <c r="A3" s="2213"/>
      <c r="B3" s="2213"/>
      <c r="C3" s="2213"/>
      <c r="D3" s="2213"/>
      <c r="E3" s="2213"/>
      <c r="F3" s="2213"/>
      <c r="G3" s="2213"/>
      <c r="H3" s="2213"/>
      <c r="I3" s="2213"/>
      <c r="J3" s="2213"/>
      <c r="K3" s="2213"/>
      <c r="L3" s="2213"/>
      <c r="M3" s="2213"/>
      <c r="N3" s="2213"/>
      <c r="O3" s="2213"/>
      <c r="P3" s="2213"/>
      <c r="Q3" s="2213"/>
      <c r="R3" s="2213"/>
      <c r="S3" s="2213"/>
      <c r="T3" s="2213"/>
      <c r="U3" s="2213"/>
      <c r="V3" s="2213"/>
    </row>
    <row r="4" spans="1:23" ht="12.75">
      <c r="A4" s="1128" t="s">
        <v>626</v>
      </c>
      <c r="B4" s="1129" t="s">
        <v>15</v>
      </c>
      <c r="C4" s="1551" t="s">
        <v>961</v>
      </c>
      <c r="D4" s="1551"/>
      <c r="E4" s="1769"/>
      <c r="F4" s="1365" t="s">
        <v>39</v>
      </c>
      <c r="G4" s="1131"/>
      <c r="H4" s="1131"/>
      <c r="I4" s="1130"/>
      <c r="J4" s="1367" t="s">
        <v>40</v>
      </c>
      <c r="K4" s="1366" t="s">
        <v>959</v>
      </c>
      <c r="L4" s="1944" t="s">
        <v>1042</v>
      </c>
      <c r="M4" s="1610" t="s">
        <v>968</v>
      </c>
      <c r="N4" s="1607"/>
      <c r="O4" s="2580" t="str">
        <f>"Förändring kostnader för eget åtagande "&amp;År-1&amp;"-"&amp;År&amp;" procent"</f>
        <v>Förändring kostnader för eget åtagande 2019-2020 procent</v>
      </c>
      <c r="P4" s="2213"/>
      <c r="Q4" s="2385"/>
      <c r="R4" s="2402"/>
      <c r="S4" s="2213"/>
      <c r="T4" s="2213"/>
      <c r="U4" s="2213"/>
      <c r="V4" s="2213"/>
      <c r="W4" s="272"/>
    </row>
    <row r="5" spans="1:23" ht="12.75" customHeight="1">
      <c r="A5" s="1133" t="s">
        <v>629</v>
      </c>
      <c r="B5" s="1134"/>
      <c r="C5" s="1319" t="s">
        <v>43</v>
      </c>
      <c r="D5" s="1319"/>
      <c r="E5" s="1763"/>
      <c r="F5" s="1135"/>
      <c r="G5" s="1136"/>
      <c r="H5" s="1136"/>
      <c r="I5" s="1137"/>
      <c r="J5" s="1368" t="s">
        <v>42</v>
      </c>
      <c r="K5" s="1625" t="s">
        <v>975</v>
      </c>
      <c r="L5" s="1945" t="s">
        <v>44</v>
      </c>
      <c r="M5" s="1609" t="s">
        <v>967</v>
      </c>
      <c r="N5" s="1608"/>
      <c r="O5" s="2581"/>
      <c r="P5" s="2213"/>
      <c r="Q5" s="2386"/>
      <c r="R5" s="2403"/>
      <c r="S5" s="2213"/>
      <c r="T5" s="2213"/>
      <c r="U5" s="2213"/>
      <c r="V5" s="2213"/>
      <c r="W5" s="272"/>
    </row>
    <row r="6" spans="1:23" ht="33.75" customHeight="1">
      <c r="A6" s="1140"/>
      <c r="B6" s="1141"/>
      <c r="C6" s="1582"/>
      <c r="D6" s="2605" t="s">
        <v>1041</v>
      </c>
      <c r="E6" s="2605" t="s">
        <v>1077</v>
      </c>
      <c r="F6" s="2598" t="s">
        <v>699</v>
      </c>
      <c r="G6" s="2600" t="s">
        <v>843</v>
      </c>
      <c r="H6" s="2600" t="s">
        <v>469</v>
      </c>
      <c r="I6" s="2607" t="s">
        <v>1133</v>
      </c>
      <c r="J6" s="1763"/>
      <c r="K6" s="1624" t="s">
        <v>974</v>
      </c>
      <c r="L6" s="1770"/>
      <c r="M6" s="1896"/>
      <c r="N6" s="1621"/>
      <c r="O6" s="2581"/>
      <c r="P6" s="2213"/>
      <c r="Q6" s="2582" t="str">
        <f>"Nämnare nyckeltal"</f>
        <v>Nämnare nyckeltal</v>
      </c>
      <c r="R6" s="2583"/>
      <c r="S6" s="2213"/>
      <c r="T6" s="2213"/>
      <c r="U6" s="2213"/>
      <c r="V6" s="2213"/>
      <c r="W6" s="272"/>
    </row>
    <row r="7" spans="1:23" ht="21" customHeight="1">
      <c r="A7" s="1143"/>
      <c r="B7" s="1141"/>
      <c r="C7" s="1319"/>
      <c r="D7" s="2609"/>
      <c r="E7" s="2606"/>
      <c r="F7" s="2599"/>
      <c r="G7" s="2601"/>
      <c r="H7" s="2602"/>
      <c r="I7" s="2608"/>
      <c r="J7" s="1763"/>
      <c r="K7" s="1613" t="s">
        <v>969</v>
      </c>
      <c r="L7" s="1776" t="s">
        <v>965</v>
      </c>
      <c r="M7" s="1777" t="s">
        <v>973</v>
      </c>
      <c r="N7" s="1620" t="s">
        <v>973</v>
      </c>
      <c r="O7" s="2375"/>
      <c r="P7" s="2213"/>
      <c r="Q7" s="2584"/>
      <c r="R7" s="2583"/>
      <c r="S7" s="2213"/>
      <c r="T7" s="2213"/>
      <c r="U7" s="2213"/>
      <c r="V7" s="2213"/>
      <c r="W7" s="272"/>
    </row>
    <row r="8" spans="1:23" ht="12.75">
      <c r="A8" s="1143"/>
      <c r="B8" s="1144"/>
      <c r="C8" s="1138"/>
      <c r="D8" s="1763"/>
      <c r="E8" s="1581"/>
      <c r="F8" s="1142"/>
      <c r="G8" s="1926"/>
      <c r="H8" s="1926"/>
      <c r="I8" s="1371"/>
      <c r="J8" s="1763"/>
      <c r="K8" s="1318" t="s">
        <v>1134</v>
      </c>
      <c r="L8" s="1778"/>
      <c r="M8" s="1779">
        <f>År</f>
        <v>2020</v>
      </c>
      <c r="N8" s="1612">
        <f>År-1</f>
        <v>2019</v>
      </c>
      <c r="O8" s="2376"/>
      <c r="P8" s="2213"/>
      <c r="Q8" s="2387"/>
      <c r="R8" s="2404"/>
      <c r="S8" s="2213"/>
      <c r="T8" s="2213"/>
      <c r="U8" s="2213"/>
      <c r="V8" s="2213"/>
      <c r="W8" s="272"/>
    </row>
    <row r="9" spans="1:23" ht="20.25" customHeight="1">
      <c r="A9" s="1143"/>
      <c r="B9" s="1141"/>
      <c r="C9" s="1138"/>
      <c r="D9" s="2610" t="s">
        <v>1160</v>
      </c>
      <c r="E9" s="1594" t="s">
        <v>818</v>
      </c>
      <c r="F9" s="1593" t="s">
        <v>854</v>
      </c>
      <c r="G9" s="1592" t="s">
        <v>47</v>
      </c>
      <c r="H9" s="2603" t="s">
        <v>842</v>
      </c>
      <c r="I9" s="2160" t="s">
        <v>1136</v>
      </c>
      <c r="J9" s="1139"/>
      <c r="K9" s="2049" t="s">
        <v>1135</v>
      </c>
      <c r="L9" s="1927"/>
      <c r="M9" s="1780"/>
      <c r="N9" s="1611"/>
      <c r="O9" s="2376"/>
      <c r="P9" s="2213"/>
      <c r="Q9" s="2388"/>
      <c r="R9" s="2405"/>
      <c r="S9" s="2213"/>
      <c r="T9" s="2213"/>
      <c r="U9" s="2213"/>
      <c r="V9" s="2213"/>
      <c r="W9" s="272"/>
    </row>
    <row r="10" spans="1:23" ht="12.75" customHeight="1">
      <c r="A10" s="1143"/>
      <c r="B10" s="1147"/>
      <c r="C10" s="1138"/>
      <c r="D10" s="2611"/>
      <c r="E10" s="1581"/>
      <c r="F10" s="1382"/>
      <c r="G10" s="1595"/>
      <c r="H10" s="2601"/>
      <c r="I10" s="1584"/>
      <c r="J10" s="1139"/>
      <c r="K10" s="1318" t="s">
        <v>1131</v>
      </c>
      <c r="L10" s="1771"/>
      <c r="M10" s="1622"/>
      <c r="N10" s="1623"/>
      <c r="O10" s="2377"/>
      <c r="P10" s="2213"/>
      <c r="Q10" s="2389"/>
      <c r="R10" s="2406"/>
      <c r="S10" s="2213"/>
      <c r="T10" s="2213"/>
      <c r="U10" s="2213"/>
      <c r="V10" s="2213"/>
      <c r="W10" s="272"/>
    </row>
    <row r="11" spans="1:23" ht="12.75">
      <c r="A11" s="1148"/>
      <c r="B11" s="1383"/>
      <c r="C11" s="1149"/>
      <c r="D11" s="1764"/>
      <c r="E11" s="1583"/>
      <c r="F11" s="1382"/>
      <c r="G11" s="1596"/>
      <c r="H11" s="2604"/>
      <c r="I11" s="1585"/>
      <c r="J11" s="1151"/>
      <c r="K11" s="2072" t="s">
        <v>1132</v>
      </c>
      <c r="L11" s="1772"/>
      <c r="M11" s="1767"/>
      <c r="N11" s="1768"/>
      <c r="O11" s="2378"/>
      <c r="P11" s="2213"/>
      <c r="Q11" s="2390"/>
      <c r="R11" s="2378"/>
      <c r="S11" s="2213"/>
      <c r="T11" s="2213"/>
      <c r="U11" s="2213"/>
      <c r="V11" s="2213"/>
      <c r="W11" s="272"/>
    </row>
    <row r="12" spans="1:23" ht="12.75">
      <c r="A12" s="1152">
        <v>510</v>
      </c>
      <c r="B12" s="1153" t="s">
        <v>489</v>
      </c>
      <c r="C12" s="338">
        <f>Drift!P73</f>
        <v>150495.48500000002</v>
      </c>
      <c r="D12" s="338">
        <f>SUM(Drift!C73:D73)</f>
        <v>83059.425000000003</v>
      </c>
      <c r="E12" s="338">
        <f>Drift!F73</f>
        <v>20823.239000000001</v>
      </c>
      <c r="F12" s="338">
        <f>Drift!R73</f>
        <v>5424.6610000000001</v>
      </c>
      <c r="G12" s="338">
        <f>Drift!S73</f>
        <v>4371.4570000000003</v>
      </c>
      <c r="H12" s="338">
        <f>Drift!T73</f>
        <v>11745.737999999999</v>
      </c>
      <c r="I12" s="338">
        <f>Motpart!Y27+Motpart!Z27</f>
        <v>281.46300000000002</v>
      </c>
      <c r="J12" s="338">
        <f>Drift!V73</f>
        <v>14944.38</v>
      </c>
      <c r="K12" s="1169">
        <f t="shared" ref="K12:K18" si="0">C12-I12-J12</f>
        <v>135269.64200000002</v>
      </c>
      <c r="L12" s="1762">
        <f t="shared" ref="L12:L18" si="1">C12-SUM(F12:H12,J12)</f>
        <v>114009.24900000001</v>
      </c>
      <c r="M12" s="1774">
        <f>IF(C12&gt;0,K12*1000000/Q12,"")</f>
        <v>64781.643093244253</v>
      </c>
      <c r="N12" s="1775">
        <v>62642.663999999997</v>
      </c>
      <c r="O12" s="2379"/>
      <c r="P12" s="2213"/>
      <c r="Q12" s="2391">
        <v>2088086</v>
      </c>
      <c r="R12" s="2407" t="s">
        <v>1070</v>
      </c>
      <c r="S12" s="2213"/>
      <c r="T12" s="2213"/>
      <c r="U12" s="2213"/>
      <c r="V12" s="2213"/>
      <c r="W12" s="273"/>
    </row>
    <row r="13" spans="1:23" ht="13.5" customHeight="1">
      <c r="A13" s="1154">
        <v>5101</v>
      </c>
      <c r="B13" s="1155" t="s">
        <v>446</v>
      </c>
      <c r="C13" s="134">
        <v>52890.402999999998</v>
      </c>
      <c r="D13" s="134">
        <v>31898.451000000001</v>
      </c>
      <c r="E13" s="134">
        <v>7016.6059999999998</v>
      </c>
      <c r="F13" s="134">
        <v>2629.8310000000001</v>
      </c>
      <c r="G13" s="134">
        <v>2.2389999999999999</v>
      </c>
      <c r="H13" s="134">
        <v>3657.7979999999998</v>
      </c>
      <c r="I13" s="134">
        <v>103.655</v>
      </c>
      <c r="J13" s="134">
        <v>5504.2809999999999</v>
      </c>
      <c r="K13" s="1170">
        <f t="shared" si="0"/>
        <v>47282.466999999997</v>
      </c>
      <c r="L13" s="1765">
        <f t="shared" si="1"/>
        <v>41096.254000000001</v>
      </c>
      <c r="M13" s="1171">
        <f>IF(C13&gt;0,K13*1000000/Q12,"")</f>
        <v>22643.927022162879</v>
      </c>
      <c r="N13" s="1171">
        <v>21620.288</v>
      </c>
      <c r="O13" s="2380">
        <f>IF(ISERROR((M13-N13)/N13),"",((M13-N13)/N13))</f>
        <v>4.7346225090196717E-2</v>
      </c>
      <c r="P13" s="2213"/>
      <c r="Q13" s="2392"/>
      <c r="R13" s="2408"/>
      <c r="S13" s="2213"/>
      <c r="T13" s="2213"/>
      <c r="U13" s="2213"/>
      <c r="V13" s="2213"/>
      <c r="W13" s="273"/>
    </row>
    <row r="14" spans="1:23" ht="13.5" customHeight="1">
      <c r="A14" s="1154">
        <v>5103</v>
      </c>
      <c r="B14" s="1155" t="s">
        <v>764</v>
      </c>
      <c r="C14" s="279">
        <v>7665.7049999999999</v>
      </c>
      <c r="D14" s="134">
        <v>4439.7209999999995</v>
      </c>
      <c r="E14" s="134">
        <v>588.30600000000004</v>
      </c>
      <c r="F14" s="134">
        <v>217.126</v>
      </c>
      <c r="G14" s="134">
        <v>37.817999999999998</v>
      </c>
      <c r="H14" s="134">
        <v>549.36</v>
      </c>
      <c r="I14" s="134">
        <v>39.405000000000001</v>
      </c>
      <c r="J14" s="134">
        <v>916.87800000000004</v>
      </c>
      <c r="K14" s="1170">
        <f t="shared" si="0"/>
        <v>6709.4220000000005</v>
      </c>
      <c r="L14" s="1765">
        <f t="shared" si="1"/>
        <v>5944.5229999999992</v>
      </c>
      <c r="M14" s="1171">
        <f>IF(C14&gt;0,K14*1000000/Q12,"")</f>
        <v>3213.192368513558</v>
      </c>
      <c r="N14" s="1172">
        <v>3269.3969999999999</v>
      </c>
      <c r="O14" s="2380">
        <f>IF(ISERROR((M14-N14)/N14),"",((M14-N14)/N14))</f>
        <v>-1.7191130806825217E-2</v>
      </c>
      <c r="P14" s="2213"/>
      <c r="Q14" s="2393"/>
      <c r="R14" s="2585" t="str">
        <f>"För minst en delv-ht inom v-het 510 redovisas varken detta år eller året innan några kostnader. Har kommunen inte verksamheten(-erna)? Lämna förklarande kommentar"</f>
        <v>För minst en delv-ht inom v-het 510 redovisas varken detta år eller året innan några kostnader. Har kommunen inte verksamheten(-erna)? Lämna förklarande kommentar</v>
      </c>
      <c r="S14" s="2213"/>
      <c r="T14" s="2213"/>
      <c r="U14" s="2213"/>
      <c r="V14" s="2213"/>
      <c r="W14" s="273"/>
    </row>
    <row r="15" spans="1:23" ht="13.5" customHeight="1">
      <c r="A15" s="1154">
        <v>5104</v>
      </c>
      <c r="B15" s="1155" t="s">
        <v>447</v>
      </c>
      <c r="C15" s="279">
        <v>1319.9490000000001</v>
      </c>
      <c r="D15" s="134">
        <v>730.46900000000005</v>
      </c>
      <c r="E15" s="134">
        <v>101.542</v>
      </c>
      <c r="F15" s="134">
        <v>23.321000000000002</v>
      </c>
      <c r="G15" s="134">
        <v>0.34899999999999998</v>
      </c>
      <c r="H15" s="134">
        <v>77.522000000000006</v>
      </c>
      <c r="I15" s="134">
        <v>0.29099999999999998</v>
      </c>
      <c r="J15" s="279">
        <v>129.99199999999999</v>
      </c>
      <c r="K15" s="1170">
        <f t="shared" si="0"/>
        <v>1189.6660000000002</v>
      </c>
      <c r="L15" s="1765">
        <f t="shared" si="1"/>
        <v>1088.7650000000001</v>
      </c>
      <c r="M15" s="1171">
        <f>IF(C15&gt;0,K15*1000000/Q12,"")</f>
        <v>569.73994366132445</v>
      </c>
      <c r="N15" s="1172">
        <v>659.548</v>
      </c>
      <c r="O15" s="2380">
        <f>IF(ISERROR((M15-N15)/N15),"",((M15-N15)/N15))</f>
        <v>-0.13616606575817916</v>
      </c>
      <c r="P15" s="2213"/>
      <c r="Q15" s="2393"/>
      <c r="R15" s="2586"/>
      <c r="S15" s="2213"/>
      <c r="T15" s="2213"/>
      <c r="U15" s="2213"/>
      <c r="V15" s="2213"/>
      <c r="W15" s="273"/>
    </row>
    <row r="16" spans="1:23" ht="13.5" customHeight="1">
      <c r="A16" s="1154">
        <v>5105</v>
      </c>
      <c r="B16" s="1155" t="s">
        <v>480</v>
      </c>
      <c r="C16" s="279">
        <v>85353.962</v>
      </c>
      <c r="D16" s="134">
        <v>44742.692000000003</v>
      </c>
      <c r="E16" s="280">
        <v>12996.540999999999</v>
      </c>
      <c r="F16" s="280">
        <v>2503.7249999999999</v>
      </c>
      <c r="G16" s="280">
        <v>4212.82</v>
      </c>
      <c r="H16" s="280">
        <v>7160.1530000000002</v>
      </c>
      <c r="I16" s="280">
        <v>130.226</v>
      </c>
      <c r="J16" s="280">
        <v>8171.1580000000004</v>
      </c>
      <c r="K16" s="1170">
        <f t="shared" si="0"/>
        <v>77052.578000000009</v>
      </c>
      <c r="L16" s="1765">
        <f t="shared" si="1"/>
        <v>63306.106</v>
      </c>
      <c r="M16" s="1171">
        <f>IF(C16&gt;0,K16*1000000/Q12,"")</f>
        <v>36901.055799425892</v>
      </c>
      <c r="N16" s="1173">
        <v>35561.404000000002</v>
      </c>
      <c r="O16" s="2380">
        <f>IF(ISERROR((M16-N16)/N16),"",((M16-N16)/N16))</f>
        <v>3.7671510366291787E-2</v>
      </c>
      <c r="P16" s="2213"/>
      <c r="Q16" s="2393"/>
      <c r="R16" s="2586"/>
      <c r="S16" s="2213"/>
      <c r="T16" s="2213"/>
      <c r="U16" s="2213"/>
      <c r="V16" s="2213"/>
      <c r="W16" s="273"/>
    </row>
    <row r="17" spans="1:23" ht="13.5" customHeight="1">
      <c r="A17" s="1154">
        <v>5106</v>
      </c>
      <c r="B17" s="1156" t="s">
        <v>103</v>
      </c>
      <c r="C17" s="279">
        <v>1688.865</v>
      </c>
      <c r="D17" s="134">
        <v>773.08900000000006</v>
      </c>
      <c r="E17" s="134">
        <v>50.936</v>
      </c>
      <c r="F17" s="134">
        <v>32.979999999999997</v>
      </c>
      <c r="G17" s="134">
        <v>18.677</v>
      </c>
      <c r="H17" s="134">
        <v>182.35</v>
      </c>
      <c r="I17" s="134">
        <v>2.3759999999999999</v>
      </c>
      <c r="J17" s="134">
        <v>163.72999999999999</v>
      </c>
      <c r="K17" s="1170">
        <f t="shared" si="0"/>
        <v>1522.759</v>
      </c>
      <c r="L17" s="1765">
        <f t="shared" si="1"/>
        <v>1291.1280000000002</v>
      </c>
      <c r="M17" s="1171">
        <f>IF(C17&gt;0,K17*1000000/Q12,"")</f>
        <v>729.26067221369237</v>
      </c>
      <c r="N17" s="1171">
        <v>812.11</v>
      </c>
      <c r="O17" s="2380">
        <f>IF(ISERROR((M17-N17)/N17),"",((M17-N17)/N17))</f>
        <v>-0.10201737176775023</v>
      </c>
      <c r="P17" s="2213"/>
      <c r="Q17" s="2393"/>
      <c r="R17" s="2586"/>
      <c r="S17" s="2213"/>
      <c r="T17" s="2213"/>
      <c r="U17" s="2213"/>
      <c r="V17" s="2213"/>
      <c r="W17" s="273"/>
    </row>
    <row r="18" spans="1:23" ht="13.5" customHeight="1">
      <c r="A18" s="1154">
        <v>5109</v>
      </c>
      <c r="B18" s="1155" t="s">
        <v>369</v>
      </c>
      <c r="C18" s="279">
        <v>1576.59</v>
      </c>
      <c r="D18" s="134">
        <v>474.99599999999998</v>
      </c>
      <c r="E18" s="134">
        <v>69.3</v>
      </c>
      <c r="F18" s="134">
        <v>17.672000000000001</v>
      </c>
      <c r="G18" s="134">
        <v>99.546999999999997</v>
      </c>
      <c r="H18" s="134">
        <v>118.569</v>
      </c>
      <c r="I18" s="134">
        <v>5.5090000000000003</v>
      </c>
      <c r="J18" s="134">
        <v>58.335999999999999</v>
      </c>
      <c r="K18" s="1170">
        <f t="shared" si="0"/>
        <v>1512.7449999999999</v>
      </c>
      <c r="L18" s="1765">
        <f t="shared" si="1"/>
        <v>1282.4659999999999</v>
      </c>
      <c r="M18" s="1174"/>
      <c r="N18" s="1174"/>
      <c r="O18" s="2381"/>
      <c r="P18" s="2213"/>
      <c r="Q18" s="2393"/>
      <c r="R18" s="2586"/>
      <c r="S18" s="2213"/>
      <c r="T18" s="2213"/>
      <c r="U18" s="2213"/>
      <c r="V18" s="2213"/>
      <c r="W18" s="273"/>
    </row>
    <row r="19" spans="1:23" ht="12.75">
      <c r="A19" s="1157">
        <v>51099</v>
      </c>
      <c r="B19" s="1158" t="s">
        <v>158</v>
      </c>
      <c r="C19" s="322">
        <f>SUM(C13:C18)</f>
        <v>150495.47399999999</v>
      </c>
      <c r="D19" s="322">
        <f>SUM(D13:D18)</f>
        <v>83059.418000000005</v>
      </c>
      <c r="E19" s="322">
        <f t="shared" ref="E19:J19" si="2">SUM(E13:E18)</f>
        <v>20823.231</v>
      </c>
      <c r="F19" s="322">
        <f t="shared" si="2"/>
        <v>5424.6549999999997</v>
      </c>
      <c r="G19" s="322">
        <f t="shared" si="2"/>
        <v>4371.4499999999989</v>
      </c>
      <c r="H19" s="322">
        <f>SUM(H13:H18)</f>
        <v>11745.751999999999</v>
      </c>
      <c r="I19" s="322">
        <f t="shared" si="2"/>
        <v>281.46199999999999</v>
      </c>
      <c r="J19" s="322">
        <f t="shared" si="2"/>
        <v>14944.375</v>
      </c>
      <c r="K19" s="1175"/>
      <c r="L19" s="1773"/>
      <c r="M19" s="1176"/>
      <c r="N19" s="1176"/>
      <c r="O19" s="2382"/>
      <c r="P19" s="2213"/>
      <c r="Q19" s="2393"/>
      <c r="R19" s="2586"/>
      <c r="S19" s="2213"/>
      <c r="T19" s="2213"/>
      <c r="U19" s="2213"/>
      <c r="V19" s="2213"/>
      <c r="W19" s="273"/>
    </row>
    <row r="20" spans="1:23" ht="13.5" thickBot="1">
      <c r="A20" s="1159"/>
      <c r="B20" s="1698"/>
      <c r="C20" s="323"/>
      <c r="D20" s="323"/>
      <c r="E20" s="323"/>
      <c r="F20" s="323"/>
      <c r="G20" s="323"/>
      <c r="H20" s="323"/>
      <c r="I20" s="323"/>
      <c r="J20" s="323"/>
      <c r="K20" s="1177"/>
      <c r="L20" s="1782"/>
      <c r="M20" s="1178"/>
      <c r="N20" s="1178"/>
      <c r="O20" s="2383"/>
      <c r="P20" s="2213"/>
      <c r="Q20" s="2394"/>
      <c r="R20" s="2409"/>
      <c r="S20" s="2213"/>
      <c r="T20" s="2213"/>
      <c r="U20" s="2213"/>
      <c r="V20" s="2213"/>
      <c r="W20" s="273"/>
    </row>
    <row r="21" spans="1:23" ht="22.5" customHeight="1">
      <c r="A21" s="1160">
        <v>520</v>
      </c>
      <c r="B21" s="1161" t="s">
        <v>112</v>
      </c>
      <c r="C21" s="339">
        <f>Drift!P74</f>
        <v>16409.823000000004</v>
      </c>
      <c r="D21" s="338">
        <f>SUM(Drift!C74:D74)</f>
        <v>8256.5590000000011</v>
      </c>
      <c r="E21" s="339">
        <f>Drift!F74</f>
        <v>3535.1790000000001</v>
      </c>
      <c r="F21" s="339">
        <f>Drift!R74</f>
        <v>297.05900000000003</v>
      </c>
      <c r="G21" s="339">
        <f>Drift!S74</f>
        <v>321.74599999999998</v>
      </c>
      <c r="H21" s="339">
        <f>Drift!T74</f>
        <v>1112.838</v>
      </c>
      <c r="I21" s="339">
        <f>Motpart!Y28+Motpart!Z28</f>
        <v>40.111999999999995</v>
      </c>
      <c r="J21" s="339">
        <f>Drift!V74</f>
        <v>1274.549</v>
      </c>
      <c r="K21" s="1179">
        <f t="shared" ref="K21:K28" si="3">C21-I21-J21</f>
        <v>15095.162000000004</v>
      </c>
      <c r="L21" s="1179">
        <f t="shared" ref="L21:L28" si="4">C21-SUM(F21:H21,J21)</f>
        <v>13403.631000000005</v>
      </c>
      <c r="M21" s="1180">
        <f>IF(C21&gt;0,K21*1000000/Q21,"")</f>
        <v>1820.6225412964507</v>
      </c>
      <c r="N21" s="1180">
        <v>1794.0509999999999</v>
      </c>
      <c r="O21" s="2384"/>
      <c r="P21" s="2213"/>
      <c r="Q21" s="2395">
        <v>8291209</v>
      </c>
      <c r="R21" s="2410" t="s">
        <v>1071</v>
      </c>
      <c r="S21" s="2213"/>
      <c r="T21" s="2213"/>
      <c r="U21" s="2213"/>
      <c r="V21" s="2213"/>
      <c r="W21" s="273"/>
    </row>
    <row r="22" spans="1:23" ht="12.75">
      <c r="A22" s="1154">
        <v>5201</v>
      </c>
      <c r="B22" s="1155" t="s">
        <v>448</v>
      </c>
      <c r="C22" s="134">
        <v>4393.21</v>
      </c>
      <c r="D22" s="134">
        <v>2377.8040000000001</v>
      </c>
      <c r="E22" s="134">
        <v>743.41499999999996</v>
      </c>
      <c r="F22" s="134">
        <v>146.84399999999999</v>
      </c>
      <c r="G22" s="134">
        <v>1.248</v>
      </c>
      <c r="H22" s="134">
        <v>266.62599999999998</v>
      </c>
      <c r="I22" s="134">
        <v>6.9349999999999996</v>
      </c>
      <c r="J22" s="134">
        <v>365.63400000000001</v>
      </c>
      <c r="K22" s="1181">
        <f t="shared" si="3"/>
        <v>4020.6409999999996</v>
      </c>
      <c r="L22" s="1765">
        <f t="shared" si="4"/>
        <v>3612.8580000000002</v>
      </c>
      <c r="M22" s="1172">
        <f>IF(C22&gt;0,K22*1000000/Q21,"")</f>
        <v>484.92819322248414</v>
      </c>
      <c r="N22" s="1172">
        <v>489.98099999999999</v>
      </c>
      <c r="O22" s="2380">
        <f t="shared" ref="O22:O27" si="5">IF(ISERROR((M22-N22)/N22),"",((M22-N22)/N22))</f>
        <v>-1.0312250429130629E-2</v>
      </c>
      <c r="P22" s="2213"/>
      <c r="Q22" s="2392"/>
      <c r="R22" s="2411"/>
      <c r="S22" s="2213"/>
      <c r="T22" s="2213"/>
      <c r="U22" s="2213"/>
      <c r="V22" s="2213"/>
      <c r="W22" s="273"/>
    </row>
    <row r="23" spans="1:23" ht="12.75">
      <c r="A23" s="1154">
        <v>5202</v>
      </c>
      <c r="B23" s="1155" t="s">
        <v>449</v>
      </c>
      <c r="C23" s="279">
        <v>2761.8890000000001</v>
      </c>
      <c r="D23" s="134">
        <v>1895.182</v>
      </c>
      <c r="E23" s="134">
        <v>261.56700000000001</v>
      </c>
      <c r="F23" s="134">
        <v>21.321999999999999</v>
      </c>
      <c r="G23" s="134">
        <v>4.4409999999999998</v>
      </c>
      <c r="H23" s="134">
        <v>114.61</v>
      </c>
      <c r="I23" s="134">
        <v>2.3919999999999999</v>
      </c>
      <c r="J23" s="134">
        <v>203.81299999999999</v>
      </c>
      <c r="K23" s="1181">
        <f t="shared" si="3"/>
        <v>2555.6840000000002</v>
      </c>
      <c r="L23" s="1765">
        <f t="shared" si="4"/>
        <v>2417.703</v>
      </c>
      <c r="M23" s="1172">
        <f>IF(C23&gt;0,K23*1000000/Q21,"")</f>
        <v>308.24020960031282</v>
      </c>
      <c r="N23" s="1172">
        <v>299.80700000000002</v>
      </c>
      <c r="O23" s="2380">
        <f t="shared" si="5"/>
        <v>2.812879485906869E-2</v>
      </c>
      <c r="P23" s="2213"/>
      <c r="Q23" s="2396"/>
      <c r="R23" s="2587" t="str">
        <f>"För minst en delv-ht inom v-het 520 redovisas varken detta år eller året innan några kostnader. Har kommunen inte verksamheten(-erna)? Lämna förklarande kommentar"</f>
        <v>För minst en delv-ht inom v-het 520 redovisas varken detta år eller året innan några kostnader. Har kommunen inte verksamheten(-erna)? Lämna förklarande kommentar</v>
      </c>
      <c r="S23" s="2213"/>
      <c r="T23" s="2213"/>
      <c r="U23" s="2213"/>
      <c r="V23" s="2213"/>
      <c r="W23" s="273"/>
    </row>
    <row r="24" spans="1:23" ht="12.75">
      <c r="A24" s="1154">
        <v>5203</v>
      </c>
      <c r="B24" s="1155" t="s">
        <v>764</v>
      </c>
      <c r="C24" s="279">
        <v>776.44100000000003</v>
      </c>
      <c r="D24" s="134">
        <v>271.68700000000001</v>
      </c>
      <c r="E24" s="134">
        <v>287.685</v>
      </c>
      <c r="F24" s="134">
        <v>11.839</v>
      </c>
      <c r="G24" s="134">
        <v>3.194</v>
      </c>
      <c r="H24" s="134">
        <v>46.055999999999997</v>
      </c>
      <c r="I24" s="134">
        <v>1.359</v>
      </c>
      <c r="J24" s="279">
        <v>69.938999999999993</v>
      </c>
      <c r="K24" s="1181">
        <f t="shared" si="3"/>
        <v>705.14300000000003</v>
      </c>
      <c r="L24" s="1765">
        <f t="shared" si="4"/>
        <v>645.41300000000001</v>
      </c>
      <c r="M24" s="1172">
        <f>IF(C24&gt;0,K24*1000000/Q21,"")</f>
        <v>85.047066115448303</v>
      </c>
      <c r="N24" s="1172">
        <v>85.373999999999995</v>
      </c>
      <c r="O24" s="2380">
        <f t="shared" si="5"/>
        <v>-3.8294314961427687E-3</v>
      </c>
      <c r="P24" s="2213"/>
      <c r="Q24" s="2397"/>
      <c r="R24" s="2588"/>
      <c r="S24" s="2213"/>
      <c r="T24" s="2213"/>
      <c r="U24" s="2213"/>
      <c r="V24" s="2213"/>
      <c r="W24" s="273"/>
    </row>
    <row r="25" spans="1:23" ht="12.75">
      <c r="A25" s="1956">
        <v>5204</v>
      </c>
      <c r="B25" s="1155" t="s">
        <v>1043</v>
      </c>
      <c r="C25" s="134">
        <v>539.03599999999994</v>
      </c>
      <c r="D25" s="134">
        <v>306.29500000000002</v>
      </c>
      <c r="E25" s="134">
        <v>44.238999999999997</v>
      </c>
      <c r="F25" s="134">
        <v>1.4790000000000001</v>
      </c>
      <c r="G25" s="134">
        <v>7.8E-2</v>
      </c>
      <c r="H25" s="134">
        <v>41.115000000000002</v>
      </c>
      <c r="I25" s="134">
        <v>4.2060000000000004</v>
      </c>
      <c r="J25" s="134">
        <v>41.872</v>
      </c>
      <c r="K25" s="1181">
        <f t="shared" si="3"/>
        <v>492.95799999999991</v>
      </c>
      <c r="L25" s="1765">
        <f t="shared" si="4"/>
        <v>454.49199999999996</v>
      </c>
      <c r="M25" s="1172">
        <f>IF(C25&gt;0,K25*1000000/Q21,"")</f>
        <v>59.455502810265664</v>
      </c>
      <c r="N25" s="1172">
        <v>56.87</v>
      </c>
      <c r="O25" s="2380">
        <f t="shared" si="5"/>
        <v>4.5463386851866822E-2</v>
      </c>
      <c r="P25" s="2213"/>
      <c r="Q25" s="2397"/>
      <c r="R25" s="2588"/>
      <c r="S25" s="2213"/>
      <c r="T25" s="2213"/>
      <c r="U25" s="2213"/>
      <c r="V25" s="2213"/>
      <c r="W25" s="273"/>
    </row>
    <row r="26" spans="1:23" ht="12.75">
      <c r="A26" s="1154">
        <v>5205</v>
      </c>
      <c r="B26" s="1155" t="s">
        <v>480</v>
      </c>
      <c r="C26" s="134">
        <v>6175.2629999999999</v>
      </c>
      <c r="D26" s="134">
        <v>2633.3249999999998</v>
      </c>
      <c r="E26" s="134">
        <v>2031.7049999999999</v>
      </c>
      <c r="F26" s="134">
        <v>101.20399999999999</v>
      </c>
      <c r="G26" s="134">
        <v>265.77100000000002</v>
      </c>
      <c r="H26" s="134">
        <v>400.73200000000003</v>
      </c>
      <c r="I26" s="134">
        <v>6.5720000000000001</v>
      </c>
      <c r="J26" s="134">
        <v>464.86799999999999</v>
      </c>
      <c r="K26" s="1181">
        <f t="shared" si="3"/>
        <v>5703.8229999999994</v>
      </c>
      <c r="L26" s="1765">
        <f t="shared" si="4"/>
        <v>4942.6880000000001</v>
      </c>
      <c r="M26" s="1172">
        <f>IF(C26&gt;0,K26*1000000/Q21,"")</f>
        <v>687.93622257019445</v>
      </c>
      <c r="N26" s="1172">
        <v>659.71900000000005</v>
      </c>
      <c r="O26" s="2380">
        <f t="shared" si="5"/>
        <v>4.2771577853895966E-2</v>
      </c>
      <c r="P26" s="2213"/>
      <c r="Q26" s="2397"/>
      <c r="R26" s="2588"/>
      <c r="S26" s="2213"/>
      <c r="T26" s="2213"/>
      <c r="U26" s="2213"/>
      <c r="V26" s="2213"/>
      <c r="W26" s="273"/>
    </row>
    <row r="27" spans="1:23" ht="12.75">
      <c r="A27" s="1154">
        <v>5206</v>
      </c>
      <c r="B27" s="1155" t="s">
        <v>103</v>
      </c>
      <c r="C27" s="279">
        <v>828.51199999999994</v>
      </c>
      <c r="D27" s="134">
        <v>403.209</v>
      </c>
      <c r="E27" s="134">
        <v>53.325000000000003</v>
      </c>
      <c r="F27" s="134">
        <v>11.093</v>
      </c>
      <c r="G27" s="134">
        <v>4.2960000000000003</v>
      </c>
      <c r="H27" s="134">
        <v>137.68299999999999</v>
      </c>
      <c r="I27" s="134">
        <v>8.3019999999999996</v>
      </c>
      <c r="J27" s="134">
        <v>82.757999999999996</v>
      </c>
      <c r="K27" s="1182">
        <f t="shared" si="3"/>
        <v>737.45199999999988</v>
      </c>
      <c r="L27" s="1765">
        <f t="shared" si="4"/>
        <v>592.68200000000002</v>
      </c>
      <c r="M27" s="1171">
        <f>IF(C27&gt;0,K27*1000000/Q21,"")</f>
        <v>88.943844015993307</v>
      </c>
      <c r="N27" s="1171">
        <v>87.221000000000004</v>
      </c>
      <c r="O27" s="2380">
        <f t="shared" si="5"/>
        <v>1.9752628564145135E-2</v>
      </c>
      <c r="P27" s="2213"/>
      <c r="Q27" s="2397"/>
      <c r="R27" s="2588"/>
      <c r="S27" s="2213"/>
      <c r="T27" s="2213"/>
      <c r="U27" s="2213"/>
      <c r="V27" s="2213"/>
      <c r="W27" s="273"/>
    </row>
    <row r="28" spans="1:23" ht="12.75">
      <c r="A28" s="1154">
        <v>5209</v>
      </c>
      <c r="B28" s="1155" t="s">
        <v>369</v>
      </c>
      <c r="C28" s="279">
        <v>935.46100000000001</v>
      </c>
      <c r="D28" s="134">
        <v>369.041</v>
      </c>
      <c r="E28" s="134">
        <v>113.244</v>
      </c>
      <c r="F28" s="134">
        <v>3.2759999999999998</v>
      </c>
      <c r="G28" s="134">
        <v>42.715000000000003</v>
      </c>
      <c r="H28" s="134">
        <v>106.017</v>
      </c>
      <c r="I28" s="134">
        <v>10.347</v>
      </c>
      <c r="J28" s="134">
        <v>45.652000000000001</v>
      </c>
      <c r="K28" s="1181">
        <f t="shared" si="3"/>
        <v>879.46199999999999</v>
      </c>
      <c r="L28" s="1765">
        <f t="shared" si="4"/>
        <v>737.80100000000004</v>
      </c>
      <c r="M28" s="1175"/>
      <c r="N28" s="1174"/>
      <c r="O28" s="2381"/>
      <c r="P28" s="2213"/>
      <c r="Q28" s="2397"/>
      <c r="R28" s="2588"/>
      <c r="S28" s="2213"/>
      <c r="T28" s="2213"/>
      <c r="U28" s="2213"/>
      <c r="V28" s="2213"/>
      <c r="W28" s="273"/>
    </row>
    <row r="29" spans="1:23" ht="21.75" customHeight="1">
      <c r="A29" s="1157">
        <v>52099</v>
      </c>
      <c r="B29" s="1162" t="s">
        <v>619</v>
      </c>
      <c r="C29" s="135">
        <f>SUM(C22:C28)</f>
        <v>16409.812000000002</v>
      </c>
      <c r="D29" s="135">
        <f>SUM(D22:D28)</f>
        <v>8256.5429999999997</v>
      </c>
      <c r="E29" s="135">
        <f t="shared" ref="E29:J29" si="6">SUM(E22:E28)</f>
        <v>3535.18</v>
      </c>
      <c r="F29" s="135">
        <f t="shared" si="6"/>
        <v>297.05700000000002</v>
      </c>
      <c r="G29" s="135">
        <f t="shared" si="6"/>
        <v>321.74300000000005</v>
      </c>
      <c r="H29" s="135">
        <f t="shared" si="6"/>
        <v>1112.8389999999999</v>
      </c>
      <c r="I29" s="135">
        <f t="shared" si="6"/>
        <v>40.113</v>
      </c>
      <c r="J29" s="135">
        <f t="shared" si="6"/>
        <v>1274.5360000000001</v>
      </c>
      <c r="K29" s="1175"/>
      <c r="L29" s="1773"/>
      <c r="M29" s="1176"/>
      <c r="N29" s="1176"/>
      <c r="O29" s="2382"/>
      <c r="P29" s="2213"/>
      <c r="Q29" s="2392"/>
      <c r="R29" s="2588"/>
      <c r="S29" s="2213"/>
      <c r="T29" s="2213"/>
      <c r="U29" s="2213"/>
      <c r="V29" s="2213"/>
      <c r="W29" s="273"/>
    </row>
    <row r="30" spans="1:23" ht="13.5" thickBot="1">
      <c r="A30" s="1163"/>
      <c r="B30" s="1698"/>
      <c r="C30" s="321"/>
      <c r="D30" s="321"/>
      <c r="E30" s="321"/>
      <c r="F30" s="321"/>
      <c r="G30" s="321"/>
      <c r="H30" s="321"/>
      <c r="I30" s="321"/>
      <c r="J30" s="321"/>
      <c r="K30" s="1177"/>
      <c r="L30" s="1782"/>
      <c r="M30" s="1178"/>
      <c r="N30" s="1178"/>
      <c r="O30" s="2383"/>
      <c r="P30" s="2213"/>
      <c r="Q30" s="2394"/>
      <c r="R30" s="2409"/>
      <c r="S30" s="2213"/>
      <c r="T30" s="2213"/>
      <c r="U30" s="2213"/>
      <c r="V30" s="2213"/>
      <c r="W30" s="273"/>
    </row>
    <row r="31" spans="1:23" ht="12.75">
      <c r="A31" s="1164">
        <v>513</v>
      </c>
      <c r="B31" s="1165" t="s">
        <v>620</v>
      </c>
      <c r="C31" s="338">
        <f>Drift!P75</f>
        <v>70738.312999999995</v>
      </c>
      <c r="D31" s="338">
        <f>SUM(Drift!C75:D75)</f>
        <v>37501.387000000002</v>
      </c>
      <c r="E31" s="338">
        <f>Drift!F75</f>
        <v>13893.053</v>
      </c>
      <c r="F31" s="338">
        <f>Drift!R75</f>
        <v>127.509</v>
      </c>
      <c r="G31" s="338">
        <f>Drift!S75</f>
        <v>1364.683</v>
      </c>
      <c r="H31" s="339">
        <f>Drift!T75</f>
        <v>8844.5010000000002</v>
      </c>
      <c r="I31" s="2414">
        <f>Motpart!Y29+Motpart!Z29</f>
        <v>257.50700000000001</v>
      </c>
      <c r="J31" s="338">
        <f>Drift!V75</f>
        <v>4771.8879999999999</v>
      </c>
      <c r="K31" s="1183">
        <f>C31-I31-J31-G41-G43</f>
        <v>60321.05599999999</v>
      </c>
      <c r="L31" s="1781">
        <f t="shared" ref="L31:L36" si="7">C31-SUM(F31:H31,J31)</f>
        <v>55629.731999999996</v>
      </c>
      <c r="M31" s="1897">
        <f>IF(C31&gt;0,K31*1000000/Q31,"")</f>
        <v>5811.6717946642802</v>
      </c>
      <c r="N31" s="1897">
        <v>5600.5439999999999</v>
      </c>
      <c r="O31" s="2380">
        <f>IF(ISERROR((M31-N31)/N31),"",((M31-N31)/N31))</f>
        <v>3.7697729839151407E-2</v>
      </c>
      <c r="P31" s="2213"/>
      <c r="Q31" s="2398">
        <v>10379295</v>
      </c>
      <c r="R31" s="2410" t="s">
        <v>519</v>
      </c>
      <c r="S31" s="2213"/>
      <c r="T31" s="2213"/>
      <c r="U31" s="2213"/>
      <c r="V31" s="2213"/>
      <c r="W31" s="273"/>
    </row>
    <row r="32" spans="1:23" ht="12.75">
      <c r="A32" s="1166">
        <v>5131</v>
      </c>
      <c r="B32" s="1167" t="s">
        <v>195</v>
      </c>
      <c r="C32" s="134">
        <v>34123.603999999999</v>
      </c>
      <c r="D32" s="134">
        <v>20252.302</v>
      </c>
      <c r="E32" s="134">
        <v>6089.549</v>
      </c>
      <c r="F32" s="134">
        <v>63.261000000000003</v>
      </c>
      <c r="G32" s="134">
        <v>1333.1510000000001</v>
      </c>
      <c r="H32" s="134">
        <v>1558.9159999999999</v>
      </c>
      <c r="I32" s="134">
        <v>60.04</v>
      </c>
      <c r="J32" s="134">
        <v>2440.7849999999999</v>
      </c>
      <c r="K32" s="1181">
        <f>C32-I32-J32</f>
        <v>31622.778999999999</v>
      </c>
      <c r="L32" s="1773">
        <f t="shared" si="7"/>
        <v>28727.491000000002</v>
      </c>
      <c r="M32" s="1172">
        <f>IF(C32&gt;0,K32*1000000/Q32,"")</f>
        <v>4150.4312486095896</v>
      </c>
      <c r="N32" s="1172">
        <v>3922.4670000000001</v>
      </c>
      <c r="O32" s="2380">
        <f>IF(ISERROR((M32-N32)/N32),"",((M32-N32)/N32))</f>
        <v>5.8117569532029074E-2</v>
      </c>
      <c r="P32" s="2213"/>
      <c r="Q32" s="2399">
        <v>7619155</v>
      </c>
      <c r="R32" s="2412" t="s">
        <v>1072</v>
      </c>
      <c r="S32" s="2213"/>
      <c r="T32" s="2213"/>
      <c r="U32" s="2213"/>
      <c r="V32" s="2213"/>
      <c r="W32" s="273"/>
    </row>
    <row r="33" spans="1:23" ht="12.75">
      <c r="A33" s="1166">
        <v>5132</v>
      </c>
      <c r="B33" s="1168" t="s">
        <v>540</v>
      </c>
      <c r="C33" s="279">
        <v>2301.9479999999999</v>
      </c>
      <c r="D33" s="134">
        <v>694.35299999999995</v>
      </c>
      <c r="E33" s="134">
        <v>1256.7650000000001</v>
      </c>
      <c r="F33" s="134">
        <v>6.1020000000000003</v>
      </c>
      <c r="G33" s="134">
        <v>12.156000000000001</v>
      </c>
      <c r="H33" s="134">
        <v>172.16800000000001</v>
      </c>
      <c r="I33" s="134">
        <v>59.923000000000002</v>
      </c>
      <c r="J33" s="134">
        <v>101.488</v>
      </c>
      <c r="K33" s="1181">
        <f>C33-I33-J33</f>
        <v>2140.5369999999998</v>
      </c>
      <c r="L33" s="1773">
        <f t="shared" si="7"/>
        <v>2010.0339999999999</v>
      </c>
      <c r="M33" s="1172">
        <f>IF(C33&gt;0,K33*1000000/Q33,"")</f>
        <v>775.51754621142402</v>
      </c>
      <c r="N33" s="1172">
        <v>727.08100000000002</v>
      </c>
      <c r="O33" s="2380">
        <f>IF(ISERROR((M33-N33)/N33),"",((M33-N33)/N33))</f>
        <v>6.661781316170276E-2</v>
      </c>
      <c r="P33" s="2213"/>
      <c r="Q33" s="2399">
        <v>2760140</v>
      </c>
      <c r="R33" s="2413" t="s">
        <v>1073</v>
      </c>
      <c r="S33" s="2213"/>
      <c r="T33" s="2213"/>
      <c r="U33" s="2213"/>
      <c r="V33" s="2213"/>
      <c r="W33" s="273"/>
    </row>
    <row r="34" spans="1:23" ht="12.75">
      <c r="A34" s="1166">
        <v>5133</v>
      </c>
      <c r="B34" s="1167" t="s">
        <v>621</v>
      </c>
      <c r="C34" s="279">
        <v>18394.184000000001</v>
      </c>
      <c r="D34" s="134">
        <v>8275.9619999999995</v>
      </c>
      <c r="E34" s="134">
        <v>4129.8900000000003</v>
      </c>
      <c r="F34" s="134">
        <v>12.247999999999999</v>
      </c>
      <c r="G34" s="134">
        <v>11.048</v>
      </c>
      <c r="H34" s="134">
        <v>6067.5929999999998</v>
      </c>
      <c r="I34" s="134">
        <v>23.678999999999998</v>
      </c>
      <c r="J34" s="279">
        <v>407.96199999999999</v>
      </c>
      <c r="K34" s="1181">
        <f>C34-I34-J34</f>
        <v>17962.543000000001</v>
      </c>
      <c r="L34" s="1773">
        <f t="shared" si="7"/>
        <v>11895.333000000001</v>
      </c>
      <c r="M34" s="1172">
        <f>IF(C34&gt;0,K34*1000000/Q34,"")</f>
        <v>1730.6130136969805</v>
      </c>
      <c r="N34" s="1172">
        <v>1731.0609999999999</v>
      </c>
      <c r="O34" s="2380">
        <f>IF(ISERROR((M34-N34)/N34),"",((M34-N34)/N34))</f>
        <v>-2.5879290390080635E-4</v>
      </c>
      <c r="P34" s="2213"/>
      <c r="Q34" s="2399">
        <v>10379295</v>
      </c>
      <c r="R34" s="2413" t="s">
        <v>519</v>
      </c>
      <c r="S34" s="2213"/>
      <c r="T34" s="2213"/>
      <c r="U34" s="2213"/>
      <c r="V34" s="2213"/>
      <c r="W34" s="273"/>
    </row>
    <row r="35" spans="1:23" ht="12.75">
      <c r="A35" s="1166">
        <v>5135</v>
      </c>
      <c r="B35" s="1155" t="s">
        <v>159</v>
      </c>
      <c r="C35" s="279">
        <v>10180.588</v>
      </c>
      <c r="D35" s="134">
        <v>4892.6090000000004</v>
      </c>
      <c r="E35" s="280">
        <v>1717.7719999999999</v>
      </c>
      <c r="F35" s="280">
        <v>23.373000000000001</v>
      </c>
      <c r="G35" s="280">
        <v>2.444</v>
      </c>
      <c r="H35" s="280">
        <v>772.86800000000005</v>
      </c>
      <c r="I35" s="280">
        <v>34.183</v>
      </c>
      <c r="J35" s="280">
        <v>1162.809</v>
      </c>
      <c r="K35" s="1181">
        <f>C35-I35-J35</f>
        <v>8983.5959999999995</v>
      </c>
      <c r="L35" s="1773">
        <f t="shared" si="7"/>
        <v>8219.0939999999991</v>
      </c>
      <c r="M35" s="1172">
        <f>IF(C35&gt;0,K35*1000000/Q35,"")</f>
        <v>1624.2060983148103</v>
      </c>
      <c r="N35" s="1172">
        <v>1604.0229999999999</v>
      </c>
      <c r="O35" s="2380">
        <f>IF(ISERROR((M35-N35)/N35),"",((M35-N35)/N35))</f>
        <v>1.2582798572595545E-2</v>
      </c>
      <c r="P35" s="2213"/>
      <c r="Q35" s="2399">
        <v>5531069</v>
      </c>
      <c r="R35" s="2413" t="s">
        <v>1074</v>
      </c>
      <c r="S35" s="2213"/>
      <c r="T35" s="2213"/>
      <c r="U35" s="2213"/>
      <c r="V35" s="2213"/>
      <c r="W35" s="273"/>
    </row>
    <row r="36" spans="1:23" ht="12.75">
      <c r="A36" s="1166">
        <v>5139</v>
      </c>
      <c r="B36" s="1155" t="s">
        <v>160</v>
      </c>
      <c r="C36" s="279">
        <v>5738.01</v>
      </c>
      <c r="D36" s="134">
        <v>3386.14</v>
      </c>
      <c r="E36" s="134">
        <v>699.07600000000002</v>
      </c>
      <c r="F36" s="134">
        <v>22.524000000000001</v>
      </c>
      <c r="G36" s="134">
        <v>5.8860000000000001</v>
      </c>
      <c r="H36" s="134">
        <v>272.96899999999999</v>
      </c>
      <c r="I36" s="134">
        <v>79.680999999999997</v>
      </c>
      <c r="J36" s="134">
        <v>658.84199999999998</v>
      </c>
      <c r="K36" s="1181">
        <f>C36-I36-J36</f>
        <v>4999.487000000001</v>
      </c>
      <c r="L36" s="1773">
        <f t="shared" si="7"/>
        <v>4777.7890000000007</v>
      </c>
      <c r="M36" s="1175"/>
      <c r="N36" s="1174"/>
      <c r="O36" s="2381"/>
      <c r="P36" s="2213"/>
      <c r="Q36" s="2396" t="str">
        <f>"På minst en delv-ht inom v-het 513 redovisas varken detta år eller året innan lämnat några kostnader. Har kommunen inte denna/dessa verksamhet(er)? Lämna förklarande kommentar"</f>
        <v>På minst en delv-ht inom v-het 513 redovisas varken detta år eller året innan lämnat några kostnader. Har kommunen inte denna/dessa verksamhet(er)? Lämna förklarande kommentar</v>
      </c>
      <c r="R36" s="2589" t="str">
        <f>"För minst en delv-ht inom v-het 513 redovisas varken detta år eller året innan några kostnader. Har kommunen inte verksamheten(-erna)? Lämna förklarande kommentar"</f>
        <v>För minst en delv-ht inom v-het 513 redovisas varken detta år eller året innan några kostnader. Har kommunen inte verksamheten(-erna)? Lämna förklarande kommentar</v>
      </c>
      <c r="S36" s="2213"/>
      <c r="T36" s="2213"/>
      <c r="U36" s="2213"/>
      <c r="V36" s="2213"/>
      <c r="W36" s="273"/>
    </row>
    <row r="37" spans="1:23" ht="17.25" customHeight="1">
      <c r="A37" s="1157">
        <v>51399</v>
      </c>
      <c r="B37" s="1158" t="s">
        <v>622</v>
      </c>
      <c r="C37" s="322">
        <f t="shared" ref="C37:J37" si="8">SUM(C32:C36)</f>
        <v>70738.333999999988</v>
      </c>
      <c r="D37" s="322">
        <f>SUM(D32:D36)</f>
        <v>37501.365999999995</v>
      </c>
      <c r="E37" s="322">
        <f t="shared" si="8"/>
        <v>13893.052000000003</v>
      </c>
      <c r="F37" s="322">
        <f t="shared" si="8"/>
        <v>127.50800000000001</v>
      </c>
      <c r="G37" s="322">
        <f t="shared" si="8"/>
        <v>1364.6849999999999</v>
      </c>
      <c r="H37" s="322">
        <f t="shared" si="8"/>
        <v>8844.5139999999992</v>
      </c>
      <c r="I37" s="322">
        <f t="shared" si="8"/>
        <v>257.50599999999997</v>
      </c>
      <c r="J37" s="324">
        <f t="shared" si="8"/>
        <v>4771.8859999999995</v>
      </c>
      <c r="K37" s="1175"/>
      <c r="L37" s="1176"/>
      <c r="M37" s="1176"/>
      <c r="N37" s="1176"/>
      <c r="O37" s="2382"/>
      <c r="P37" s="2213"/>
      <c r="Q37" s="2400"/>
      <c r="R37" s="2590"/>
      <c r="S37" s="2213"/>
      <c r="T37" s="2213"/>
      <c r="U37" s="2213"/>
      <c r="V37" s="2213"/>
      <c r="W37" s="273"/>
    </row>
    <row r="38" spans="1:23" ht="13.5" thickBot="1">
      <c r="A38" s="1159"/>
      <c r="B38" s="1698"/>
      <c r="C38" s="321"/>
      <c r="D38" s="321"/>
      <c r="E38" s="321"/>
      <c r="F38" s="321"/>
      <c r="G38" s="321"/>
      <c r="H38" s="321"/>
      <c r="I38" s="325"/>
      <c r="J38" s="321"/>
      <c r="K38" s="1177"/>
      <c r="L38" s="1766"/>
      <c r="M38" s="1178"/>
      <c r="N38" s="1178"/>
      <c r="O38" s="2383"/>
      <c r="P38" s="2213"/>
      <c r="Q38" s="2401"/>
      <c r="R38" s="2591"/>
      <c r="S38" s="2213"/>
      <c r="T38" s="2213"/>
      <c r="U38" s="2213"/>
      <c r="V38" s="2213"/>
      <c r="W38" s="273"/>
    </row>
    <row r="39" spans="1:23" ht="12.75">
      <c r="A39" s="275"/>
      <c r="B39" s="303" t="s">
        <v>624</v>
      </c>
      <c r="C39" s="303"/>
      <c r="D39" s="303"/>
      <c r="E39" s="303"/>
      <c r="F39" s="303"/>
      <c r="G39" s="303"/>
      <c r="H39" s="303"/>
      <c r="I39" s="303"/>
      <c r="J39" s="1819"/>
      <c r="K39" s="1819"/>
      <c r="L39" s="1819"/>
      <c r="M39" s="1819"/>
      <c r="N39" s="1819"/>
      <c r="O39" s="337"/>
      <c r="P39" s="2374"/>
      <c r="Q39" s="1814"/>
      <c r="R39" s="274"/>
      <c r="S39" s="273"/>
      <c r="T39" s="273"/>
      <c r="U39" s="273"/>
      <c r="V39" s="273"/>
    </row>
    <row r="40" spans="1:23" ht="12.75">
      <c r="B40" s="303" t="s">
        <v>623</v>
      </c>
      <c r="C40" s="304"/>
      <c r="D40" s="304"/>
      <c r="E40" s="304"/>
      <c r="F40" s="304"/>
      <c r="G40" s="305"/>
      <c r="H40" s="305"/>
      <c r="I40" s="305"/>
      <c r="J40" s="305"/>
      <c r="K40" s="275"/>
      <c r="L40" s="275"/>
      <c r="M40" s="275"/>
      <c r="N40" s="275"/>
    </row>
    <row r="41" spans="1:23" ht="12.75">
      <c r="B41" s="1184" t="s">
        <v>164</v>
      </c>
      <c r="C41" s="1185"/>
      <c r="D41" s="1185"/>
      <c r="E41" s="1186"/>
      <c r="F41" s="1187"/>
      <c r="G41" s="136">
        <f>'Verks int o kostn'!D20</f>
        <v>5385.4279999999999</v>
      </c>
      <c r="H41" s="1990"/>
      <c r="I41" s="275"/>
      <c r="J41" s="275"/>
      <c r="K41" s="275"/>
      <c r="L41" s="275"/>
      <c r="M41" s="275"/>
      <c r="N41" s="275"/>
    </row>
    <row r="42" spans="1:23" ht="12.75">
      <c r="B42" s="1184" t="s">
        <v>165</v>
      </c>
      <c r="C42" s="1185"/>
      <c r="D42" s="1185"/>
      <c r="E42" s="1186"/>
      <c r="F42" s="1187"/>
      <c r="G42" s="136">
        <f>'Verks int o kostn'!I41</f>
        <v>4423.2529999999997</v>
      </c>
      <c r="H42" s="1990"/>
      <c r="I42" s="275"/>
      <c r="J42" s="275"/>
      <c r="K42" s="275"/>
      <c r="L42" s="275"/>
      <c r="M42" s="275"/>
      <c r="N42" s="275"/>
    </row>
    <row r="43" spans="1:23" ht="12.75">
      <c r="A43" s="435">
        <v>51398</v>
      </c>
      <c r="B43" s="1188" t="s">
        <v>191</v>
      </c>
      <c r="C43" s="1185"/>
      <c r="D43" s="1185"/>
      <c r="E43" s="1186"/>
      <c r="F43" s="1187"/>
      <c r="G43" s="134">
        <v>2.4340000000000002</v>
      </c>
      <c r="H43" s="320"/>
      <c r="I43" s="275"/>
      <c r="J43" s="275"/>
      <c r="K43" s="275"/>
      <c r="L43" s="275"/>
      <c r="M43" s="275"/>
      <c r="N43" s="275"/>
    </row>
    <row r="44" spans="1:23" ht="13.5" thickBot="1">
      <c r="E44" s="429" t="s">
        <v>734</v>
      </c>
      <c r="F44" s="429" t="s">
        <v>735</v>
      </c>
      <c r="G44" s="429" t="s">
        <v>736</v>
      </c>
      <c r="H44" s="429" t="s">
        <v>737</v>
      </c>
      <c r="I44" s="429" t="s">
        <v>738</v>
      </c>
      <c r="J44" s="429" t="s">
        <v>739</v>
      </c>
      <c r="K44" s="429" t="s">
        <v>740</v>
      </c>
      <c r="L44" s="429" t="s">
        <v>741</v>
      </c>
      <c r="M44" s="429" t="s">
        <v>742</v>
      </c>
    </row>
    <row r="45" spans="1:23" ht="14.25" customHeight="1">
      <c r="A45" s="2592" t="s">
        <v>828</v>
      </c>
      <c r="B45" s="2593"/>
      <c r="C45" s="1312" t="s">
        <v>804</v>
      </c>
      <c r="D45" s="1189" t="s">
        <v>129</v>
      </c>
      <c r="E45" s="1130" t="s">
        <v>197</v>
      </c>
      <c r="F45" s="1130" t="s">
        <v>493</v>
      </c>
      <c r="G45" s="1130" t="s">
        <v>198</v>
      </c>
      <c r="H45" s="1130" t="s">
        <v>126</v>
      </c>
      <c r="I45" s="1189" t="s">
        <v>1110</v>
      </c>
      <c r="J45" s="1130" t="s">
        <v>128</v>
      </c>
      <c r="K45" s="2596" t="s">
        <v>840</v>
      </c>
      <c r="L45" s="1130" t="s">
        <v>127</v>
      </c>
      <c r="M45" s="1130" t="s">
        <v>152</v>
      </c>
      <c r="N45" s="1132"/>
      <c r="O45" s="1131"/>
      <c r="P45" s="1190"/>
      <c r="R45" s="2213"/>
      <c r="S45" s="2213"/>
      <c r="T45" s="2213"/>
      <c r="U45" s="2213"/>
      <c r="V45" s="2213"/>
    </row>
    <row r="46" spans="1:23" ht="12.75">
      <c r="A46" s="2594"/>
      <c r="B46" s="2595"/>
      <c r="C46" s="1369" t="s">
        <v>820</v>
      </c>
      <c r="D46" s="1134"/>
      <c r="E46" s="1191" t="s">
        <v>130</v>
      </c>
      <c r="F46" s="1191" t="s">
        <v>196</v>
      </c>
      <c r="G46" s="1191" t="s">
        <v>131</v>
      </c>
      <c r="H46" s="1191"/>
      <c r="I46" s="1751"/>
      <c r="J46" s="1191" t="s">
        <v>133</v>
      </c>
      <c r="K46" s="2597"/>
      <c r="L46" s="1191" t="s">
        <v>132</v>
      </c>
      <c r="M46" s="1191"/>
      <c r="N46" s="1141"/>
      <c r="O46" s="1146"/>
      <c r="P46" s="1192"/>
      <c r="R46" s="2213"/>
      <c r="S46" s="2213"/>
      <c r="T46" s="2213"/>
      <c r="U46" s="2213"/>
      <c r="V46" s="2213"/>
    </row>
    <row r="47" spans="1:23" ht="30" customHeight="1">
      <c r="A47" s="2594"/>
      <c r="B47" s="2595"/>
      <c r="C47" s="1586"/>
      <c r="D47" s="1313"/>
      <c r="E47" s="1587" t="s">
        <v>793</v>
      </c>
      <c r="F47" s="1572" t="s">
        <v>794</v>
      </c>
      <c r="G47" s="1572" t="s">
        <v>795</v>
      </c>
      <c r="H47" s="1572" t="s">
        <v>796</v>
      </c>
      <c r="I47" s="1572" t="s">
        <v>797</v>
      </c>
      <c r="J47" s="1572" t="s">
        <v>798</v>
      </c>
      <c r="K47" s="1572" t="s">
        <v>799</v>
      </c>
      <c r="L47" s="1572" t="s">
        <v>800</v>
      </c>
      <c r="M47" s="1572" t="s">
        <v>801</v>
      </c>
      <c r="N47" s="1141"/>
      <c r="O47" s="1146"/>
      <c r="P47" s="1192"/>
      <c r="R47" s="2213"/>
      <c r="S47" s="2213"/>
      <c r="T47" s="2213"/>
      <c r="U47" s="2213"/>
      <c r="V47" s="2213"/>
    </row>
    <row r="48" spans="1:23" ht="6.75" customHeight="1">
      <c r="A48" s="1515"/>
      <c r="B48" s="1516"/>
      <c r="C48" s="1588"/>
      <c r="D48" s="1589"/>
      <c r="E48" s="1590"/>
      <c r="F48" s="1590"/>
      <c r="G48" s="1590"/>
      <c r="H48" s="1590"/>
      <c r="I48" s="1591"/>
      <c r="J48" s="1590"/>
      <c r="K48" s="1591"/>
      <c r="L48" s="1590"/>
      <c r="M48" s="1191"/>
      <c r="N48" s="1141"/>
      <c r="O48" s="1146"/>
      <c r="P48" s="1192"/>
      <c r="R48" s="2213"/>
      <c r="S48" s="2213"/>
      <c r="T48" s="2213"/>
      <c r="U48" s="2213"/>
      <c r="V48" s="2213"/>
    </row>
    <row r="49" spans="1:22" ht="12" customHeight="1">
      <c r="A49" s="1193">
        <v>510</v>
      </c>
      <c r="B49" s="1194" t="s">
        <v>515</v>
      </c>
      <c r="C49" s="430">
        <f>E12</f>
        <v>20823.239000000001</v>
      </c>
      <c r="D49" s="297"/>
      <c r="E49" s="430">
        <f>Motpart!D27</f>
        <v>1985.951</v>
      </c>
      <c r="F49" s="430">
        <f>Motpart!E27</f>
        <v>433.733</v>
      </c>
      <c r="G49" s="430">
        <f>Motpart!F27</f>
        <v>17223.705000000002</v>
      </c>
      <c r="H49" s="430">
        <f>Motpart!G27</f>
        <v>178.06399999999999</v>
      </c>
      <c r="I49" s="430">
        <f>Motpart!H27</f>
        <v>159.851</v>
      </c>
      <c r="J49" s="430">
        <f>Motpart!I27</f>
        <v>4.351</v>
      </c>
      <c r="K49" s="1916"/>
      <c r="L49" s="430">
        <f>Motpart!K27</f>
        <v>835.88400000000001</v>
      </c>
      <c r="M49" s="434">
        <f>Motpart!L27</f>
        <v>1.7010000000000001</v>
      </c>
      <c r="N49" s="1991"/>
      <c r="O49" s="329"/>
      <c r="P49" s="333"/>
      <c r="R49" s="2213"/>
      <c r="S49" s="2213"/>
      <c r="T49" s="2213"/>
      <c r="U49" s="2213"/>
      <c r="V49" s="2213"/>
    </row>
    <row r="50" spans="1:22" ht="12.75">
      <c r="A50" s="1166">
        <v>5101</v>
      </c>
      <c r="B50" s="1195" t="s">
        <v>446</v>
      </c>
      <c r="C50" s="431">
        <f>E13</f>
        <v>7016.6059999999998</v>
      </c>
      <c r="D50" s="138"/>
      <c r="E50" s="134">
        <v>256.34399999999999</v>
      </c>
      <c r="F50" s="134">
        <v>170.62100000000001</v>
      </c>
      <c r="G50" s="134">
        <v>6255.0330000000004</v>
      </c>
      <c r="H50" s="134">
        <v>39.92</v>
      </c>
      <c r="I50" s="134">
        <v>24.998999999999999</v>
      </c>
      <c r="J50" s="134">
        <v>1.585</v>
      </c>
      <c r="K50" s="1917">
        <v>0</v>
      </c>
      <c r="L50" s="134">
        <v>267.33300000000003</v>
      </c>
      <c r="M50" s="328">
        <v>0</v>
      </c>
      <c r="N50" s="1992"/>
      <c r="O50" s="330"/>
      <c r="P50" s="334"/>
      <c r="R50" s="2213"/>
      <c r="S50" s="2213"/>
      <c r="T50" s="2213"/>
      <c r="U50" s="2213"/>
      <c r="V50" s="2213"/>
    </row>
    <row r="51" spans="1:22" ht="12.75">
      <c r="A51" s="1166">
        <v>5103</v>
      </c>
      <c r="B51" s="1196" t="s">
        <v>445</v>
      </c>
      <c r="C51" s="431">
        <f>E14</f>
        <v>588.30600000000004</v>
      </c>
      <c r="D51" s="137"/>
      <c r="E51" s="134">
        <v>27.367000000000001</v>
      </c>
      <c r="F51" s="134">
        <v>24.77</v>
      </c>
      <c r="G51" s="134">
        <v>385.46899999999999</v>
      </c>
      <c r="H51" s="134">
        <v>31.841999999999999</v>
      </c>
      <c r="I51" s="134">
        <v>95.031999999999996</v>
      </c>
      <c r="J51" s="134">
        <v>4.1000000000000002E-2</v>
      </c>
      <c r="K51" s="1917">
        <v>0</v>
      </c>
      <c r="L51" s="134">
        <v>22.207999999999998</v>
      </c>
      <c r="M51" s="314">
        <v>1.5149999999999999</v>
      </c>
      <c r="N51" s="1993"/>
      <c r="O51" s="331"/>
      <c r="P51" s="334"/>
      <c r="R51" s="2213"/>
      <c r="S51" s="2213"/>
      <c r="T51" s="2213"/>
      <c r="U51" s="2213"/>
      <c r="V51" s="2213"/>
    </row>
    <row r="52" spans="1:22" ht="12.75">
      <c r="A52" s="1197">
        <v>5105</v>
      </c>
      <c r="B52" s="1150" t="s">
        <v>480</v>
      </c>
      <c r="C52" s="432">
        <f>E16</f>
        <v>12996.540999999999</v>
      </c>
      <c r="D52" s="139"/>
      <c r="E52" s="313">
        <v>1681.8810000000001</v>
      </c>
      <c r="F52" s="313">
        <v>226.5</v>
      </c>
      <c r="G52" s="313">
        <v>10430.237999999999</v>
      </c>
      <c r="H52" s="313">
        <v>96.031000000000006</v>
      </c>
      <c r="I52" s="313">
        <v>32.671999999999997</v>
      </c>
      <c r="J52" s="313">
        <v>2.15</v>
      </c>
      <c r="K52" s="1918">
        <v>0</v>
      </c>
      <c r="L52" s="313">
        <v>526.83799999999997</v>
      </c>
      <c r="M52" s="315">
        <v>0.185</v>
      </c>
      <c r="N52" s="1994"/>
      <c r="O52" s="509"/>
      <c r="P52" s="510"/>
      <c r="R52" s="2213"/>
      <c r="S52" s="2213"/>
      <c r="T52" s="2213"/>
      <c r="U52" s="2213"/>
      <c r="V52" s="2213"/>
    </row>
    <row r="53" spans="1:22" ht="12.75">
      <c r="A53" s="1198">
        <v>520</v>
      </c>
      <c r="B53" s="1147" t="s">
        <v>454</v>
      </c>
      <c r="C53" s="430">
        <f>E21</f>
        <v>3535.1790000000001</v>
      </c>
      <c r="D53" s="138"/>
      <c r="E53" s="430">
        <f>Motpart!D28</f>
        <v>258.61900000000003</v>
      </c>
      <c r="F53" s="430">
        <f>Motpart!E28</f>
        <v>9.1039999999999992</v>
      </c>
      <c r="G53" s="430">
        <f>Motpart!F28</f>
        <v>3100.3870000000002</v>
      </c>
      <c r="H53" s="430">
        <f>Motpart!G28</f>
        <v>49.981999999999999</v>
      </c>
      <c r="I53" s="430">
        <f>Motpart!H28</f>
        <v>22.545999999999999</v>
      </c>
      <c r="J53" s="430">
        <f>Motpart!I28</f>
        <v>6.718</v>
      </c>
      <c r="K53" s="1916"/>
      <c r="L53" s="430">
        <f>Motpart!K28</f>
        <v>87.820999999999998</v>
      </c>
      <c r="M53" s="430">
        <f>Motpart!L28</f>
        <v>2E-3</v>
      </c>
      <c r="N53" s="1995"/>
      <c r="O53" s="329"/>
      <c r="P53" s="333"/>
      <c r="R53" s="2213"/>
      <c r="S53" s="2213"/>
      <c r="T53" s="2213"/>
      <c r="U53" s="2213"/>
      <c r="V53" s="2213"/>
    </row>
    <row r="54" spans="1:22" ht="12.75">
      <c r="A54" s="1166">
        <v>5201</v>
      </c>
      <c r="B54" s="1195" t="s">
        <v>448</v>
      </c>
      <c r="C54" s="431">
        <f>E22</f>
        <v>743.41499999999996</v>
      </c>
      <c r="D54" s="137"/>
      <c r="E54" s="134">
        <v>10.936</v>
      </c>
      <c r="F54" s="134">
        <v>7.2270000000000003</v>
      </c>
      <c r="G54" s="134">
        <v>717.62099999999998</v>
      </c>
      <c r="H54" s="134">
        <v>3.1080000000000001</v>
      </c>
      <c r="I54" s="134">
        <v>2.3879999999999999</v>
      </c>
      <c r="J54" s="134">
        <v>7.0000000000000001E-3</v>
      </c>
      <c r="K54" s="1917">
        <v>0</v>
      </c>
      <c r="L54" s="134">
        <v>2.1179999999999999</v>
      </c>
      <c r="M54" s="314">
        <v>0</v>
      </c>
      <c r="N54" s="1996"/>
      <c r="O54" s="331"/>
      <c r="P54" s="334"/>
      <c r="R54" s="2213"/>
      <c r="S54" s="2213"/>
      <c r="T54" s="2213"/>
      <c r="U54" s="2213"/>
      <c r="V54" s="2213"/>
    </row>
    <row r="55" spans="1:22" ht="12.75">
      <c r="A55" s="1166">
        <v>5203</v>
      </c>
      <c r="B55" s="1195" t="s">
        <v>445</v>
      </c>
      <c r="C55" s="431">
        <f>E24</f>
        <v>287.685</v>
      </c>
      <c r="D55" s="137"/>
      <c r="E55" s="134">
        <v>31.378</v>
      </c>
      <c r="F55" s="134">
        <v>0.20200000000000001</v>
      </c>
      <c r="G55" s="134">
        <v>248.76499999999999</v>
      </c>
      <c r="H55" s="134">
        <v>1.345</v>
      </c>
      <c r="I55" s="134">
        <v>5.2430000000000003</v>
      </c>
      <c r="J55" s="134">
        <v>0.72299999999999998</v>
      </c>
      <c r="K55" s="1917">
        <v>0</v>
      </c>
      <c r="L55" s="134">
        <v>2.9000000000000001E-2</v>
      </c>
      <c r="M55" s="314">
        <v>1E-3</v>
      </c>
      <c r="N55" s="1993"/>
      <c r="O55" s="331"/>
      <c r="P55" s="334"/>
      <c r="R55" s="2213"/>
      <c r="S55" s="2213"/>
      <c r="T55" s="2213"/>
      <c r="U55" s="2213"/>
      <c r="V55" s="2213"/>
    </row>
    <row r="56" spans="1:22" ht="12.75">
      <c r="A56" s="1199">
        <v>5205</v>
      </c>
      <c r="B56" s="1144" t="s">
        <v>480</v>
      </c>
      <c r="C56" s="432">
        <f>E26</f>
        <v>2031.7049999999999</v>
      </c>
      <c r="D56" s="296"/>
      <c r="E56" s="134">
        <v>156.93199999999999</v>
      </c>
      <c r="F56" s="134">
        <v>1.5049999999999999</v>
      </c>
      <c r="G56" s="134">
        <v>1781.6289999999999</v>
      </c>
      <c r="H56" s="134">
        <v>32.68</v>
      </c>
      <c r="I56" s="134">
        <v>7.0620000000000003</v>
      </c>
      <c r="J56" s="134">
        <v>3.6669999999999998</v>
      </c>
      <c r="K56" s="1917">
        <v>0</v>
      </c>
      <c r="L56" s="134">
        <v>48.182000000000002</v>
      </c>
      <c r="M56" s="315">
        <v>0</v>
      </c>
      <c r="N56" s="1994"/>
      <c r="O56" s="509"/>
      <c r="P56" s="510"/>
      <c r="R56" s="2213"/>
      <c r="S56" s="2213"/>
      <c r="T56" s="2213"/>
      <c r="U56" s="2213"/>
      <c r="V56" s="2213"/>
    </row>
    <row r="57" spans="1:22" ht="12.75">
      <c r="A57" s="1200">
        <v>513</v>
      </c>
      <c r="B57" s="1201" t="s">
        <v>453</v>
      </c>
      <c r="C57" s="430">
        <f>E31</f>
        <v>13893.053</v>
      </c>
      <c r="D57" s="297"/>
      <c r="E57" s="430">
        <f>Motpart!D29</f>
        <v>1506.087</v>
      </c>
      <c r="F57" s="430">
        <f>Motpart!E29</f>
        <v>226.41900000000001</v>
      </c>
      <c r="G57" s="430">
        <f>Motpart!F29</f>
        <v>11352.39</v>
      </c>
      <c r="H57" s="430">
        <f>Motpart!G29</f>
        <v>276.45699999999999</v>
      </c>
      <c r="I57" s="430">
        <f>Motpart!H29</f>
        <v>96.116</v>
      </c>
      <c r="J57" s="430">
        <f>Motpart!I29</f>
        <v>29.826000000000001</v>
      </c>
      <c r="K57" s="1916"/>
      <c r="L57" s="430">
        <f>Motpart!K29</f>
        <v>405.11700000000002</v>
      </c>
      <c r="M57" s="430">
        <f>Motpart!L29</f>
        <v>0.64100000000000001</v>
      </c>
      <c r="N57" s="1997"/>
      <c r="O57" s="511"/>
      <c r="P57" s="333"/>
      <c r="R57" s="2213"/>
      <c r="S57" s="2213"/>
      <c r="T57" s="2213"/>
      <c r="U57" s="2213"/>
      <c r="V57" s="2213"/>
    </row>
    <row r="58" spans="1:22" ht="13.5" thickBot="1">
      <c r="A58" s="1159">
        <v>5131</v>
      </c>
      <c r="B58" s="1202" t="s">
        <v>195</v>
      </c>
      <c r="C58" s="433">
        <f>E32</f>
        <v>6089.549</v>
      </c>
      <c r="D58" s="298"/>
      <c r="E58" s="316">
        <v>768.81200000000001</v>
      </c>
      <c r="F58" s="316">
        <v>116.41800000000001</v>
      </c>
      <c r="G58" s="316">
        <v>4947.4399999999996</v>
      </c>
      <c r="H58" s="316">
        <v>52.398000000000003</v>
      </c>
      <c r="I58" s="316">
        <v>16.023</v>
      </c>
      <c r="J58" s="316">
        <v>1.6259999999999999</v>
      </c>
      <c r="K58" s="1919">
        <v>0</v>
      </c>
      <c r="L58" s="316">
        <v>186.26400000000001</v>
      </c>
      <c r="M58" s="317">
        <v>0.55000000000000004</v>
      </c>
      <c r="N58" s="1998"/>
      <c r="O58" s="332"/>
      <c r="P58" s="335"/>
      <c r="R58" s="2213"/>
      <c r="S58" s="2213"/>
      <c r="T58" s="2213"/>
      <c r="U58" s="2213"/>
      <c r="V58" s="2213"/>
    </row>
    <row r="59" spans="1:22" ht="12.75">
      <c r="D59" s="336"/>
      <c r="N59" s="318"/>
      <c r="O59" s="319"/>
      <c r="R59" s="2213"/>
      <c r="S59" s="2213"/>
      <c r="T59" s="2213"/>
      <c r="U59" s="2213"/>
      <c r="V59" s="2213"/>
    </row>
    <row r="60" spans="1:22" ht="12.75">
      <c r="R60" s="2213"/>
      <c r="S60" s="2213"/>
      <c r="T60" s="2213"/>
      <c r="U60" s="2213"/>
      <c r="V60" s="2213"/>
    </row>
  </sheetData>
  <customSheetViews>
    <customSheetView guid="{97D6DB71-3F4C-4C5F-8C5B-51E3EBF78932}" showPageBreaks="1" showGridLines="0" fitToPage="1" hiddenRows="1" hiddenColumns="1" topLeftCell="A15">
      <selection activeCell="A44" sqref="A44:B48"/>
      <pageMargins left="0.31496062992125984" right="0.6692913385826772" top="0.74803149606299213" bottom="0.15748031496062992" header="0.31496062992125984" footer="0.31496062992125984"/>
      <pageSetup paperSize="9" scale="54" orientation="landscape" r:id="rId1"/>
      <headerFooter>
        <oddHeader>&amp;L&amp;8Statistiska Centralbyrån
Offentlig ekonomi&amp;R&amp;P</oddHeader>
      </headerFooter>
    </customSheetView>
    <customSheetView guid="{99FBDEB7-DD08-4F57-81F4-3C180403E153}" showGridLines="0" fitToPage="1" hiddenRows="1" hiddenColumns="1">
      <selection activeCell="A43" sqref="A43:B47"/>
      <pageMargins left="0.31496062992125984" right="0.6692913385826772" top="0.74803149606299213" bottom="0.15748031496062992" header="0.31496062992125984" footer="0.31496062992125984"/>
      <pageSetup paperSize="9" scale="56" orientation="landscape" r:id="rId2"/>
      <headerFooter>
        <oddHeader>&amp;L&amp;8Statistiska Centralbyrån
Offentlig ekonomi&amp;R&amp;P</oddHeader>
      </headerFooter>
    </customSheetView>
    <customSheetView guid="{27C9E95B-0E2B-454F-B637-1CECC9579A10}" showGridLines="0" fitToPage="1" hiddenRows="1" hiddenColumns="1" showRuler="0">
      <selection activeCell="J30" sqref="J30"/>
      <pageMargins left="0.31496062992125984" right="0.6692913385826772" top="0.74803149606299213" bottom="0.15748031496062992" header="0.31496062992125984" footer="0.31496062992125984"/>
      <pageSetup paperSize="9" scale="56" orientation="landscape" r:id="rId3"/>
      <headerFooter alignWithMargins="0">
        <oddHeader>&amp;L&amp;8Statistiska Centralbyrån
Offentlig ekonomi&amp;R&amp;P</oddHeader>
      </headerFooter>
    </customSheetView>
  </customSheetViews>
  <mergeCells count="15">
    <mergeCell ref="A45:B47"/>
    <mergeCell ref="K45:K46"/>
    <mergeCell ref="F6:F7"/>
    <mergeCell ref="G6:G7"/>
    <mergeCell ref="H6:H7"/>
    <mergeCell ref="H9:H11"/>
    <mergeCell ref="E6:E7"/>
    <mergeCell ref="I6:I7"/>
    <mergeCell ref="D6:D7"/>
    <mergeCell ref="D9:D10"/>
    <mergeCell ref="O4:O6"/>
    <mergeCell ref="Q6:R7"/>
    <mergeCell ref="R14:R19"/>
    <mergeCell ref="R23:R29"/>
    <mergeCell ref="R36:R38"/>
  </mergeCells>
  <phoneticPr fontId="87" type="noConversion"/>
  <conditionalFormatting sqref="H34">
    <cfRule type="cellIs" dxfId="22" priority="25" stopIfTrue="1" operator="lessThan">
      <formula>0</formula>
    </cfRule>
    <cfRule type="cellIs" dxfId="21" priority="26" stopIfTrue="1" operator="lessThan">
      <formula>SUM(G41)</formula>
    </cfRule>
  </conditionalFormatting>
  <conditionalFormatting sqref="C34:D34">
    <cfRule type="cellIs" dxfId="20" priority="27" stopIfTrue="1" operator="lessThan">
      <formula>0</formula>
    </cfRule>
    <cfRule type="cellIs" dxfId="19" priority="28" stopIfTrue="1" operator="lessThan">
      <formula>SUM(G42)</formula>
    </cfRule>
  </conditionalFormatting>
  <conditionalFormatting sqref="E58:M58 G43 H35:H36 I32:J36 H32:H33 E32:G36 E50:M52 E54:M56 C13:J18 C22:J28 C32:D33 C35:D36">
    <cfRule type="cellIs" dxfId="18" priority="23" stopIfTrue="1" operator="lessThan">
      <formula>0</formula>
    </cfRule>
  </conditionalFormatting>
  <conditionalFormatting sqref="B20 B30 B38">
    <cfRule type="expression" dxfId="17" priority="86" stopIfTrue="1">
      <formula>OR(C20&gt;5,C20&lt;-5,E20&gt;5,E20&lt;-5,F20&gt;5,F20&lt;-5,G20&gt;5,G20&lt;-5,H20&gt;5,H20&lt;-5,I20&gt;5,I20&lt;-5,J20&gt;5,J20&lt;-5)</formula>
    </cfRule>
  </conditionalFormatting>
  <conditionalFormatting sqref="R14:R19">
    <cfRule type="expression" dxfId="16" priority="6">
      <formula>IF(C12=0,"",IF(C17&gt;1,"",IF(K17=0,N17=0)))</formula>
    </cfRule>
    <cfRule type="expression" dxfId="15" priority="7">
      <formula>IF(C12=0,"",IF(C16&gt;1,"",IF(K16=0,N16=0)))</formula>
    </cfRule>
    <cfRule type="expression" dxfId="14" priority="8">
      <formula>IF(C12=0,"",IF(C15&gt;1,"",IF(K15=0,N15=0)))</formula>
    </cfRule>
    <cfRule type="expression" dxfId="13" priority="9">
      <formula>IF(C12=0,"",IF(C14&gt;1,"",IF(K14=0,N14=0)))</formula>
    </cfRule>
    <cfRule type="expression" dxfId="12" priority="15">
      <formula>IF(C12=0,"",IF(C13&gt;1,"",IF(K13=0,N13=0)))</formula>
    </cfRule>
  </conditionalFormatting>
  <conditionalFormatting sqref="R36:R38">
    <cfRule type="expression" dxfId="11" priority="2">
      <formula>IF(C31=0,"",IF(C35&gt;1,"",IF(K35=0,N35=0)))</formula>
    </cfRule>
    <cfRule type="expression" dxfId="10" priority="3">
      <formula>IF(C31=0,"",IF(C34&gt;1,"",IF(K34=0,N34=0)))</formula>
    </cfRule>
    <cfRule type="expression" dxfId="9" priority="4">
      <formula>IF(C31=0,"",IF(C33&gt;1,"",IF(K33=0,N33=0)))</formula>
    </cfRule>
    <cfRule type="expression" dxfId="8" priority="5">
      <formula>IF(C31=0,"",IF(C32&gt;1,"",IF(K32=0,N32=0)))</formula>
    </cfRule>
  </conditionalFormatting>
  <conditionalFormatting sqref="R23:R28">
    <cfRule type="expression" dxfId="7" priority="10">
      <formula>IF(C21=0,"",IF(C27&gt;1,"",IF(K27=0,N27=0)))</formula>
    </cfRule>
    <cfRule type="expression" dxfId="6" priority="11">
      <formula>IF(C21=0,"",IF(C26&gt;1,"",IF(K26=0,N26=0)))</formula>
    </cfRule>
    <cfRule type="expression" dxfId="5" priority="12">
      <formula>IF(C21=0,"",IF(C25&gt;1,"",IF(K25=0,N25=0)))</formula>
    </cfRule>
    <cfRule type="expression" dxfId="4" priority="13">
      <formula>IF(C21=0,"",IF(C23&gt;1,"",IF(K23=0,N23=0)))</formula>
    </cfRule>
    <cfRule type="expression" dxfId="3" priority="14">
      <formula>IF(C21=0,"",IF(C22&gt;1,"",IF(K22=0,N22=0)))</formula>
    </cfRule>
  </conditionalFormatting>
  <conditionalFormatting sqref="R23:R29">
    <cfRule type="expression" dxfId="2" priority="1">
      <formula>IF(C21=0,"",IF(C24&gt;1,"",IF(K24=0,N24=0)))</formula>
    </cfRule>
  </conditionalFormatting>
  <dataValidations count="2">
    <dataValidation type="decimal" operator="lessThan" allowBlank="1" showInputMessage="1" showErrorMessage="1" error="Beloppen ska vara i 1000 tal kronor" sqref="E58:M58 I29:I30 J29:J31 I21 G43 E50:M56 C32:J36 C22:J28 C13:J20 C29:H31">
      <formula1>99999999</formula1>
    </dataValidation>
    <dataValidation type="decimal" operator="lessThan" allowBlank="1" showInputMessage="1" showErrorMessage="1" error="Beloppet ska vara i 1000 tal kr" sqref="I31">
      <formula1>99999999</formula1>
    </dataValidation>
  </dataValidations>
  <pageMargins left="0.43" right="0.17" top="0.43" bottom="0.15748031496062992" header="0.21" footer="0.31496062992125984"/>
  <pageSetup paperSize="9" scale="70" orientation="landscape" r:id="rId4"/>
  <headerFooter>
    <oddHeader>&amp;L&amp;8Statistiska Centralbyrån
Offentlig ekonomi&amp;R&amp;P</oddHeader>
  </headerFooter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>
    <tabColor rgb="FFFFFF00"/>
  </sheetPr>
  <dimension ref="A1:S65536"/>
  <sheetViews>
    <sheetView showGridLines="0" zoomScaleNormal="100" workbookViewId="0">
      <pane xSplit="2" ySplit="11" topLeftCell="C12" activePane="bottomRight" state="frozen"/>
      <selection activeCell="F36" sqref="F36"/>
      <selection pane="topRight" activeCell="F36" sqref="F36"/>
      <selection pane="bottomLeft" activeCell="F36" sqref="F36"/>
      <selection pane="bottomRight" activeCell="C12" sqref="C12"/>
    </sheetView>
  </sheetViews>
  <sheetFormatPr defaultColWidth="0" defaultRowHeight="12.75" zeroHeight="1"/>
  <cols>
    <col min="1" max="1" width="5.7109375" style="282" customWidth="1"/>
    <col min="2" max="2" width="34.140625" style="1811" customWidth="1"/>
    <col min="3" max="3" width="9.42578125" style="1811" customWidth="1"/>
    <col min="4" max="4" width="8.7109375" style="1811" customWidth="1"/>
    <col min="5" max="5" width="10.28515625" style="1811" customWidth="1"/>
    <col min="6" max="6" width="10.5703125" style="1811" customWidth="1"/>
    <col min="7" max="7" width="9.42578125" style="1811" customWidth="1"/>
    <col min="8" max="8" width="11.7109375" style="1811" customWidth="1"/>
    <col min="9" max="9" width="8.7109375" style="1811" customWidth="1"/>
    <col min="10" max="10" width="14.28515625" style="1811" customWidth="1"/>
    <col min="11" max="11" width="9.5703125" style="285" customWidth="1"/>
    <col min="12" max="12" width="1" style="285" customWidth="1"/>
    <col min="13" max="13" width="10.42578125" style="285" customWidth="1"/>
    <col min="14" max="14" width="10.28515625" style="285" customWidth="1"/>
    <col min="15" max="19" width="9.140625" style="285" customWidth="1"/>
    <col min="20" max="16384" width="0" style="285" hidden="1"/>
  </cols>
  <sheetData>
    <row r="1" spans="1:19" s="1786" customFormat="1" ht="21.75">
      <c r="A1" s="77" t="str">
        <f>"Specificering individ- och familjeomsorg "&amp;År&amp;", miljoner kronor"</f>
        <v>Specificering individ- och familjeomsorg 2020, miljoner kronor</v>
      </c>
      <c r="B1" s="78"/>
      <c r="C1" s="78"/>
      <c r="D1" s="78"/>
      <c r="E1" s="283"/>
      <c r="F1" s="283"/>
      <c r="G1" s="283"/>
      <c r="H1" s="283"/>
      <c r="I1" s="523" t="s">
        <v>459</v>
      </c>
      <c r="J1" s="524" t="str">
        <f>'Kn Information'!A2</f>
        <v>RIKSTOTAL</v>
      </c>
      <c r="K1" s="283"/>
      <c r="L1" s="283"/>
      <c r="M1" s="283"/>
      <c r="N1" s="283"/>
      <c r="O1" s="283"/>
      <c r="P1" s="283"/>
      <c r="Q1" s="283"/>
      <c r="R1" s="283"/>
      <c r="S1" s="283"/>
    </row>
    <row r="2" spans="1:19" s="284" customFormat="1" ht="12.75" customHeight="1">
      <c r="A2" s="2213"/>
      <c r="B2" s="2213"/>
      <c r="C2" s="2213"/>
      <c r="D2" s="2213"/>
      <c r="E2" s="2213"/>
      <c r="F2" s="2213"/>
      <c r="G2" s="2213"/>
      <c r="H2" s="2213"/>
      <c r="I2" s="2213"/>
      <c r="J2" s="2213"/>
      <c r="K2" s="2213"/>
      <c r="L2" s="2213"/>
      <c r="M2" s="2213"/>
      <c r="N2" s="2213"/>
      <c r="O2" s="2213"/>
      <c r="P2" s="2213"/>
      <c r="Q2" s="2213"/>
      <c r="R2" s="2213"/>
      <c r="S2" s="2213"/>
    </row>
    <row r="3" spans="1:19" s="1786" customFormat="1" ht="12.75" customHeight="1" thickBot="1">
      <c r="A3" s="2213"/>
      <c r="B3" s="2213"/>
      <c r="C3" s="2213"/>
      <c r="D3" s="2213"/>
      <c r="E3" s="2213"/>
      <c r="F3" s="2213"/>
      <c r="G3" s="2213"/>
      <c r="H3" s="2213"/>
      <c r="I3" s="2213"/>
      <c r="J3" s="2213"/>
      <c r="K3" s="2213"/>
      <c r="L3" s="2213"/>
      <c r="M3" s="2213"/>
      <c r="N3" s="2213"/>
      <c r="O3" s="2213"/>
      <c r="P3" s="2213"/>
      <c r="Q3" s="2213"/>
      <c r="R3" s="2213"/>
      <c r="S3" s="2213"/>
    </row>
    <row r="4" spans="1:19" s="286" customFormat="1" ht="18" customHeight="1">
      <c r="A4" s="657" t="s">
        <v>626</v>
      </c>
      <c r="B4" s="1787" t="s">
        <v>15</v>
      </c>
      <c r="C4" s="1784"/>
      <c r="D4" s="1946"/>
      <c r="E4" s="1946"/>
      <c r="F4" s="1783"/>
      <c r="G4" s="1784"/>
      <c r="H4" s="1788" t="s">
        <v>960</v>
      </c>
      <c r="I4" s="1615" t="s">
        <v>970</v>
      </c>
      <c r="J4" s="1616"/>
      <c r="K4" s="2619" t="str">
        <f>"Förändring kostnader för eget åtagande "&amp;År-1&amp;"-"&amp;År&amp;" procent"</f>
        <v>Förändring kostnader för eget åtagande 2019-2020 procent</v>
      </c>
      <c r="L4" s="2213"/>
      <c r="M4" s="2435"/>
      <c r="N4" s="2447"/>
      <c r="O4" s="2213"/>
      <c r="P4" s="2213"/>
      <c r="Q4" s="2213"/>
      <c r="R4" s="2213"/>
      <c r="S4" s="2213"/>
    </row>
    <row r="5" spans="1:19" s="286" customFormat="1" ht="15" customHeight="1">
      <c r="A5" s="659" t="s">
        <v>629</v>
      </c>
      <c r="B5" s="1575"/>
      <c r="C5" s="1370" t="s">
        <v>41</v>
      </c>
      <c r="D5" s="1370"/>
      <c r="E5" s="1370"/>
      <c r="F5" s="1785"/>
      <c r="G5" s="1785"/>
      <c r="H5" s="1626" t="s">
        <v>975</v>
      </c>
      <c r="I5" s="1617" t="s">
        <v>967</v>
      </c>
      <c r="J5" s="1618"/>
      <c r="K5" s="2620"/>
      <c r="L5" s="2213"/>
      <c r="M5" s="2436"/>
      <c r="N5" s="2448"/>
      <c r="O5" s="2213"/>
      <c r="P5" s="2213"/>
      <c r="Q5" s="2213"/>
      <c r="R5" s="2213"/>
      <c r="S5" s="2213"/>
    </row>
    <row r="6" spans="1:19" s="286" customFormat="1" ht="24" customHeight="1">
      <c r="A6" s="1204"/>
      <c r="B6" s="1790"/>
      <c r="C6" s="1370" t="s">
        <v>43</v>
      </c>
      <c r="D6" s="2614" t="s">
        <v>1041</v>
      </c>
      <c r="E6" s="2614" t="s">
        <v>1047</v>
      </c>
      <c r="F6" s="2616" t="s">
        <v>147</v>
      </c>
      <c r="G6" s="2612" t="s">
        <v>1138</v>
      </c>
      <c r="H6" s="1627" t="s">
        <v>974</v>
      </c>
      <c r="I6" s="1791"/>
      <c r="J6" s="1792"/>
      <c r="K6" s="2620"/>
      <c r="L6" s="2213"/>
      <c r="M6" s="2437" t="str">
        <f>"Nämnare nyckeltal"</f>
        <v>Nämnare nyckeltal</v>
      </c>
      <c r="N6" s="2449"/>
      <c r="O6" s="2213"/>
      <c r="P6" s="2213"/>
      <c r="Q6" s="2213"/>
      <c r="R6" s="2213"/>
      <c r="S6" s="2213"/>
    </row>
    <row r="7" spans="1:19" s="286" customFormat="1" ht="27.75" customHeight="1">
      <c r="A7" s="1064"/>
      <c r="B7" s="1793"/>
      <c r="C7" s="1370"/>
      <c r="D7" s="2615"/>
      <c r="E7" s="2615"/>
      <c r="F7" s="2617"/>
      <c r="G7" s="2612"/>
      <c r="H7" s="1613" t="s">
        <v>1139</v>
      </c>
      <c r="I7" s="1629" t="s">
        <v>973</v>
      </c>
      <c r="J7" s="1628" t="s">
        <v>973</v>
      </c>
      <c r="K7" s="2424"/>
      <c r="L7" s="2213"/>
      <c r="M7" s="2437"/>
      <c r="N7" s="2449"/>
      <c r="O7" s="2213"/>
      <c r="P7" s="2213"/>
      <c r="Q7" s="2213"/>
      <c r="R7" s="2213"/>
      <c r="S7" s="2213"/>
    </row>
    <row r="8" spans="1:19" s="286" customFormat="1" ht="12" customHeight="1">
      <c r="A8" s="1204"/>
      <c r="B8" s="1794"/>
      <c r="C8" s="1785"/>
      <c r="D8" s="2615"/>
      <c r="E8" s="2615"/>
      <c r="F8" s="2617"/>
      <c r="G8" s="2618"/>
      <c r="H8" s="2048" t="s">
        <v>1140</v>
      </c>
      <c r="I8" s="1145">
        <f>År</f>
        <v>2020</v>
      </c>
      <c r="J8" s="1145">
        <f>År-1</f>
        <v>2019</v>
      </c>
      <c r="K8" s="2425"/>
      <c r="L8" s="2213"/>
      <c r="M8" s="2438"/>
      <c r="N8" s="2450"/>
      <c r="O8" s="2213"/>
      <c r="P8" s="2213"/>
      <c r="Q8" s="2213"/>
      <c r="R8" s="2213"/>
      <c r="S8" s="2213"/>
    </row>
    <row r="9" spans="1:19" s="286" customFormat="1" ht="21" customHeight="1">
      <c r="A9" s="1204"/>
      <c r="B9" s="1794"/>
      <c r="C9" s="1785"/>
      <c r="D9" s="2612" t="s">
        <v>1161</v>
      </c>
      <c r="E9" s="1813" t="s">
        <v>818</v>
      </c>
      <c r="F9" s="1785"/>
      <c r="G9" s="2161" t="s">
        <v>1137</v>
      </c>
      <c r="H9" s="1614" t="s">
        <v>1135</v>
      </c>
      <c r="I9" s="1795"/>
      <c r="J9" s="1795"/>
      <c r="K9" s="2426"/>
      <c r="L9" s="2213"/>
      <c r="M9" s="2438"/>
      <c r="N9" s="2450"/>
      <c r="O9" s="2213"/>
      <c r="P9" s="2213"/>
      <c r="Q9" s="2213"/>
      <c r="R9" s="2213"/>
      <c r="S9" s="2213"/>
    </row>
    <row r="10" spans="1:19" s="286" customFormat="1" ht="14.25" customHeight="1">
      <c r="A10" s="1204"/>
      <c r="B10" s="1794"/>
      <c r="C10" s="1785"/>
      <c r="D10" s="2611"/>
      <c r="E10" s="1785"/>
      <c r="F10" s="1785"/>
      <c r="G10" s="1785"/>
      <c r="H10" s="1318" t="s">
        <v>1142</v>
      </c>
      <c r="I10" s="1619"/>
      <c r="J10" s="1619"/>
      <c r="K10" s="2426"/>
      <c r="L10" s="2213"/>
      <c r="M10" s="2438"/>
      <c r="N10" s="2450"/>
      <c r="O10" s="2213"/>
      <c r="P10" s="2213"/>
      <c r="Q10" s="2213"/>
      <c r="R10" s="2213"/>
      <c r="S10" s="2213"/>
    </row>
    <row r="11" spans="1:19" s="286" customFormat="1" ht="13.5" customHeight="1">
      <c r="A11" s="1205"/>
      <c r="B11" s="1796"/>
      <c r="C11" s="1213"/>
      <c r="D11" s="2613"/>
      <c r="E11" s="1213"/>
      <c r="F11" s="1213"/>
      <c r="G11" s="1597"/>
      <c r="H11" s="2073" t="s">
        <v>1141</v>
      </c>
      <c r="I11" s="1214"/>
      <c r="J11" s="1214"/>
      <c r="K11" s="2427"/>
      <c r="L11" s="2213"/>
      <c r="M11" s="2439"/>
      <c r="N11" s="2451"/>
      <c r="O11" s="2213"/>
      <c r="P11" s="2213"/>
      <c r="Q11" s="2213"/>
      <c r="R11" s="2213"/>
      <c r="S11" s="2213"/>
    </row>
    <row r="12" spans="1:19" s="286" customFormat="1">
      <c r="A12" s="1206">
        <v>559</v>
      </c>
      <c r="B12" s="1797" t="s">
        <v>490</v>
      </c>
      <c r="C12" s="1798">
        <f>Drift!P79</f>
        <v>8985.6839999999993</v>
      </c>
      <c r="D12" s="2050">
        <f>SUM(Drift!C79:D79)</f>
        <v>3607.009</v>
      </c>
      <c r="E12" s="1798">
        <f>Drift!F79</f>
        <v>3059.4470000000001</v>
      </c>
      <c r="F12" s="1798">
        <f>Drift!V79</f>
        <v>526.33000000000004</v>
      </c>
      <c r="G12" s="1799">
        <f>Motpart!Y31+Motpart!Z31</f>
        <v>53.45</v>
      </c>
      <c r="H12" s="1215">
        <f t="shared" ref="H12:H18" si="0">C12-F12-G12</f>
        <v>8405.9039999999986</v>
      </c>
      <c r="I12" s="1216">
        <f>IF(C12&gt;0,H12*1000000/M12,"")</f>
        <v>1458.5315788880087</v>
      </c>
      <c r="J12" s="1216">
        <v>1463.057</v>
      </c>
      <c r="K12" s="2428">
        <f>IF(ISERROR((I12-J12)/J12),"",((I12-J12)/J12))</f>
        <v>-3.0931270018812415E-3</v>
      </c>
      <c r="L12" s="2213"/>
      <c r="M12" s="2440">
        <v>5763265</v>
      </c>
      <c r="N12" s="2452" t="s">
        <v>516</v>
      </c>
      <c r="O12" s="2213"/>
      <c r="P12" s="2213"/>
      <c r="Q12" s="2213"/>
      <c r="R12" s="2213"/>
      <c r="S12" s="2213"/>
    </row>
    <row r="13" spans="1:19" s="286" customFormat="1">
      <c r="A13" s="1207">
        <v>552</v>
      </c>
      <c r="B13" s="1575" t="s">
        <v>440</v>
      </c>
      <c r="C13" s="54">
        <v>3434.2080000000001</v>
      </c>
      <c r="D13" s="54">
        <v>888.61500000000001</v>
      </c>
      <c r="E13" s="54">
        <v>2040.0160000000001</v>
      </c>
      <c r="F13" s="54">
        <v>81.887</v>
      </c>
      <c r="G13" s="1789">
        <f>Motpart!Y32+Motpart!Z32</f>
        <v>26.570999999999998</v>
      </c>
      <c r="H13" s="1217">
        <f t="shared" si="0"/>
        <v>3325.75</v>
      </c>
      <c r="I13" s="1218">
        <f>IF(C13&gt;0,H13*1000000/M12,"")</f>
        <v>577.06005189766563</v>
      </c>
      <c r="J13" s="1218">
        <v>580.57100000000003</v>
      </c>
      <c r="K13" s="2429">
        <f t="shared" ref="K13:K18" si="1">IF(ISERROR((I13-J13)/J13),"",((I13-J13)/J13))</f>
        <v>-6.0474052309440118E-3</v>
      </c>
      <c r="L13" s="2213"/>
      <c r="M13" s="2441"/>
      <c r="N13" s="2453"/>
      <c r="O13" s="2213"/>
      <c r="P13" s="2213"/>
      <c r="Q13" s="2213"/>
      <c r="R13" s="2213"/>
      <c r="S13" s="2213"/>
    </row>
    <row r="14" spans="1:19" s="286" customFormat="1">
      <c r="A14" s="1207">
        <v>556</v>
      </c>
      <c r="B14" s="1800" t="s">
        <v>496</v>
      </c>
      <c r="C14" s="54">
        <v>160.21799999999999</v>
      </c>
      <c r="D14" s="54">
        <v>52.679000000000002</v>
      </c>
      <c r="E14" s="54">
        <v>81.471999999999994</v>
      </c>
      <c r="F14" s="54">
        <v>2.9319999999999999</v>
      </c>
      <c r="G14" s="54">
        <v>1.367</v>
      </c>
      <c r="H14" s="1217">
        <f t="shared" si="0"/>
        <v>155.91900000000001</v>
      </c>
      <c r="I14" s="1218">
        <f>IF(C14&gt;0,H14*1000000/M12,"")</f>
        <v>27.053935572978165</v>
      </c>
      <c r="J14" s="1218">
        <v>32.5</v>
      </c>
      <c r="K14" s="2429">
        <f t="shared" si="1"/>
        <v>-0.16757121313913337</v>
      </c>
      <c r="L14" s="2213"/>
      <c r="M14" s="2441"/>
      <c r="N14" s="2453"/>
      <c r="O14" s="2213"/>
      <c r="P14" s="2213"/>
      <c r="Q14" s="2213"/>
      <c r="R14" s="2213"/>
      <c r="S14" s="2213"/>
    </row>
    <row r="15" spans="1:19" s="286" customFormat="1">
      <c r="A15" s="1207">
        <v>5581</v>
      </c>
      <c r="B15" s="1800" t="s">
        <v>162</v>
      </c>
      <c r="C15" s="54">
        <v>3169.1</v>
      </c>
      <c r="D15" s="54">
        <v>1246.3040000000001</v>
      </c>
      <c r="E15" s="54">
        <v>749.08199999999999</v>
      </c>
      <c r="F15" s="54">
        <v>335.98700000000002</v>
      </c>
      <c r="G15" s="54">
        <v>10.629</v>
      </c>
      <c r="H15" s="1217">
        <f t="shared" si="0"/>
        <v>2822.4839999999999</v>
      </c>
      <c r="I15" s="1219">
        <f>IF(C15&gt;0,H15*1000000/M12,"")</f>
        <v>489.7369806871626</v>
      </c>
      <c r="J15" s="1219">
        <v>463.68900000000002</v>
      </c>
      <c r="K15" s="2429">
        <f t="shared" si="1"/>
        <v>5.6175541552986111E-2</v>
      </c>
      <c r="L15" s="2213"/>
      <c r="M15" s="2441"/>
      <c r="N15" s="2453"/>
      <c r="O15" s="2213"/>
      <c r="P15" s="2213"/>
      <c r="Q15" s="2213"/>
      <c r="R15" s="2213"/>
      <c r="S15" s="2213"/>
    </row>
    <row r="16" spans="1:19" s="286" customFormat="1">
      <c r="A16" s="1207">
        <v>5582</v>
      </c>
      <c r="B16" s="1800" t="s">
        <v>161</v>
      </c>
      <c r="C16" s="54">
        <v>1329.1980000000001</v>
      </c>
      <c r="D16" s="54">
        <v>856.41300000000001</v>
      </c>
      <c r="E16" s="54">
        <v>139.73400000000001</v>
      </c>
      <c r="F16" s="54">
        <v>47.616</v>
      </c>
      <c r="G16" s="54">
        <v>4.7080000000000002</v>
      </c>
      <c r="H16" s="1217">
        <f t="shared" si="0"/>
        <v>1276.874</v>
      </c>
      <c r="I16" s="1218">
        <f>IF(C16&gt;0,H16*1000000/M12,"")</f>
        <v>221.55392819868598</v>
      </c>
      <c r="J16" s="1218">
        <v>228.42500000000001</v>
      </c>
      <c r="K16" s="2429">
        <f t="shared" si="1"/>
        <v>-3.008020926480915E-2</v>
      </c>
      <c r="L16" s="2213"/>
      <c r="M16" s="2441"/>
      <c r="N16" s="2453"/>
      <c r="O16" s="2213"/>
      <c r="P16" s="2213"/>
      <c r="Q16" s="2213"/>
      <c r="R16" s="2213"/>
      <c r="S16" s="2213"/>
    </row>
    <row r="17" spans="1:19" s="286" customFormat="1">
      <c r="A17" s="1207">
        <v>5583</v>
      </c>
      <c r="B17" s="1800" t="s">
        <v>163</v>
      </c>
      <c r="C17" s="54">
        <v>892.95299999999997</v>
      </c>
      <c r="D17" s="54">
        <v>562.99800000000005</v>
      </c>
      <c r="E17" s="54">
        <v>49.140999999999998</v>
      </c>
      <c r="F17" s="54">
        <v>57.905999999999999</v>
      </c>
      <c r="G17" s="54">
        <v>10.175000000000001</v>
      </c>
      <c r="H17" s="1217">
        <f t="shared" si="0"/>
        <v>824.87200000000007</v>
      </c>
      <c r="I17" s="1218">
        <f>IF(C17&gt;0,H17*1000000/M12,"")</f>
        <v>143.12581496773097</v>
      </c>
      <c r="J17" s="1219">
        <v>157.87</v>
      </c>
      <c r="K17" s="2429">
        <f t="shared" si="1"/>
        <v>-9.3394470338056812E-2</v>
      </c>
      <c r="L17" s="2213"/>
      <c r="M17" s="2441"/>
      <c r="N17" s="2453"/>
      <c r="O17" s="2213"/>
      <c r="P17" s="2213"/>
      <c r="Q17" s="2213"/>
      <c r="R17" s="2213"/>
      <c r="S17" s="2213"/>
    </row>
    <row r="18" spans="1:19" s="286" customFormat="1">
      <c r="A18" s="1208">
        <v>558</v>
      </c>
      <c r="B18" s="1801" t="s">
        <v>199</v>
      </c>
      <c r="C18" s="326">
        <f>SUM(C15:C17)</f>
        <v>5391.2510000000002</v>
      </c>
      <c r="D18" s="326">
        <f>SUM(D15:D17)</f>
        <v>2665.7150000000001</v>
      </c>
      <c r="E18" s="326">
        <f>SUM(E15:E17)</f>
        <v>937.95699999999999</v>
      </c>
      <c r="F18" s="326">
        <f>SUM(F15:F17)</f>
        <v>441.50900000000001</v>
      </c>
      <c r="G18" s="326">
        <f>SUM(G15:G17)</f>
        <v>25.512</v>
      </c>
      <c r="H18" s="1217">
        <f t="shared" si="0"/>
        <v>4924.2300000000005</v>
      </c>
      <c r="I18" s="1218">
        <f>IF(C18&gt;0,H18*1000000/M12,"")</f>
        <v>854.41672385357947</v>
      </c>
      <c r="J18" s="1218">
        <v>849.98400000000004</v>
      </c>
      <c r="K18" s="2429">
        <f t="shared" si="1"/>
        <v>5.2150674054799052E-3</v>
      </c>
      <c r="L18" s="2213"/>
      <c r="M18" s="2441"/>
      <c r="N18" s="2453"/>
      <c r="O18" s="2213"/>
      <c r="P18" s="2213"/>
      <c r="Q18" s="2213"/>
      <c r="R18" s="2213"/>
      <c r="S18" s="2213"/>
    </row>
    <row r="19" spans="1:19" s="174" customFormat="1">
      <c r="A19" s="1209">
        <v>55999</v>
      </c>
      <c r="B19" s="1801" t="s">
        <v>204</v>
      </c>
      <c r="C19" s="326">
        <f>C13+C14+C15+C16+C17</f>
        <v>8985.6769999999997</v>
      </c>
      <c r="D19" s="326">
        <f>D13+D14+D15+D16+D17</f>
        <v>3607.009</v>
      </c>
      <c r="E19" s="326">
        <f>E13+E14+E15+E16+E17</f>
        <v>3059.4450000000002</v>
      </c>
      <c r="F19" s="326">
        <f>F13+F14+F15+F16+F17</f>
        <v>526.32799999999997</v>
      </c>
      <c r="G19" s="326">
        <f>G13+G14+G15+G16+G17</f>
        <v>53.45</v>
      </c>
      <c r="H19" s="1220"/>
      <c r="I19" s="1221"/>
      <c r="J19" s="1221"/>
      <c r="K19" s="2430"/>
      <c r="L19" s="2213"/>
      <c r="M19" s="2441"/>
      <c r="N19" s="2453"/>
      <c r="O19" s="2213"/>
      <c r="P19" s="2213"/>
      <c r="Q19" s="2213"/>
      <c r="R19" s="2213"/>
      <c r="S19" s="2213"/>
    </row>
    <row r="20" spans="1:19" s="174" customFormat="1" ht="13.5" thickBot="1">
      <c r="A20" s="2416"/>
      <c r="B20" s="2415"/>
      <c r="C20" s="2415"/>
      <c r="D20" s="2415"/>
      <c r="E20" s="2415"/>
      <c r="F20" s="2415"/>
      <c r="G20" s="2415"/>
      <c r="H20" s="2415"/>
      <c r="I20" s="2415"/>
      <c r="J20" s="2415"/>
      <c r="K20" s="2431"/>
      <c r="L20" s="2213"/>
      <c r="M20" s="2442"/>
      <c r="N20" s="2454"/>
      <c r="O20" s="2213"/>
      <c r="P20" s="2213"/>
      <c r="Q20" s="2213"/>
      <c r="R20" s="2213"/>
      <c r="S20" s="2213"/>
    </row>
    <row r="21" spans="1:19" s="286" customFormat="1">
      <c r="A21" s="2417">
        <v>569</v>
      </c>
      <c r="B21" s="1802" t="s">
        <v>491</v>
      </c>
      <c r="C21" s="1803">
        <f>Drift!P80</f>
        <v>25247.097000000005</v>
      </c>
      <c r="D21" s="2051">
        <f>SUM(Drift!C80:D80)</f>
        <v>12410.987999999999</v>
      </c>
      <c r="E21" s="1803">
        <f>Drift!F80</f>
        <v>8292.5959999999995</v>
      </c>
      <c r="F21" s="1803">
        <f>Drift!V80</f>
        <v>770.41399999999999</v>
      </c>
      <c r="G21" s="1804">
        <f>Motpart!Y33+Motpart!Z33</f>
        <v>164.90899999999999</v>
      </c>
      <c r="H21" s="1223">
        <f t="shared" ref="H21:H26" si="2">C21-F21-G21</f>
        <v>24311.774000000005</v>
      </c>
      <c r="I21" s="1218">
        <f>IF(C21&gt;0,H21*1000000/M21,"")</f>
        <v>9617.2122483725925</v>
      </c>
      <c r="J21" s="1218">
        <v>9171.9709999999995</v>
      </c>
      <c r="K21" s="2432">
        <f t="shared" ref="K21:K26" si="3">IF(ISERROR((I21-J21)/J21),"",((I21-J21)/J21))</f>
        <v>4.8543682527189956E-2</v>
      </c>
      <c r="L21" s="2213"/>
      <c r="M21" s="2443">
        <v>2527944</v>
      </c>
      <c r="N21" s="2455" t="s">
        <v>518</v>
      </c>
      <c r="O21" s="2213"/>
      <c r="P21" s="2213"/>
      <c r="Q21" s="2213"/>
      <c r="R21" s="2213"/>
      <c r="S21" s="2213"/>
    </row>
    <row r="22" spans="1:19" s="286" customFormat="1">
      <c r="A22" s="2418">
        <v>554</v>
      </c>
      <c r="B22" s="1805" t="s">
        <v>200</v>
      </c>
      <c r="C22" s="54">
        <v>8698.2129999999997</v>
      </c>
      <c r="D22" s="54">
        <v>2354.453</v>
      </c>
      <c r="E22" s="54">
        <v>5191.4790000000003</v>
      </c>
      <c r="F22" s="54">
        <v>240.947</v>
      </c>
      <c r="G22" s="1789">
        <f>Motpart!Y34+Motpart!Z34</f>
        <v>57.397000000000006</v>
      </c>
      <c r="H22" s="1223">
        <f t="shared" si="2"/>
        <v>8399.8689999999988</v>
      </c>
      <c r="I22" s="1218">
        <f>IF(C22&gt;0,H22*1000000/M21,"")</f>
        <v>3322.8065969815784</v>
      </c>
      <c r="J22" s="1218">
        <v>3177.82</v>
      </c>
      <c r="K22" s="2429">
        <f t="shared" si="3"/>
        <v>4.5624546696030062E-2</v>
      </c>
      <c r="L22" s="2213"/>
      <c r="M22" s="2441"/>
      <c r="N22" s="2453"/>
      <c r="O22" s="2213"/>
      <c r="P22" s="2213"/>
      <c r="Q22" s="2213"/>
      <c r="R22" s="2213"/>
      <c r="S22" s="2213"/>
    </row>
    <row r="23" spans="1:19" s="286" customFormat="1">
      <c r="A23" s="2418">
        <v>557</v>
      </c>
      <c r="B23" s="1805" t="s">
        <v>166</v>
      </c>
      <c r="C23" s="54">
        <v>9149.1640000000007</v>
      </c>
      <c r="D23" s="54">
        <v>5151.6390000000001</v>
      </c>
      <c r="E23" s="54">
        <v>2351.2040000000002</v>
      </c>
      <c r="F23" s="54">
        <v>214.69499999999999</v>
      </c>
      <c r="G23" s="54">
        <v>29.622</v>
      </c>
      <c r="H23" s="1223">
        <f t="shared" si="2"/>
        <v>8904.8470000000016</v>
      </c>
      <c r="I23" s="1218">
        <f>IF(C23&gt;0,H23*1000000/M21,"")</f>
        <v>3522.5649777052031</v>
      </c>
      <c r="J23" s="1218">
        <v>3304.306</v>
      </c>
      <c r="K23" s="2429">
        <f t="shared" si="3"/>
        <v>6.6052895132957742E-2</v>
      </c>
      <c r="L23" s="2213"/>
      <c r="M23" s="2441"/>
      <c r="N23" s="2453"/>
      <c r="O23" s="2213"/>
      <c r="P23" s="2213"/>
      <c r="Q23" s="2213"/>
      <c r="R23" s="2213"/>
      <c r="S23" s="2213"/>
    </row>
    <row r="24" spans="1:19" s="286" customFormat="1">
      <c r="A24" s="2418">
        <v>5681</v>
      </c>
      <c r="B24" s="1805" t="s">
        <v>161</v>
      </c>
      <c r="C24" s="54">
        <v>4586.768</v>
      </c>
      <c r="D24" s="54">
        <v>2969.3249999999998</v>
      </c>
      <c r="E24" s="54">
        <v>605.55600000000004</v>
      </c>
      <c r="F24" s="54">
        <v>145.40600000000001</v>
      </c>
      <c r="G24" s="54">
        <v>29.335999999999999</v>
      </c>
      <c r="H24" s="1223">
        <f t="shared" si="2"/>
        <v>4412.0259999999998</v>
      </c>
      <c r="I24" s="1218">
        <f>IF(C24&gt;0,H24*1000000/M21,"")</f>
        <v>1745.3021111227147</v>
      </c>
      <c r="J24" s="1218">
        <v>1682.2629999999999</v>
      </c>
      <c r="K24" s="2429">
        <f t="shared" si="3"/>
        <v>3.7472803671432325E-2</v>
      </c>
      <c r="L24" s="2213"/>
      <c r="M24" s="2441"/>
      <c r="N24" s="2453"/>
      <c r="O24" s="2213"/>
      <c r="P24" s="2213"/>
      <c r="Q24" s="2213"/>
      <c r="R24" s="2213"/>
      <c r="S24" s="2213"/>
    </row>
    <row r="25" spans="1:19" s="286" customFormat="1">
      <c r="A25" s="2418">
        <v>5682</v>
      </c>
      <c r="B25" s="1805" t="s">
        <v>163</v>
      </c>
      <c r="C25" s="54">
        <v>2812.9520000000002</v>
      </c>
      <c r="D25" s="54">
        <v>1935.5609999999999</v>
      </c>
      <c r="E25" s="54">
        <v>144.351</v>
      </c>
      <c r="F25" s="54">
        <v>169.36199999999999</v>
      </c>
      <c r="G25" s="55">
        <v>48.555999999999997</v>
      </c>
      <c r="H25" s="1223">
        <f t="shared" si="2"/>
        <v>2595.0340000000001</v>
      </c>
      <c r="I25" s="1218">
        <f>IF(C25&gt;0,H25*1000000/M21,"")</f>
        <v>1026.5393537198609</v>
      </c>
      <c r="J25" s="1218">
        <v>1007.585</v>
      </c>
      <c r="K25" s="2429">
        <f t="shared" si="3"/>
        <v>1.881166722396703E-2</v>
      </c>
      <c r="L25" s="2213"/>
      <c r="M25" s="2441"/>
      <c r="N25" s="2453"/>
      <c r="O25" s="2213"/>
      <c r="P25" s="2213"/>
      <c r="Q25" s="2213"/>
      <c r="R25" s="2213"/>
      <c r="S25" s="2213"/>
    </row>
    <row r="26" spans="1:19" s="286" customFormat="1">
      <c r="A26" s="2419">
        <v>568</v>
      </c>
      <c r="B26" s="1806" t="s">
        <v>206</v>
      </c>
      <c r="C26" s="326">
        <f>SUM(C24:C25)</f>
        <v>7399.72</v>
      </c>
      <c r="D26" s="326">
        <f>SUM(D24:D25)</f>
        <v>4904.8859999999995</v>
      </c>
      <c r="E26" s="326">
        <f>SUM(E24:E25)</f>
        <v>749.90700000000004</v>
      </c>
      <c r="F26" s="326">
        <f>SUM(F24:F25)</f>
        <v>314.76800000000003</v>
      </c>
      <c r="G26" s="326">
        <f>SUM(G24:G25)</f>
        <v>77.891999999999996</v>
      </c>
      <c r="H26" s="1223">
        <f t="shared" si="2"/>
        <v>7007.06</v>
      </c>
      <c r="I26" s="1218">
        <f>IF(C26&gt;0,H26*1000000/M21,"")</f>
        <v>2771.8414648425755</v>
      </c>
      <c r="J26" s="1218">
        <v>2689.848</v>
      </c>
      <c r="K26" s="2429">
        <f t="shared" si="3"/>
        <v>3.0482564383777663E-2</v>
      </c>
      <c r="L26" s="2213"/>
      <c r="M26" s="2441"/>
      <c r="N26" s="2453"/>
      <c r="O26" s="2213"/>
      <c r="P26" s="2213"/>
      <c r="Q26" s="2213"/>
      <c r="R26" s="2213"/>
      <c r="S26" s="2213"/>
    </row>
    <row r="27" spans="1:19" s="286" customFormat="1">
      <c r="A27" s="2419">
        <v>56999</v>
      </c>
      <c r="B27" s="1801" t="s">
        <v>167</v>
      </c>
      <c r="C27" s="326">
        <f>SUM(C22+C23+C24+C25)</f>
        <v>25247.097000000002</v>
      </c>
      <c r="D27" s="326">
        <f>SUM(D22+D23+D24+D25)</f>
        <v>12410.978000000001</v>
      </c>
      <c r="E27" s="326">
        <f>SUM(E22+E23+E24+E25)</f>
        <v>8292.590000000002</v>
      </c>
      <c r="F27" s="326">
        <f>SUM(F22+F23+F24+F25)</f>
        <v>770.41</v>
      </c>
      <c r="G27" s="326">
        <f>SUM(G22+G23+G24+G25)</f>
        <v>164.911</v>
      </c>
      <c r="H27" s="1220"/>
      <c r="I27" s="1221"/>
      <c r="J27" s="1221"/>
      <c r="K27" s="2430"/>
      <c r="L27" s="2213"/>
      <c r="M27" s="2441"/>
      <c r="N27" s="2453"/>
      <c r="O27" s="2213"/>
      <c r="P27" s="2213"/>
      <c r="Q27" s="2213"/>
      <c r="R27" s="2213"/>
      <c r="S27" s="2213"/>
    </row>
    <row r="28" spans="1:19" s="286" customFormat="1" ht="13.5" thickBot="1">
      <c r="A28" s="2420"/>
      <c r="B28" s="2415"/>
      <c r="C28" s="2415"/>
      <c r="D28" s="2415"/>
      <c r="E28" s="2415"/>
      <c r="F28" s="2415"/>
      <c r="G28" s="2415"/>
      <c r="H28" s="2415"/>
      <c r="I28" s="2415"/>
      <c r="J28" s="2415"/>
      <c r="K28" s="2431"/>
      <c r="L28" s="2213"/>
      <c r="M28" s="2441"/>
      <c r="N28" s="2453"/>
      <c r="O28" s="2213"/>
      <c r="P28" s="2213"/>
      <c r="Q28" s="2213"/>
      <c r="R28" s="2213"/>
      <c r="S28" s="2213"/>
    </row>
    <row r="29" spans="1:19" s="286" customFormat="1">
      <c r="A29" s="2421">
        <v>571</v>
      </c>
      <c r="B29" s="1805" t="s">
        <v>168</v>
      </c>
      <c r="C29" s="1803">
        <f>Drift!P81</f>
        <v>3370.2999999999997</v>
      </c>
      <c r="D29" s="2051">
        <f>SUM(Drift!C81:D81)</f>
        <v>1237.7179999999998</v>
      </c>
      <c r="E29" s="1803">
        <f>Drift!F81</f>
        <v>828.68299999999999</v>
      </c>
      <c r="F29" s="1803">
        <f>Drift!V81</f>
        <v>126.048</v>
      </c>
      <c r="G29" s="66">
        <v>47.725999999999999</v>
      </c>
      <c r="H29" s="1223">
        <f t="shared" ref="H29:H34" si="4">C29-F29-G29</f>
        <v>3196.5259999999994</v>
      </c>
      <c r="I29" s="1218">
        <f>IF(C29&gt;0,H29*1000000/M12,"")</f>
        <v>554.63803937524983</v>
      </c>
      <c r="J29" s="1218">
        <v>557.85799999999995</v>
      </c>
      <c r="K29" s="2432">
        <f t="shared" ref="K29:K34" si="5">IF(ISERROR((I29-J29)/J29),"",((I29-J29)/J29))</f>
        <v>-5.7720076161856875E-3</v>
      </c>
      <c r="L29" s="2213"/>
      <c r="M29" s="2461"/>
      <c r="N29" s="2462"/>
      <c r="O29" s="2213"/>
      <c r="P29" s="2213"/>
      <c r="Q29" s="2213"/>
      <c r="R29" s="2213"/>
      <c r="S29" s="2213"/>
    </row>
    <row r="30" spans="1:19" s="286" customFormat="1">
      <c r="A30" s="2418">
        <v>575</v>
      </c>
      <c r="B30" s="1805" t="s">
        <v>107</v>
      </c>
      <c r="C30" s="1789">
        <f>Drift!P82</f>
        <v>15623.709999999997</v>
      </c>
      <c r="D30" s="2052">
        <f>SUM(Drift!C82:D82)</f>
        <v>3120.6270000000004</v>
      </c>
      <c r="E30" s="1789">
        <f>Drift!F82</f>
        <v>42.87</v>
      </c>
      <c r="F30" s="1789">
        <f>Drift!V82</f>
        <v>191.89699999999999</v>
      </c>
      <c r="G30" s="54">
        <v>12.269</v>
      </c>
      <c r="H30" s="1223">
        <f t="shared" si="4"/>
        <v>15419.543999999996</v>
      </c>
      <c r="I30" s="1218">
        <f>IF(C30&gt;0,H30*1000000/M30,"")</f>
        <v>1485.6061033047038</v>
      </c>
      <c r="J30" s="1218">
        <v>1432.4780000000001</v>
      </c>
      <c r="K30" s="2429">
        <f t="shared" si="5"/>
        <v>3.7088250782702212E-2</v>
      </c>
      <c r="L30" s="2213"/>
      <c r="M30" s="2444">
        <v>10379295</v>
      </c>
      <c r="N30" s="2460" t="s">
        <v>519</v>
      </c>
      <c r="O30" s="2213"/>
      <c r="P30" s="2213"/>
      <c r="Q30" s="2213"/>
      <c r="R30" s="2213"/>
      <c r="S30" s="2213"/>
    </row>
    <row r="31" spans="1:19" s="286" customFormat="1" ht="13.5" thickBot="1">
      <c r="A31" s="2422">
        <v>580</v>
      </c>
      <c r="B31" s="1807" t="s">
        <v>171</v>
      </c>
      <c r="C31" s="80">
        <f>C12+C21+C29+C30</f>
        <v>53226.791000000005</v>
      </c>
      <c r="D31" s="80">
        <f>D12+D21+D29+D30</f>
        <v>20376.342000000001</v>
      </c>
      <c r="E31" s="80">
        <f>E12+E21+E29+E30</f>
        <v>12223.596</v>
      </c>
      <c r="F31" s="80">
        <f>F12+F21+F29+F30</f>
        <v>1614.6890000000001</v>
      </c>
      <c r="G31" s="80">
        <f>G12+G21+G29+G30</f>
        <v>278.35399999999998</v>
      </c>
      <c r="H31" s="1224">
        <f t="shared" si="4"/>
        <v>51333.748000000007</v>
      </c>
      <c r="I31" s="1225">
        <f>IF(C31&gt;0,H31*1000000/M30,"")</f>
        <v>4945.7836972549685</v>
      </c>
      <c r="J31" s="1225">
        <v>4794.3819999999996</v>
      </c>
      <c r="K31" s="2433">
        <f t="shared" si="5"/>
        <v>3.1578980826928039E-2</v>
      </c>
      <c r="L31" s="2213"/>
      <c r="M31" s="2442"/>
      <c r="N31" s="2456"/>
      <c r="O31" s="2213"/>
      <c r="P31" s="2213"/>
      <c r="Q31" s="2213"/>
      <c r="R31" s="2213"/>
      <c r="S31" s="2213"/>
    </row>
    <row r="32" spans="1:19" s="286" customFormat="1">
      <c r="A32" s="2419">
        <v>585</v>
      </c>
      <c r="B32" s="1806" t="s">
        <v>492</v>
      </c>
      <c r="C32" s="1789">
        <f>Drift!P84</f>
        <v>1115.0740000000001</v>
      </c>
      <c r="D32" s="2052">
        <f>SUM(Drift!C84:D84)</f>
        <v>746.577</v>
      </c>
      <c r="E32" s="1789">
        <f>Drift!F84</f>
        <v>148.04300000000001</v>
      </c>
      <c r="F32" s="1789">
        <f>Drift!V84</f>
        <v>31.263999999999999</v>
      </c>
      <c r="G32" s="326">
        <f>SUM(G33:G34)</f>
        <v>65.759</v>
      </c>
      <c r="H32" s="1223">
        <f t="shared" si="4"/>
        <v>1018.0510000000002</v>
      </c>
      <c r="I32" s="1218">
        <f>IF(C32&gt;0,H32*1000000/M32,"")</f>
        <v>464.99022792971425</v>
      </c>
      <c r="J32" s="1218">
        <v>455.28199999999998</v>
      </c>
      <c r="K32" s="2434">
        <f t="shared" si="5"/>
        <v>2.1323548766949429E-2</v>
      </c>
      <c r="L32" s="2213"/>
      <c r="M32" s="2443">
        <v>2189403</v>
      </c>
      <c r="N32" s="2457" t="s">
        <v>520</v>
      </c>
      <c r="O32" s="2213"/>
      <c r="P32" s="2213"/>
      <c r="Q32" s="2213"/>
      <c r="R32" s="2213"/>
      <c r="S32" s="2213"/>
    </row>
    <row r="33" spans="1:19" s="286" customFormat="1">
      <c r="A33" s="2418">
        <v>5851</v>
      </c>
      <c r="B33" s="1805" t="s">
        <v>169</v>
      </c>
      <c r="C33" s="54">
        <v>773.76700000000005</v>
      </c>
      <c r="D33" s="54">
        <v>560.66700000000003</v>
      </c>
      <c r="E33" s="54">
        <v>58.052</v>
      </c>
      <c r="F33" s="54">
        <v>20.294</v>
      </c>
      <c r="G33" s="54">
        <v>34.534999999999997</v>
      </c>
      <c r="H33" s="1223">
        <f t="shared" si="4"/>
        <v>718.9380000000001</v>
      </c>
      <c r="I33" s="1218">
        <f>IF(C33&gt;0,H33*1000000/M33,"")</f>
        <v>328.37170680774625</v>
      </c>
      <c r="J33" s="1218">
        <v>324.77499999999998</v>
      </c>
      <c r="K33" s="2429">
        <f t="shared" si="5"/>
        <v>1.1074457109525896E-2</v>
      </c>
      <c r="L33" s="2213"/>
      <c r="M33" s="2443">
        <v>2189403</v>
      </c>
      <c r="N33" s="2457" t="s">
        <v>520</v>
      </c>
      <c r="O33" s="2213"/>
      <c r="P33" s="2213"/>
      <c r="Q33" s="2213"/>
      <c r="R33" s="2213"/>
      <c r="S33" s="2213"/>
    </row>
    <row r="34" spans="1:19" s="286" customFormat="1">
      <c r="A34" s="2418">
        <v>5855</v>
      </c>
      <c r="B34" s="1805" t="s">
        <v>170</v>
      </c>
      <c r="C34" s="54">
        <v>341.29899999999998</v>
      </c>
      <c r="D34" s="54">
        <v>185.90899999999999</v>
      </c>
      <c r="E34" s="54">
        <v>89.994</v>
      </c>
      <c r="F34" s="54">
        <v>10.967000000000001</v>
      </c>
      <c r="G34" s="54">
        <v>31.224</v>
      </c>
      <c r="H34" s="1223">
        <f t="shared" si="4"/>
        <v>299.108</v>
      </c>
      <c r="I34" s="1218">
        <f>IF(C34&gt;0,H34*1000000/M34,"")</f>
        <v>45.056292498049267</v>
      </c>
      <c r="J34" s="1218">
        <v>42.975000000000001</v>
      </c>
      <c r="K34" s="2429">
        <f t="shared" si="5"/>
        <v>4.8430308273397678E-2</v>
      </c>
      <c r="L34" s="2213"/>
      <c r="M34" s="2443">
        <v>6638540</v>
      </c>
      <c r="N34" s="2457" t="s">
        <v>521</v>
      </c>
      <c r="O34" s="2213"/>
      <c r="P34" s="2213"/>
      <c r="Q34" s="2213"/>
      <c r="R34" s="2213"/>
      <c r="S34" s="2213"/>
    </row>
    <row r="35" spans="1:19" s="286" customFormat="1" ht="15" customHeight="1">
      <c r="A35" s="2423">
        <v>58599</v>
      </c>
      <c r="B35" s="1808" t="s">
        <v>517</v>
      </c>
      <c r="C35" s="326">
        <f>SUM(C33:C34)</f>
        <v>1115.066</v>
      </c>
      <c r="D35" s="326">
        <f>SUM(D33:D34)</f>
        <v>746.57600000000002</v>
      </c>
      <c r="E35" s="326">
        <f>SUM(E33:E34)</f>
        <v>148.04599999999999</v>
      </c>
      <c r="F35" s="326">
        <f>SUM(F33:F34)</f>
        <v>31.261000000000003</v>
      </c>
      <c r="G35" s="326">
        <f>SUM(G33:G34)</f>
        <v>65.759</v>
      </c>
      <c r="H35" s="1226"/>
      <c r="I35" s="1227"/>
      <c r="J35" s="1227"/>
      <c r="K35" s="2429"/>
      <c r="L35" s="2213"/>
      <c r="M35" s="2445"/>
      <c r="N35" s="2458"/>
      <c r="O35" s="2213"/>
      <c r="P35" s="2213"/>
      <c r="Q35" s="2213"/>
      <c r="R35" s="2213"/>
      <c r="S35" s="2213"/>
    </row>
    <row r="36" spans="1:19" s="286" customFormat="1" ht="15" customHeight="1" thickBot="1">
      <c r="A36" s="2420"/>
      <c r="B36" s="2415"/>
      <c r="C36" s="2415"/>
      <c r="D36" s="2415"/>
      <c r="E36" s="2415"/>
      <c r="F36" s="2415"/>
      <c r="G36" s="2415"/>
      <c r="H36" s="2415"/>
      <c r="I36" s="2415"/>
      <c r="J36" s="2415"/>
      <c r="K36" s="2431"/>
      <c r="L36" s="2213"/>
      <c r="M36" s="2446"/>
      <c r="N36" s="2459"/>
      <c r="O36" s="2213"/>
      <c r="P36" s="2213"/>
      <c r="Q36" s="2213"/>
      <c r="R36" s="2213"/>
      <c r="S36" s="2213"/>
    </row>
    <row r="37" spans="1:19" s="286" customFormat="1" ht="16.5" customHeight="1">
      <c r="A37" s="1809"/>
      <c r="B37" s="1809"/>
      <c r="C37" s="72"/>
      <c r="D37" s="72"/>
      <c r="E37" s="72"/>
      <c r="F37" s="1267"/>
      <c r="G37" s="1999"/>
      <c r="H37" s="284"/>
      <c r="I37" s="1810"/>
      <c r="J37" s="1810"/>
      <c r="K37" s="1810"/>
      <c r="L37" s="284"/>
      <c r="M37" s="284"/>
      <c r="N37" s="284"/>
      <c r="O37" s="2213"/>
      <c r="P37" s="2213"/>
      <c r="Q37" s="2213"/>
      <c r="R37" s="2213"/>
      <c r="S37" s="2213"/>
    </row>
    <row r="38" spans="1:19" ht="20.25" customHeight="1">
      <c r="A38" s="1243"/>
      <c r="D38" s="72"/>
      <c r="E38" s="72"/>
      <c r="O38" s="2213"/>
      <c r="P38" s="2213"/>
      <c r="Q38" s="2213"/>
      <c r="R38" s="2213"/>
      <c r="S38" s="2213"/>
    </row>
    <row r="39" spans="1:19" hidden="1"/>
    <row r="40" spans="1:19" hidden="1"/>
    <row r="41" spans="1:19" hidden="1"/>
    <row r="42" spans="1:19" hidden="1"/>
    <row r="43" spans="1:19" hidden="1"/>
    <row r="44" spans="1:19" hidden="1"/>
    <row r="45" spans="1:19" hidden="1"/>
    <row r="46" spans="1:19" hidden="1"/>
    <row r="47" spans="1:19" hidden="1"/>
    <row r="48" spans="1:1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sheetProtection password="CBFD" sheet="1" objects="1" scenarios="1"/>
  <customSheetViews>
    <customSheetView guid="{97D6DB71-3F4C-4C5F-8C5B-51E3EBF78932}" showPageBreaks="1" showGridLines="0" hiddenRows="1" hiddenColumns="1">
      <selection activeCell="H34" sqref="H34"/>
      <pageMargins left="0.31496062992125984" right="0.31496062992125984" top="0.74803149606299213" bottom="0.74803149606299213" header="0.31496062992125984" footer="0.31496062992125984"/>
      <pageSetup paperSize="9" scale="85" orientation="landscape" r:id="rId1"/>
      <headerFooter>
        <oddHeader>&amp;L&amp;8Statistiska Centralbyrån
Offentlig ekonomi&amp;R&amp;P</oddHeader>
      </headerFooter>
    </customSheetView>
    <customSheetView guid="{99FBDEB7-DD08-4F57-81F4-3C180403E153}" showGridLines="0" hiddenRows="1" hiddenColumns="1">
      <selection activeCell="H34" sqref="H34"/>
      <pageMargins left="0.31496062992125984" right="0.31496062992125984" top="0.74803149606299213" bottom="0.74803149606299213" header="0.31496062992125984" footer="0.31496062992125984"/>
      <pageSetup paperSize="9" scale="85" orientation="landscape" r:id="rId2"/>
      <headerFooter>
        <oddHeader>&amp;L&amp;8Statistiska Centralbyrån
Offentlig ekonomi&amp;R&amp;P</oddHeader>
      </headerFooter>
    </customSheetView>
    <customSheetView guid="{27C9E95B-0E2B-454F-B637-1CECC9579A10}" showGridLines="0" hiddenRows="1" hiddenColumns="1" showRuler="0">
      <selection activeCell="E12" sqref="E12"/>
      <pageMargins left="0.31496062992125984" right="0.31496062992125984" top="0.74803149606299213" bottom="0.74803149606299213" header="0.31496062992125984" footer="0.31496062992125984"/>
      <pageSetup paperSize="9" scale="85" orientation="landscape" r:id="rId3"/>
      <headerFooter alignWithMargins="0">
        <oddHeader>&amp;L&amp;8Statistiska Centralbyrån
Offentlig ekonomi&amp;R&amp;P</oddHeader>
      </headerFooter>
    </customSheetView>
  </customSheetViews>
  <mergeCells count="6">
    <mergeCell ref="K4:K6"/>
    <mergeCell ref="D9:D11"/>
    <mergeCell ref="D6:D8"/>
    <mergeCell ref="E6:E8"/>
    <mergeCell ref="F6:F8"/>
    <mergeCell ref="G6:G8"/>
  </mergeCells>
  <phoneticPr fontId="87" type="noConversion"/>
  <conditionalFormatting sqref="G14:G17 G23:G25 G29:G30 C13:F17 C22:F25 C33:G34">
    <cfRule type="cellIs" dxfId="1" priority="25" stopIfTrue="1" operator="lessThan">
      <formula>-500</formula>
    </cfRule>
    <cfRule type="cellIs" dxfId="0" priority="26" stopIfTrue="1" operator="lessThan">
      <formula>0</formula>
    </cfRule>
  </conditionalFormatting>
  <dataValidations count="1">
    <dataValidation type="decimal" operator="lessThan" allowBlank="1" showInputMessage="1" showErrorMessage="1" error="Beloppet ska vara i 1000 tal kronor" sqref="G14:G17 G23:G25 G29:G30 C13:F17 C22:F25 C33:G34">
      <formula1>99999999</formula1>
    </dataValidation>
  </dataValidations>
  <pageMargins left="0.31496062992125984" right="0.31496062992125984" top="0.74803149606299213" bottom="0.74803149606299213" header="0.31496062992125984" footer="0.31496062992125984"/>
  <pageSetup paperSize="9" scale="79" orientation="landscape" r:id="rId4"/>
  <headerFooter>
    <oddHeader>&amp;L&amp;8Statistiska Centralbyrån
Offentlig ekonomi&amp;R&amp;P</oddHead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94</vt:i4>
      </vt:variant>
    </vt:vector>
  </HeadingPairs>
  <TitlesOfParts>
    <vt:vector size="105" baseType="lpstr">
      <vt:lpstr>Kn Information</vt:lpstr>
      <vt:lpstr>RR</vt:lpstr>
      <vt:lpstr>BR</vt:lpstr>
      <vt:lpstr>Verks int o kostn</vt:lpstr>
      <vt:lpstr>Skatter, bidrag o fin poster</vt:lpstr>
      <vt:lpstr>Investeringar</vt:lpstr>
      <vt:lpstr>Drift</vt:lpstr>
      <vt:lpstr>Motpart</vt:lpstr>
      <vt:lpstr>Pedagogisk verksamhet</vt:lpstr>
      <vt:lpstr>Äldre o personer funktionsn</vt:lpstr>
      <vt:lpstr>IFO</vt:lpstr>
      <vt:lpstr>'Skatter, bidrag o fin poster'!_GoBack</vt:lpstr>
      <vt:lpstr>Affärsverksamhet</vt:lpstr>
      <vt:lpstr>Balanskravsutredningen</vt:lpstr>
      <vt:lpstr>Barn_o_ungdomsvård</vt:lpstr>
      <vt:lpstr>Barnomsorg</vt:lpstr>
      <vt:lpstr>Bidrag_o_transfer.</vt:lpstr>
      <vt:lpstr>Block_1</vt:lpstr>
      <vt:lpstr>Block_2</vt:lpstr>
      <vt:lpstr>Block_3</vt:lpstr>
      <vt:lpstr>Block_6</vt:lpstr>
      <vt:lpstr>BR</vt:lpstr>
      <vt:lpstr>Drift</vt:lpstr>
      <vt:lpstr>EKchef</vt:lpstr>
      <vt:lpstr>Ekcheftel</vt:lpstr>
      <vt:lpstr>Epost1RS</vt:lpstr>
      <vt:lpstr>Epost2RS</vt:lpstr>
      <vt:lpstr>Epostaldre</vt:lpstr>
      <vt:lpstr>EpostAO</vt:lpstr>
      <vt:lpstr>EpostEkchef</vt:lpstr>
      <vt:lpstr>Epostforskola</vt:lpstr>
      <vt:lpstr>Epostgrund</vt:lpstr>
      <vt:lpstr>Epostgymn</vt:lpstr>
      <vt:lpstr>Eposthandik</vt:lpstr>
      <vt:lpstr>Epostifo</vt:lpstr>
      <vt:lpstr>EpostPV</vt:lpstr>
      <vt:lpstr>epostpvchef</vt:lpstr>
      <vt:lpstr>epostvochef</vt:lpstr>
      <vt:lpstr>Epostvux</vt:lpstr>
      <vt:lpstr>Extraordinära_RR</vt:lpstr>
      <vt:lpstr>Familjerätt</vt:lpstr>
      <vt:lpstr>Fritidshem</vt:lpstr>
      <vt:lpstr>Funktionsnedsättning</vt:lpstr>
      <vt:lpstr>Förskola</vt:lpstr>
      <vt:lpstr>Förskoleklass</vt:lpstr>
      <vt:lpstr>Förändring_anläggningstillgångar</vt:lpstr>
      <vt:lpstr>Grundskola</vt:lpstr>
      <vt:lpstr>Grundsärskola</vt:lpstr>
      <vt:lpstr>Grundvux</vt:lpstr>
      <vt:lpstr>Gymnasieskola</vt:lpstr>
      <vt:lpstr>Gymnasiesärskola</vt:lpstr>
      <vt:lpstr>Gymnvux</vt:lpstr>
      <vt:lpstr>inv7_15</vt:lpstr>
      <vt:lpstr>invanare</vt:lpstr>
      <vt:lpstr>Investeringar</vt:lpstr>
      <vt:lpstr>Invånare</vt:lpstr>
      <vt:lpstr>Jämförelsestörande_RR</vt:lpstr>
      <vt:lpstr>Kontaktpers1RS</vt:lpstr>
      <vt:lpstr>Kontaktpers2RS</vt:lpstr>
      <vt:lpstr>Kontaktpersaldre</vt:lpstr>
      <vt:lpstr>KontaktpersAO</vt:lpstr>
      <vt:lpstr>Kontaktpersforskola</vt:lpstr>
      <vt:lpstr>Kontaktpersgrund</vt:lpstr>
      <vt:lpstr>Kontaktpersgymn</vt:lpstr>
      <vt:lpstr>Kontaktpershandik</vt:lpstr>
      <vt:lpstr>Kontaktpersifo</vt:lpstr>
      <vt:lpstr>KontaktpersPV</vt:lpstr>
      <vt:lpstr>Kontaktpersvux</vt:lpstr>
      <vt:lpstr>Kontakttel1RS</vt:lpstr>
      <vt:lpstr>Kontakttel2RS</vt:lpstr>
      <vt:lpstr>Kontakttelaldre</vt:lpstr>
      <vt:lpstr>KontakttelAO</vt:lpstr>
      <vt:lpstr>Kontakttelforskola</vt:lpstr>
      <vt:lpstr>Kontakttelgrund</vt:lpstr>
      <vt:lpstr>Kontakttelgymn</vt:lpstr>
      <vt:lpstr>Kontakttelhandik</vt:lpstr>
      <vt:lpstr>Kontakttelifo</vt:lpstr>
      <vt:lpstr>Kontakttelpv</vt:lpstr>
      <vt:lpstr>Kontakttelpvchef</vt:lpstr>
      <vt:lpstr>Kontakttelvux</vt:lpstr>
      <vt:lpstr>Kontakttevochef</vt:lpstr>
      <vt:lpstr>Köp_huvudvht</vt:lpstr>
      <vt:lpstr>LSS</vt:lpstr>
      <vt:lpstr>Pvchef</vt:lpstr>
      <vt:lpstr>Skatter_bidrag_finpost</vt:lpstr>
      <vt:lpstr>Spec_intäkter</vt:lpstr>
      <vt:lpstr>Spec_VoO</vt:lpstr>
      <vt:lpstr>Tillägg_1_Invest</vt:lpstr>
      <vt:lpstr>Tillägg_2_Invest</vt:lpstr>
      <vt:lpstr>Utbildning</vt:lpstr>
      <vt:lpstr>Drift!Utskriftsområde</vt:lpstr>
      <vt:lpstr>Investeringar!Utskriftsområde</vt:lpstr>
      <vt:lpstr>'Kn Information'!Utskriftsområde</vt:lpstr>
      <vt:lpstr>Motpart!Utskriftsområde</vt:lpstr>
      <vt:lpstr>RR!Utskriftsområde</vt:lpstr>
      <vt:lpstr>'Äldre o personer funktionsn'!Utskriftsområde</vt:lpstr>
      <vt:lpstr>Drift!Utskriftsrubriker</vt:lpstr>
      <vt:lpstr>Motpart!Utskriftsrubriker</vt:lpstr>
      <vt:lpstr>Vht_int</vt:lpstr>
      <vt:lpstr>Vht_kostn</vt:lpstr>
      <vt:lpstr>VOchef</vt:lpstr>
      <vt:lpstr>Vuxna_missb.</vt:lpstr>
      <vt:lpstr>ÄF_inkl_IFO</vt:lpstr>
      <vt:lpstr>Äldre</vt:lpstr>
      <vt:lpstr>Övr._o_ek.bistånd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Wizell</dc:creator>
  <cp:lastModifiedBy>Glanzelius Marie NR/OEM-Ö</cp:lastModifiedBy>
  <cp:lastPrinted>2017-01-24T13:58:32Z</cp:lastPrinted>
  <dcterms:created xsi:type="dcterms:W3CDTF">2008-10-17T09:37:32Z</dcterms:created>
  <dcterms:modified xsi:type="dcterms:W3CDTF">2021-08-24T14:00:14Z</dcterms:modified>
</cp:coreProperties>
</file>