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updateLinks="never" codeName="ThisWorkbook"/>
  <mc:AlternateContent xmlns:mc="http://schemas.openxmlformats.org/markup-compatibility/2006">
    <mc:Choice Requires="x15">
      <x15ac:absPath xmlns:x15ac="http://schemas.microsoft.com/office/spreadsheetml/2010/11/ac" url="P:\Prod\NR\Offentlig Ekonomi\RS\RS2022\Rikstotal\20230831\"/>
    </mc:Choice>
  </mc:AlternateContent>
  <xr:revisionPtr revIDLastSave="0" documentId="13_ncr:1_{35394880-5205-45ED-80D2-95937F0A1FD4}" xr6:coauthVersionLast="47" xr6:coauthVersionMax="47" xr10:uidLastSave="{00000000-0000-0000-0000-000000000000}"/>
  <workbookProtection workbookAlgorithmName="SHA-512" workbookHashValue="4Z07zvH5MkUNk92CZJHsRpaiNElC9hxQt6AblihZiaO/kKck8OgRhk7K/IJELaBrsjLf2mzpewmmT7uu2zlJQA==" workbookSaltValue="44+S9w5BlYX4Z4r40PfNnA==" workbookSpinCount="100000" lockStructure="1"/>
  <bookViews>
    <workbookView xWindow="120" yWindow="15" windowWidth="28665" windowHeight="15090"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Motpart!$N$47</definedName>
    <definedName name="Block_1">Drift!$Z$11</definedName>
    <definedName name="Block_2">Drift!$Z$18</definedName>
    <definedName name="Block_3">Drift!$Z$31</definedName>
    <definedName name="Block_6">Drift!$Z$86</definedName>
    <definedName name="BR">BR!$A$88</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funktionsn'!$T$22</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#REF!</definedName>
    <definedName name="Kontrollblad_10">#REF!</definedName>
    <definedName name="Kontrollblad_11">#REF!</definedName>
    <definedName name="Kontrollblad_12">#REF!</definedName>
    <definedName name="Kontrollblad_13">#REF!</definedName>
    <definedName name="Kontrollblad_14">#REF!</definedName>
    <definedName name="Kontrollblad_15">#REF!</definedName>
    <definedName name="Kontrollblad_16">#REF!</definedName>
    <definedName name="Kontrollblad_17">#REF!</definedName>
    <definedName name="Kontrollblad_18">#REF!</definedName>
    <definedName name="Kontrollblad_19">#REF!</definedName>
    <definedName name="Kontrollblad_2">#REF!</definedName>
    <definedName name="Kontrollblad_3">#REF!</definedName>
    <definedName name="Kontrollblad_4">#REF!</definedName>
    <definedName name="Kontrollblad_5">#REF!</definedName>
    <definedName name="Kontrollblad_6">#REF!</definedName>
    <definedName name="Kontrollblad_7">#REF!</definedName>
    <definedName name="Kontrollblad_8">#REF!</definedName>
    <definedName name="Kontrollblad_9">#REF!</definedName>
    <definedName name="Köp_huvudvht">Motpart!$C$47</definedName>
    <definedName name="LSS">'Äldre o personer funktionsn'!$T$32</definedName>
    <definedName name="Pvchef">Information!$B$26</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Motpart!$Y$47</definedName>
    <definedName name="Spec_VoO">'Äldre o personer funktionsn'!$R$46</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Motpart!$A$1:$AD$51</definedName>
    <definedName name="_xlnm.Print_Area" localSheetId="1">RR!$A$1:$K$56</definedName>
    <definedName name="_xlnm.Print_Area" localSheetId="9">'Äldre o personer funktionsn'!$A$1:$U$59</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BR!$94:$65536,BR!#REF!,BR!$89:$89</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Motpart!$53:$65536</definedName>
    <definedName name="Z_27C9E95B_0E2B_454F_B637_1CECC9579A10_.wvu.Rows" localSheetId="8" hidden="1">'Pedagogisk verksamhet'!$105:$65536</definedName>
    <definedName name="Z_27C9E95B_0E2B_454F_B637_1CECC9579A10_.wvu.Rows" localSheetId="1" hidden="1">RR!$66:$65544,RR!$58:$58</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funktionsn'!$61:$65536</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BR!#REF!,BR!#REF!,BR!$89:$89</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RR!#REF!,RR!$58:$58</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BR!#REF!,BR!#REF!,BR!$89:$89</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RR!#REF!,RR!$58:$58</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BR!$94:$65536,BR!#REF!,BR!$89:$89</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Motpart!$53:$65536</definedName>
    <definedName name="Z_FA98FB86_76DB_4A0E_BD94_632DC6B7BC81_.wvu.Rows" localSheetId="8" hidden="1">'Pedagogisk verksamhet'!$105:$65536</definedName>
    <definedName name="Z_FA98FB86_76DB_4A0E_BD94_632DC6B7BC81_.wvu.Rows" localSheetId="1" hidden="1">RR!$66:$65544,RR!$58:$58</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funktionsn'!$61:$65536</definedName>
    <definedName name="År">2022</definedName>
    <definedName name="ÄF_inkl_IFO">Drift!$Z$72</definedName>
    <definedName name="Äldre">'Äldre o personer funktionsn'!$T$12</definedName>
    <definedName name="Övr._o_ek.bistånd">IFO!$P$30</definedName>
  </definedNames>
  <calcPr calcId="191029"/>
  <customWorkbookViews>
    <customWorkbookView name="SCB - Personlig vy" guid="{27C9E95B-0E2B-454F-B637-1CECC9579A10}" mergeInterval="0" personalView="1" maximized="1" windowWidth="1916" windowHeight="881" tabRatio="806" activeSheetId="4"/>
    <customWorkbookView name="scbingj - Personlig vy" guid="{99FBDEB7-DD08-4F57-81F4-3C180403E153}" mergeInterval="0" personalView="1" maximized="1" xWindow="1" yWindow="1" windowWidth="1916" windowHeight="839" tabRatio="806" activeSheetId="10"/>
    <customWorkbookView name="scbelie - Personlig vy" guid="{97D6DB71-3F4C-4C5F-8C5B-51E3EBF78932}" mergeInterval="0" personalView="1" maximized="1" xWindow="1" yWindow="1" windowWidth="1676" windowHeight="829" tabRatio="806" activeSheetId="11"/>
    <customWorkbookView name="Håkan Wilén - Personlig vy" guid="{FA98FB86-76DB-4A0E-BD94-632DC6B7BC81}" mergeInterval="0" personalView="1" maximized="1" xWindow="1" yWindow="1" windowWidth="1680" windowHeight="829" tabRatio="80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2" l="1"/>
  <c r="I33" i="12"/>
  <c r="I32" i="12"/>
  <c r="I31" i="12"/>
  <c r="I30" i="12"/>
  <c r="I29" i="12"/>
  <c r="I26" i="12"/>
  <c r="I25" i="12"/>
  <c r="I24" i="12"/>
  <c r="I23" i="12"/>
  <c r="I22" i="12"/>
  <c r="I21" i="12"/>
  <c r="I18" i="12"/>
  <c r="I17" i="12"/>
  <c r="I16" i="12"/>
  <c r="I15" i="12"/>
  <c r="I14" i="12"/>
  <c r="I13" i="12"/>
  <c r="I12" i="12"/>
  <c r="J1" i="12"/>
  <c r="A1" i="12"/>
  <c r="M35" i="11"/>
  <c r="M34" i="11"/>
  <c r="M33" i="11"/>
  <c r="M32" i="11"/>
  <c r="M31" i="11"/>
  <c r="M27" i="11"/>
  <c r="M26" i="11"/>
  <c r="M25" i="11"/>
  <c r="M24" i="11"/>
  <c r="M23" i="11"/>
  <c r="M22" i="11"/>
  <c r="M21" i="11"/>
  <c r="M17" i="11"/>
  <c r="M16" i="11"/>
  <c r="M15" i="11"/>
  <c r="M14" i="11"/>
  <c r="M13" i="11"/>
  <c r="M12" i="11"/>
  <c r="P1" i="11"/>
  <c r="A1" i="11"/>
  <c r="M99" i="10"/>
  <c r="M98" i="10"/>
  <c r="M97" i="10"/>
  <c r="M96" i="10"/>
  <c r="M91" i="10"/>
  <c r="M90" i="10"/>
  <c r="M9" i="10"/>
  <c r="M89" i="10"/>
  <c r="M88" i="10"/>
  <c r="M87" i="10"/>
  <c r="M84" i="10"/>
  <c r="M83" i="10"/>
  <c r="M82" i="10"/>
  <c r="M81" i="10"/>
  <c r="M80" i="10"/>
  <c r="M8" i="10"/>
  <c r="M79" i="10"/>
  <c r="M78" i="10"/>
  <c r="M77" i="10"/>
  <c r="M76" i="10"/>
  <c r="M75" i="10"/>
  <c r="M74" i="10"/>
  <c r="M73" i="10"/>
  <c r="M70" i="10"/>
  <c r="M69" i="10"/>
  <c r="M68" i="10"/>
  <c r="M67" i="10"/>
  <c r="M66" i="10"/>
  <c r="M65" i="10"/>
  <c r="M64" i="10"/>
  <c r="M63" i="10"/>
  <c r="M62" i="10"/>
  <c r="M61" i="10"/>
  <c r="M60" i="10"/>
  <c r="M59" i="10"/>
  <c r="M56" i="10"/>
  <c r="M55" i="10"/>
  <c r="M54" i="10"/>
  <c r="M53" i="10"/>
  <c r="M52" i="10"/>
  <c r="M51" i="10"/>
  <c r="M50" i="10"/>
  <c r="M49" i="10"/>
  <c r="M48" i="10"/>
  <c r="M47" i="10"/>
  <c r="M46" i="10"/>
  <c r="M45" i="10"/>
  <c r="M42" i="10"/>
  <c r="M41" i="10"/>
  <c r="M40" i="10"/>
  <c r="M39" i="10"/>
  <c r="M38" i="10"/>
  <c r="M37" i="10"/>
  <c r="M36" i="10"/>
  <c r="M35" i="10"/>
  <c r="M34" i="10"/>
  <c r="M33" i="10"/>
  <c r="M32" i="10"/>
  <c r="M30" i="10"/>
  <c r="M29" i="10"/>
  <c r="M28" i="10"/>
  <c r="M27" i="10"/>
  <c r="M25" i="10"/>
  <c r="M24" i="10"/>
  <c r="M22" i="10"/>
  <c r="M21" i="10"/>
  <c r="M20" i="10"/>
  <c r="M19" i="10"/>
  <c r="M17" i="10"/>
  <c r="M16" i="10"/>
  <c r="M14" i="10"/>
  <c r="M13" i="10"/>
  <c r="M12" i="10"/>
  <c r="M11" i="10"/>
  <c r="M100" i="10"/>
  <c r="J1" i="10"/>
  <c r="A1" i="10"/>
  <c r="AA1" i="9"/>
  <c r="K1" i="9"/>
  <c r="S1" i="9"/>
  <c r="C1" i="9"/>
  <c r="Z1" i="8"/>
  <c r="J1" i="8"/>
  <c r="R1" i="8"/>
  <c r="C1" i="8"/>
  <c r="H1" i="7"/>
  <c r="A1" i="7"/>
  <c r="T1" i="20"/>
  <c r="A1" i="20"/>
  <c r="J1" i="19"/>
  <c r="M38" i="19"/>
  <c r="A1" i="19"/>
  <c r="D37" i="19"/>
  <c r="F1" i="4"/>
  <c r="A1" i="4"/>
  <c r="G1" i="17"/>
  <c r="A1" i="17"/>
  <c r="L68" i="4"/>
  <c r="N38" i="19"/>
  <c r="M39" i="19"/>
  <c r="N39" i="19"/>
  <c r="C46" i="19"/>
  <c r="L14" i="11" l="1"/>
  <c r="L15" i="11"/>
  <c r="K15" i="11"/>
  <c r="K14" i="11"/>
  <c r="K24" i="11"/>
  <c r="O15" i="11" l="1"/>
  <c r="D37" i="11" l="1"/>
  <c r="E37" i="11"/>
  <c r="F37" i="11"/>
  <c r="G37" i="11"/>
  <c r="H37" i="11"/>
  <c r="I37" i="11"/>
  <c r="J37" i="11"/>
  <c r="C37" i="11"/>
  <c r="D29" i="11"/>
  <c r="E29" i="11"/>
  <c r="F29" i="11"/>
  <c r="G29" i="11"/>
  <c r="H29" i="11"/>
  <c r="I29" i="11"/>
  <c r="J29" i="11"/>
  <c r="C29" i="11"/>
  <c r="M71" i="4" l="1"/>
  <c r="O14" i="11" l="1"/>
  <c r="AC41" i="9" l="1"/>
  <c r="E22" i="19"/>
  <c r="F68" i="4"/>
  <c r="F65" i="4"/>
  <c r="F64" i="4"/>
  <c r="F63" i="4"/>
  <c r="J65" i="4" l="1"/>
  <c r="F61" i="4" l="1"/>
  <c r="B85" i="4"/>
  <c r="L37" i="19" l="1"/>
  <c r="D31" i="19" l="1"/>
  <c r="L61" i="4"/>
  <c r="N34" i="9"/>
  <c r="N32" i="9"/>
  <c r="C34" i="9"/>
  <c r="C32" i="9"/>
  <c r="R36" i="11" l="1"/>
  <c r="R23" i="11"/>
  <c r="R14" i="11"/>
  <c r="E41" i="20" l="1"/>
  <c r="J7" i="7" l="1"/>
  <c r="L60" i="4"/>
  <c r="L59" i="4"/>
  <c r="J17" i="17" l="1"/>
  <c r="J32" i="19" l="1"/>
  <c r="J30" i="19"/>
  <c r="J25" i="19"/>
  <c r="N49" i="4" l="1"/>
  <c r="M48" i="4"/>
  <c r="M47" i="4"/>
  <c r="F50" i="4"/>
  <c r="F47" i="4"/>
  <c r="F45" i="4"/>
  <c r="E57" i="4" l="1"/>
  <c r="D57" i="4"/>
  <c r="D49" i="4"/>
  <c r="F49" i="4" s="1"/>
  <c r="M49" i="4" l="1"/>
  <c r="E34" i="19" l="1"/>
  <c r="F21" i="4"/>
  <c r="L69" i="4" l="1"/>
  <c r="J29" i="19" l="1"/>
  <c r="P125" i="8" l="1"/>
  <c r="C52" i="19" l="1"/>
  <c r="D53" i="19"/>
  <c r="B35" i="17" l="1"/>
  <c r="B34" i="17"/>
  <c r="G42" i="11" l="1"/>
  <c r="G41" i="11"/>
  <c r="AB41" i="9"/>
  <c r="AA41" i="9"/>
  <c r="Z41" i="9"/>
  <c r="Y41" i="9"/>
  <c r="I17" i="17" l="1"/>
  <c r="F30" i="4"/>
  <c r="R15" i="20" l="1"/>
  <c r="R16" i="20"/>
  <c r="D39" i="20" l="1"/>
  <c r="K30" i="20"/>
  <c r="D28" i="20"/>
  <c r="K16" i="20"/>
  <c r="D14" i="20"/>
  <c r="C11" i="17" s="1"/>
  <c r="C11" i="20"/>
  <c r="C10" i="20"/>
  <c r="C9" i="20"/>
  <c r="R8" i="20"/>
  <c r="C12" i="17" l="1"/>
  <c r="K31" i="20"/>
  <c r="K17" i="20"/>
  <c r="E12" i="10" l="1"/>
  <c r="C26" i="10"/>
  <c r="C18" i="10"/>
  <c r="C10" i="10"/>
  <c r="J8" i="7" l="1"/>
  <c r="J10" i="7"/>
  <c r="J9" i="7"/>
  <c r="D76" i="19" l="1"/>
  <c r="D71" i="19"/>
  <c r="N67" i="19"/>
  <c r="N60" i="19"/>
  <c r="D58" i="19"/>
  <c r="N49" i="19"/>
  <c r="N48" i="19"/>
  <c r="N45" i="19"/>
  <c r="D44" i="19"/>
  <c r="D36" i="19"/>
  <c r="D26" i="19"/>
  <c r="N22" i="19"/>
  <c r="D16" i="19"/>
  <c r="N16" i="19" s="1"/>
  <c r="N13" i="19"/>
  <c r="D12" i="19"/>
  <c r="N8" i="19"/>
  <c r="N6" i="19"/>
  <c r="M6" i="19"/>
  <c r="L4" i="19"/>
  <c r="E26" i="19" l="1"/>
  <c r="N44" i="19"/>
  <c r="N12" i="19"/>
  <c r="N26" i="19"/>
  <c r="N58" i="19"/>
  <c r="N71" i="19"/>
  <c r="N31" i="19"/>
  <c r="D75" i="19"/>
  <c r="D35" i="19"/>
  <c r="W122" i="8" l="1"/>
  <c r="I55" i="17" l="1"/>
  <c r="J51" i="17"/>
  <c r="I51" i="17"/>
  <c r="B43" i="17"/>
  <c r="B39" i="17"/>
  <c r="B38" i="17"/>
  <c r="B37" i="17"/>
  <c r="B36" i="17"/>
  <c r="B33" i="17"/>
  <c r="B32" i="17"/>
  <c r="B31" i="17"/>
  <c r="J14" i="17"/>
  <c r="I14" i="17"/>
  <c r="D10" i="17"/>
  <c r="C10" i="17"/>
  <c r="J9" i="17"/>
  <c r="I9" i="17"/>
  <c r="J8" i="17"/>
  <c r="I8" i="17"/>
  <c r="J7" i="17"/>
  <c r="I7" i="17"/>
  <c r="D11" i="17" l="1"/>
  <c r="J11" i="17" s="1"/>
  <c r="I10" i="17"/>
  <c r="I11" i="17"/>
  <c r="J10" i="17"/>
  <c r="F19" i="4" l="1"/>
  <c r="Q36" i="11" l="1"/>
  <c r="I38" i="10" l="1"/>
  <c r="A5" i="2" l="1"/>
  <c r="A4" i="2"/>
  <c r="I99" i="10" l="1"/>
  <c r="I90" i="10"/>
  <c r="I79" i="10"/>
  <c r="I65" i="10"/>
  <c r="I51" i="10"/>
  <c r="D32" i="12" l="1"/>
  <c r="D30" i="12"/>
  <c r="D29" i="12"/>
  <c r="D21" i="12"/>
  <c r="D12" i="12"/>
  <c r="D31" i="11"/>
  <c r="D21" i="11"/>
  <c r="D12" i="11"/>
  <c r="F85" i="4"/>
  <c r="L58" i="4"/>
  <c r="F54" i="4"/>
  <c r="F52" i="4"/>
  <c r="N57" i="4"/>
  <c r="K55" i="4"/>
  <c r="F55" i="4"/>
  <c r="J55" i="4"/>
  <c r="F51" i="4"/>
  <c r="F9" i="4"/>
  <c r="D35" i="12"/>
  <c r="E35" i="12"/>
  <c r="D26" i="12"/>
  <c r="E26" i="12"/>
  <c r="D27" i="12"/>
  <c r="E27" i="12"/>
  <c r="D19" i="12"/>
  <c r="E19" i="12"/>
  <c r="D18" i="12"/>
  <c r="E18" i="12"/>
  <c r="E32" i="12"/>
  <c r="E30" i="12"/>
  <c r="E29" i="12"/>
  <c r="E21" i="12"/>
  <c r="E12" i="12"/>
  <c r="L25" i="11"/>
  <c r="L26" i="11"/>
  <c r="K25" i="11"/>
  <c r="O25" i="11" s="1"/>
  <c r="K26" i="11"/>
  <c r="O26" i="11" s="1"/>
  <c r="L33" i="11"/>
  <c r="L34" i="11"/>
  <c r="L35" i="11"/>
  <c r="L36" i="11"/>
  <c r="L32" i="11"/>
  <c r="L23" i="11"/>
  <c r="L24" i="11"/>
  <c r="L27" i="11"/>
  <c r="L28" i="11"/>
  <c r="L16" i="11"/>
  <c r="L17" i="11"/>
  <c r="L18" i="11"/>
  <c r="L13" i="11"/>
  <c r="L22" i="11"/>
  <c r="D19" i="11"/>
  <c r="H15" i="7"/>
  <c r="G15" i="7"/>
  <c r="D98" i="7"/>
  <c r="C98" i="7"/>
  <c r="E98" i="7" s="1"/>
  <c r="E32" i="4"/>
  <c r="N32" i="4" s="1"/>
  <c r="D30" i="4"/>
  <c r="D26" i="4"/>
  <c r="F26" i="4" s="1"/>
  <c r="M78" i="4"/>
  <c r="M76" i="4"/>
  <c r="AB110" i="8"/>
  <c r="J8" i="12"/>
  <c r="I8" i="12"/>
  <c r="K4" i="12"/>
  <c r="O4" i="11"/>
  <c r="N8" i="11"/>
  <c r="M8" i="11"/>
  <c r="AC4" i="8"/>
  <c r="AG38" i="8"/>
  <c r="AG62" i="8"/>
  <c r="AF38" i="8"/>
  <c r="AE5" i="8"/>
  <c r="AB5" i="8"/>
  <c r="AA5" i="8"/>
  <c r="AE4" i="8"/>
  <c r="Z5" i="8"/>
  <c r="M75" i="4"/>
  <c r="I31" i="11"/>
  <c r="I21" i="11"/>
  <c r="M6" i="12"/>
  <c r="F12" i="12"/>
  <c r="G12" i="12"/>
  <c r="G13" i="12"/>
  <c r="H13" i="12" s="1"/>
  <c r="H14" i="12"/>
  <c r="H15" i="12"/>
  <c r="K15" i="12"/>
  <c r="H16" i="12"/>
  <c r="K16" i="12" s="1"/>
  <c r="H17" i="12"/>
  <c r="K17" i="12" s="1"/>
  <c r="C18" i="12"/>
  <c r="F18" i="12"/>
  <c r="G18" i="12"/>
  <c r="C19" i="12"/>
  <c r="F19" i="12"/>
  <c r="F21" i="12"/>
  <c r="G21" i="12"/>
  <c r="G22" i="12"/>
  <c r="H22" i="12" s="1"/>
  <c r="K22" i="12"/>
  <c r="H23" i="12"/>
  <c r="K23" i="12" s="1"/>
  <c r="H24" i="12"/>
  <c r="K24" i="12"/>
  <c r="H25" i="12"/>
  <c r="K25" i="12" s="1"/>
  <c r="C26" i="12"/>
  <c r="F26" i="12"/>
  <c r="G26" i="12"/>
  <c r="C27" i="12"/>
  <c r="F27" i="12"/>
  <c r="F29" i="12"/>
  <c r="F30" i="12"/>
  <c r="F32" i="12"/>
  <c r="G32" i="12"/>
  <c r="H33" i="12"/>
  <c r="K33" i="12" s="1"/>
  <c r="H34" i="12"/>
  <c r="K34" i="12" s="1"/>
  <c r="C35" i="12"/>
  <c r="F35" i="12"/>
  <c r="G35" i="12"/>
  <c r="Q6" i="11"/>
  <c r="E12" i="11"/>
  <c r="C49" i="11" s="1"/>
  <c r="F12" i="11"/>
  <c r="G12" i="11"/>
  <c r="H12" i="11"/>
  <c r="I12" i="11"/>
  <c r="J12" i="11"/>
  <c r="K13" i="11"/>
  <c r="O13" i="11" s="1"/>
  <c r="K16" i="11"/>
  <c r="K17" i="11"/>
  <c r="K18" i="11"/>
  <c r="C19" i="11"/>
  <c r="E19" i="11"/>
  <c r="F19" i="11"/>
  <c r="G19" i="11"/>
  <c r="H19" i="11"/>
  <c r="I19" i="11"/>
  <c r="J19" i="11"/>
  <c r="E21" i="11"/>
  <c r="F21" i="11"/>
  <c r="G21" i="11"/>
  <c r="H21" i="11"/>
  <c r="J21" i="11"/>
  <c r="K22" i="11"/>
  <c r="K23" i="11"/>
  <c r="K27" i="11"/>
  <c r="K28" i="11"/>
  <c r="E31" i="11"/>
  <c r="F31" i="11"/>
  <c r="G31" i="11"/>
  <c r="H31" i="11"/>
  <c r="J31" i="11"/>
  <c r="K32" i="11"/>
  <c r="K33" i="11"/>
  <c r="O33" i="11"/>
  <c r="K34" i="11"/>
  <c r="K35" i="11"/>
  <c r="O35" i="11"/>
  <c r="K36" i="11"/>
  <c r="E49" i="11"/>
  <c r="F49" i="11"/>
  <c r="G49" i="11"/>
  <c r="H49" i="11"/>
  <c r="I49" i="11"/>
  <c r="J49" i="11"/>
  <c r="L49" i="11"/>
  <c r="M49" i="11"/>
  <c r="C50" i="11"/>
  <c r="C51" i="11"/>
  <c r="C52" i="11"/>
  <c r="E53" i="11"/>
  <c r="F53" i="11"/>
  <c r="G53" i="11"/>
  <c r="H53" i="11"/>
  <c r="I53" i="11"/>
  <c r="J53" i="11"/>
  <c r="L53" i="11"/>
  <c r="M53" i="11"/>
  <c r="C54" i="11"/>
  <c r="C55" i="11"/>
  <c r="C56" i="11"/>
  <c r="E57" i="11"/>
  <c r="F57" i="11"/>
  <c r="G57" i="11"/>
  <c r="H57" i="11"/>
  <c r="I57" i="11"/>
  <c r="J57" i="11"/>
  <c r="L57" i="11"/>
  <c r="M57" i="11"/>
  <c r="C58" i="11"/>
  <c r="M7" i="10"/>
  <c r="D8" i="10"/>
  <c r="F8" i="10"/>
  <c r="G8" i="10"/>
  <c r="D16" i="10"/>
  <c r="F16" i="10"/>
  <c r="G16" i="10"/>
  <c r="E20" i="10"/>
  <c r="D24" i="10"/>
  <c r="F24" i="10"/>
  <c r="G24" i="10"/>
  <c r="D31" i="10"/>
  <c r="F31" i="10"/>
  <c r="G31" i="10"/>
  <c r="G40" i="10" s="1"/>
  <c r="G43" i="10" s="1"/>
  <c r="D44" i="10"/>
  <c r="F44" i="10"/>
  <c r="G44" i="10"/>
  <c r="G53" i="10" s="1"/>
  <c r="G57" i="10" s="1"/>
  <c r="D58" i="10"/>
  <c r="F58" i="10"/>
  <c r="G58" i="10"/>
  <c r="G67" i="10" s="1"/>
  <c r="G71" i="10" s="1"/>
  <c r="D72" i="10"/>
  <c r="F72" i="10"/>
  <c r="G72" i="10"/>
  <c r="G81" i="10" s="1"/>
  <c r="G85" i="10" s="1"/>
  <c r="D86" i="10"/>
  <c r="F86" i="10"/>
  <c r="G86" i="10"/>
  <c r="G93" i="10" s="1"/>
  <c r="G94" i="10" s="1"/>
  <c r="D95" i="10"/>
  <c r="F95" i="10"/>
  <c r="G95" i="10"/>
  <c r="G102" i="10" s="1"/>
  <c r="G103" i="10" s="1"/>
  <c r="C13" i="9"/>
  <c r="M13" i="9" s="1"/>
  <c r="N13" i="9"/>
  <c r="X13" i="9" s="1"/>
  <c r="C14" i="9"/>
  <c r="M14" i="9" s="1"/>
  <c r="N14" i="9"/>
  <c r="X14" i="9" s="1"/>
  <c r="C15" i="9"/>
  <c r="M15" i="9" s="1"/>
  <c r="N15" i="9"/>
  <c r="X15" i="9" s="1"/>
  <c r="C16" i="9"/>
  <c r="M16" i="9" s="1"/>
  <c r="N16" i="9"/>
  <c r="X16" i="9" s="1"/>
  <c r="C17" i="9"/>
  <c r="M17" i="9" s="1"/>
  <c r="N17" i="9"/>
  <c r="X17" i="9" s="1"/>
  <c r="C18" i="9"/>
  <c r="M18" i="9" s="1"/>
  <c r="N18" i="9"/>
  <c r="X18" i="9" s="1"/>
  <c r="C19" i="9"/>
  <c r="M19" i="9" s="1"/>
  <c r="N19" i="9"/>
  <c r="X19" i="9" s="1"/>
  <c r="C20" i="9"/>
  <c r="M20" i="9" s="1"/>
  <c r="N20" i="9"/>
  <c r="X20" i="9" s="1"/>
  <c r="C21" i="9"/>
  <c r="M21" i="9" s="1"/>
  <c r="N21" i="9"/>
  <c r="X21" i="9" s="1"/>
  <c r="C22" i="9"/>
  <c r="M22" i="9" s="1"/>
  <c r="N22" i="9"/>
  <c r="X22" i="9" s="1"/>
  <c r="C23" i="9"/>
  <c r="M23" i="9" s="1"/>
  <c r="N23" i="9"/>
  <c r="X23" i="9" s="1"/>
  <c r="C24" i="9"/>
  <c r="M24" i="9" s="1"/>
  <c r="N24" i="9"/>
  <c r="X24" i="9" s="1"/>
  <c r="C25" i="9"/>
  <c r="M25" i="9" s="1"/>
  <c r="N25" i="9"/>
  <c r="X25" i="9" s="1"/>
  <c r="C26" i="9"/>
  <c r="M26" i="9" s="1"/>
  <c r="N26" i="9"/>
  <c r="X26" i="9" s="1"/>
  <c r="C27" i="9"/>
  <c r="M27" i="9" s="1"/>
  <c r="N27" i="9"/>
  <c r="X27" i="9" s="1"/>
  <c r="C28" i="9"/>
  <c r="M28" i="9" s="1"/>
  <c r="N28" i="9"/>
  <c r="X28" i="9" s="1"/>
  <c r="C29" i="9"/>
  <c r="M29" i="9" s="1"/>
  <c r="N29" i="9"/>
  <c r="X29" i="9" s="1"/>
  <c r="C30" i="9"/>
  <c r="M30" i="9" s="1"/>
  <c r="N30" i="9"/>
  <c r="X30" i="9" s="1"/>
  <c r="C31" i="9"/>
  <c r="M31" i="9" s="1"/>
  <c r="N31" i="9"/>
  <c r="M32" i="9"/>
  <c r="X32" i="9"/>
  <c r="C33" i="9"/>
  <c r="N33" i="9"/>
  <c r="X33" i="9" s="1"/>
  <c r="M34" i="9"/>
  <c r="X34" i="9"/>
  <c r="C35" i="9"/>
  <c r="M35" i="9" s="1"/>
  <c r="N35" i="9"/>
  <c r="C36" i="9"/>
  <c r="M36" i="9" s="1"/>
  <c r="N36" i="9"/>
  <c r="X36" i="9" s="1"/>
  <c r="C37" i="9"/>
  <c r="M37" i="9" s="1"/>
  <c r="N37" i="9"/>
  <c r="X37" i="9" s="1"/>
  <c r="C39" i="9"/>
  <c r="M39" i="9" s="1"/>
  <c r="N39" i="9"/>
  <c r="X39" i="9" s="1"/>
  <c r="D40" i="9"/>
  <c r="E40" i="9"/>
  <c r="F40" i="9"/>
  <c r="G40" i="9"/>
  <c r="H40" i="9"/>
  <c r="I40" i="9"/>
  <c r="J40" i="9"/>
  <c r="K40" i="9"/>
  <c r="L40" i="9"/>
  <c r="O40" i="9"/>
  <c r="P40" i="9"/>
  <c r="Q40" i="9"/>
  <c r="R40" i="9"/>
  <c r="E19" i="19" s="1"/>
  <c r="S40" i="9"/>
  <c r="T40" i="9"/>
  <c r="U40" i="9"/>
  <c r="V40" i="9"/>
  <c r="W40" i="9"/>
  <c r="Y40" i="9"/>
  <c r="Z40" i="9"/>
  <c r="AA40" i="9"/>
  <c r="AB40" i="9"/>
  <c r="AC40" i="9"/>
  <c r="AC42" i="9" s="1"/>
  <c r="W13" i="8"/>
  <c r="AH13" i="8" s="1"/>
  <c r="W14" i="8"/>
  <c r="AH14" i="8" s="1"/>
  <c r="W15" i="8"/>
  <c r="AH15" i="8" s="1"/>
  <c r="W16" i="8"/>
  <c r="AH16" i="8" s="1"/>
  <c r="C17" i="8"/>
  <c r="D17" i="8"/>
  <c r="E17" i="8"/>
  <c r="F17" i="8"/>
  <c r="C9" i="9" s="1"/>
  <c r="M9" i="9" s="1"/>
  <c r="G17" i="8"/>
  <c r="H17" i="8"/>
  <c r="I17" i="8"/>
  <c r="J17" i="8"/>
  <c r="L17" i="8"/>
  <c r="M17" i="8"/>
  <c r="N17" i="8"/>
  <c r="R17" i="8"/>
  <c r="S17" i="8"/>
  <c r="T17" i="8"/>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V30" i="8"/>
  <c r="W33" i="8"/>
  <c r="AH33" i="8" s="1"/>
  <c r="W34" i="8"/>
  <c r="AH34" i="8" s="1"/>
  <c r="W35" i="8"/>
  <c r="AH35" i="8" s="1"/>
  <c r="W36" i="8"/>
  <c r="AH36" i="8" s="1"/>
  <c r="C37" i="8"/>
  <c r="D37" i="8"/>
  <c r="E37" i="8"/>
  <c r="F37" i="8"/>
  <c r="C11" i="9" s="1"/>
  <c r="M11" i="9" s="1"/>
  <c r="G37" i="8"/>
  <c r="H37" i="8"/>
  <c r="I37" i="8"/>
  <c r="J37" i="8"/>
  <c r="L37" i="8"/>
  <c r="M37" i="8"/>
  <c r="N37" i="8"/>
  <c r="N43" i="8" s="1"/>
  <c r="R37" i="8"/>
  <c r="S37" i="8"/>
  <c r="T37" i="8"/>
  <c r="V37" i="8"/>
  <c r="W39" i="8"/>
  <c r="AH39" i="8" s="1"/>
  <c r="W40" i="8"/>
  <c r="AH40" i="8" s="1"/>
  <c r="W41" i="8"/>
  <c r="AH41" i="8" s="1"/>
  <c r="C42" i="8"/>
  <c r="D42" i="8"/>
  <c r="D43" i="8" s="1"/>
  <c r="E42" i="8"/>
  <c r="F42" i="8"/>
  <c r="C12" i="9" s="1"/>
  <c r="M12" i="9" s="1"/>
  <c r="G42" i="8"/>
  <c r="G43" i="8" s="1"/>
  <c r="H42" i="8"/>
  <c r="N12" i="9" s="1"/>
  <c r="X12" i="9" s="1"/>
  <c r="I42" i="8"/>
  <c r="J42" i="8"/>
  <c r="L42" i="8"/>
  <c r="M42" i="8"/>
  <c r="M43" i="8" s="1"/>
  <c r="N42" i="8"/>
  <c r="R42" i="8"/>
  <c r="S42" i="8"/>
  <c r="T42" i="8"/>
  <c r="V42" i="8"/>
  <c r="W46" i="8"/>
  <c r="AH46" i="8" s="1"/>
  <c r="W47" i="8"/>
  <c r="AH47" i="8" s="1"/>
  <c r="W48" i="8"/>
  <c r="AH48" i="8" s="1"/>
  <c r="W49" i="8"/>
  <c r="AH49" i="8" s="1"/>
  <c r="W50" i="8"/>
  <c r="AH50" i="8" s="1"/>
  <c r="C51" i="8"/>
  <c r="D51" i="8"/>
  <c r="E51" i="8"/>
  <c r="F51" i="8"/>
  <c r="G51" i="8"/>
  <c r="H51" i="8"/>
  <c r="I51" i="8"/>
  <c r="J51" i="8"/>
  <c r="L51" i="8"/>
  <c r="M51" i="8"/>
  <c r="N51" i="8"/>
  <c r="R51" i="8"/>
  <c r="AE49" i="8" s="1"/>
  <c r="S51" i="8"/>
  <c r="T51" i="8"/>
  <c r="V51" i="8"/>
  <c r="W53" i="8"/>
  <c r="AH53" i="8" s="1"/>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3" i="8"/>
  <c r="AH63" i="8" s="1"/>
  <c r="W64" i="8"/>
  <c r="AH64" i="8" s="1"/>
  <c r="W65" i="8"/>
  <c r="AH65" i="8" s="1"/>
  <c r="W66" i="8"/>
  <c r="AH66" i="8" s="1"/>
  <c r="W70" i="8"/>
  <c r="AH70" i="8" s="1"/>
  <c r="W71" i="8"/>
  <c r="AH71" i="8" s="1"/>
  <c r="W73" i="8"/>
  <c r="AH73" i="8" s="1"/>
  <c r="W74" i="8"/>
  <c r="AH74" i="8" s="1"/>
  <c r="W75" i="8"/>
  <c r="W76" i="8"/>
  <c r="AH76" i="8" s="1"/>
  <c r="C77" i="8"/>
  <c r="D77" i="8"/>
  <c r="E77" i="8"/>
  <c r="E85" i="8" s="1"/>
  <c r="F77" i="8"/>
  <c r="G77" i="8"/>
  <c r="H77" i="8"/>
  <c r="I77" i="8"/>
  <c r="J77" i="8"/>
  <c r="L77" i="8"/>
  <c r="M77" i="8"/>
  <c r="N77" i="8"/>
  <c r="N85" i="8" s="1"/>
  <c r="R77" i="8"/>
  <c r="S77" i="8"/>
  <c r="T77" i="8"/>
  <c r="V77" i="8"/>
  <c r="W79" i="8"/>
  <c r="AH79" i="8" s="1"/>
  <c r="W80" i="8"/>
  <c r="AH80" i="8" s="1"/>
  <c r="W81" i="8"/>
  <c r="AH81" i="8" s="1"/>
  <c r="W82" i="8"/>
  <c r="AH82" i="8" s="1"/>
  <c r="C83" i="8"/>
  <c r="D83" i="8"/>
  <c r="E83" i="8"/>
  <c r="F83" i="8"/>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T109" i="8" s="1"/>
  <c r="V108" i="8"/>
  <c r="P111" i="8"/>
  <c r="W111" i="8"/>
  <c r="P112" i="8"/>
  <c r="M114" i="8"/>
  <c r="C15" i="7"/>
  <c r="D15" i="7"/>
  <c r="F15" i="7"/>
  <c r="C33" i="7"/>
  <c r="D33" i="7"/>
  <c r="E33" i="7"/>
  <c r="F33" i="7"/>
  <c r="C40" i="7"/>
  <c r="C41" i="7" s="1"/>
  <c r="C49" i="7" s="1"/>
  <c r="D40" i="7"/>
  <c r="D41" i="7"/>
  <c r="E40" i="7"/>
  <c r="E41" i="7" s="1"/>
  <c r="F40" i="7"/>
  <c r="F41" i="7" s="1"/>
  <c r="C47" i="7"/>
  <c r="D47" i="7"/>
  <c r="E47" i="7"/>
  <c r="F47" i="7"/>
  <c r="C54" i="7"/>
  <c r="D54" i="7"/>
  <c r="E54" i="7"/>
  <c r="F54" i="7"/>
  <c r="C58" i="7"/>
  <c r="D58" i="7"/>
  <c r="E58" i="7"/>
  <c r="F58" i="7"/>
  <c r="C63" i="7"/>
  <c r="D63" i="7"/>
  <c r="E63" i="7"/>
  <c r="F63" i="7"/>
  <c r="D12" i="4"/>
  <c r="M12" i="4" s="1"/>
  <c r="N12" i="4"/>
  <c r="D17" i="4"/>
  <c r="E15" i="7" s="1"/>
  <c r="N17" i="4"/>
  <c r="E18" i="4"/>
  <c r="M19" i="4"/>
  <c r="N19" i="4"/>
  <c r="F31" i="4"/>
  <c r="M57" i="4"/>
  <c r="D68" i="4"/>
  <c r="M68" i="4" s="1"/>
  <c r="N68" i="4"/>
  <c r="N76" i="4"/>
  <c r="M77" i="4"/>
  <c r="N77" i="4"/>
  <c r="N78" i="4"/>
  <c r="M79" i="4"/>
  <c r="N79" i="4"/>
  <c r="M80" i="4"/>
  <c r="N80" i="4"/>
  <c r="D81" i="4"/>
  <c r="E81" i="4"/>
  <c r="R109" i="8"/>
  <c r="S85" i="8"/>
  <c r="I43" i="8"/>
  <c r="N11" i="9"/>
  <c r="X11" i="9" s="1"/>
  <c r="T43" i="8"/>
  <c r="E43" i="8"/>
  <c r="N9" i="9"/>
  <c r="X9" i="9" s="1"/>
  <c r="H43" i="8"/>
  <c r="M33" i="9"/>
  <c r="F64" i="7"/>
  <c r="D49" i="7"/>
  <c r="H26" i="12"/>
  <c r="K26" i="12" s="1"/>
  <c r="E44" i="10"/>
  <c r="E95" i="10"/>
  <c r="E102" i="10" s="1"/>
  <c r="E103" i="10" s="1"/>
  <c r="AH60" i="8"/>
  <c r="C82" i="7"/>
  <c r="E69" i="4"/>
  <c r="M95" i="10" l="1"/>
  <c r="M58" i="10"/>
  <c r="V109" i="8"/>
  <c r="F109" i="8"/>
  <c r="C38" i="9" s="1"/>
  <c r="F49" i="7"/>
  <c r="O34" i="11"/>
  <c r="G19" i="12"/>
  <c r="G31" i="12"/>
  <c r="S68" i="8"/>
  <c r="M109" i="8"/>
  <c r="D109" i="8"/>
  <c r="M72" i="10"/>
  <c r="E58" i="10"/>
  <c r="E67" i="10" s="1"/>
  <c r="E71" i="10" s="1"/>
  <c r="W102" i="8"/>
  <c r="E49" i="7"/>
  <c r="V43" i="8"/>
  <c r="M68" i="8"/>
  <c r="E53" i="10"/>
  <c r="E57" i="10" s="1"/>
  <c r="C53" i="11"/>
  <c r="E33" i="4"/>
  <c r="F12" i="4"/>
  <c r="M17" i="4"/>
  <c r="E24" i="10"/>
  <c r="F43" i="8"/>
  <c r="H85" i="8"/>
  <c r="AE80" i="8" s="1"/>
  <c r="L85" i="8"/>
  <c r="G85" i="8"/>
  <c r="F68" i="8"/>
  <c r="E72" i="10"/>
  <c r="E81" i="10" s="1"/>
  <c r="E85" i="10" s="1"/>
  <c r="H109" i="8"/>
  <c r="N38" i="9" s="1"/>
  <c r="X38" i="9" s="1"/>
  <c r="L68" i="8"/>
  <c r="AE48" i="8"/>
  <c r="G68" i="8"/>
  <c r="T85" i="8"/>
  <c r="R68" i="8"/>
  <c r="C43" i="8"/>
  <c r="W42" i="8"/>
  <c r="AH42" i="8" s="1"/>
  <c r="G109" i="8"/>
  <c r="E8" i="10"/>
  <c r="W17" i="8"/>
  <c r="AH17" i="8" s="1"/>
  <c r="E16" i="10"/>
  <c r="X35" i="9"/>
  <c r="W108" i="8"/>
  <c r="J109" i="8"/>
  <c r="R85" i="8"/>
  <c r="J85" i="8"/>
  <c r="J68" i="8"/>
  <c r="D68" i="8"/>
  <c r="S43" i="8"/>
  <c r="S90" i="8" s="1"/>
  <c r="L43" i="8"/>
  <c r="D31" i="12"/>
  <c r="E93" i="10"/>
  <c r="E94" i="10" s="1"/>
  <c r="E31" i="12"/>
  <c r="W77" i="8"/>
  <c r="AH77" i="8" s="1"/>
  <c r="O17" i="11"/>
  <c r="O16" i="11"/>
  <c r="I12" i="17"/>
  <c r="C13" i="17"/>
  <c r="I48" i="17"/>
  <c r="D12" i="17"/>
  <c r="I47" i="17"/>
  <c r="I53" i="17"/>
  <c r="I52" i="17"/>
  <c r="C85" i="8"/>
  <c r="L56" i="4"/>
  <c r="L57" i="4"/>
  <c r="M72" i="4"/>
  <c r="D69" i="4"/>
  <c r="F17" i="4"/>
  <c r="F31" i="12"/>
  <c r="C64" i="7"/>
  <c r="C66" i="7" s="1"/>
  <c r="O27" i="11"/>
  <c r="O23" i="11"/>
  <c r="O32" i="11"/>
  <c r="M86" i="10"/>
  <c r="M101" i="10" s="1"/>
  <c r="K14" i="12"/>
  <c r="K13" i="12"/>
  <c r="M44" i="10"/>
  <c r="W51" i="8"/>
  <c r="AH51" i="8" s="1"/>
  <c r="O22" i="11"/>
  <c r="O24" i="11"/>
  <c r="E68" i="8"/>
  <c r="E90" i="8" s="1"/>
  <c r="W58" i="8"/>
  <c r="W67" i="8" s="1"/>
  <c r="AH67" i="8" s="1"/>
  <c r="E31" i="10"/>
  <c r="E40" i="10" s="1"/>
  <c r="E43" i="10" s="1"/>
  <c r="M31" i="10"/>
  <c r="I85" i="8"/>
  <c r="AH75" i="8"/>
  <c r="F85" i="8"/>
  <c r="AE79" i="8" s="1"/>
  <c r="Z42" i="9"/>
  <c r="AA42" i="9"/>
  <c r="X31" i="9"/>
  <c r="X40" i="9" s="1"/>
  <c r="G27" i="12"/>
  <c r="M81" i="4"/>
  <c r="I117" i="8"/>
  <c r="N81" i="4"/>
  <c r="D32" i="4"/>
  <c r="M32" i="4" s="1"/>
  <c r="L109" i="8"/>
  <c r="I68" i="8"/>
  <c r="I90" i="8" s="1"/>
  <c r="Y42" i="9"/>
  <c r="H18" i="12"/>
  <c r="K18" i="12" s="1"/>
  <c r="S109" i="8"/>
  <c r="D85" i="8"/>
  <c r="D90" i="8" s="1"/>
  <c r="D110" i="8" s="1"/>
  <c r="D113" i="8" s="1"/>
  <c r="V68" i="8"/>
  <c r="N68" i="8"/>
  <c r="N90" i="8" s="1"/>
  <c r="W37" i="8"/>
  <c r="AH37" i="8" s="1"/>
  <c r="AH43" i="8" s="1"/>
  <c r="AB42" i="9"/>
  <c r="D18" i="4"/>
  <c r="E64" i="7"/>
  <c r="E109" i="8"/>
  <c r="V85" i="8"/>
  <c r="T68" i="8"/>
  <c r="T90" i="8" s="1"/>
  <c r="T110" i="8" s="1"/>
  <c r="T113" i="8" s="1"/>
  <c r="H68" i="8"/>
  <c r="H90" i="8" s="1"/>
  <c r="H110" i="8" s="1"/>
  <c r="H113" i="8" s="1"/>
  <c r="C68" i="8"/>
  <c r="R43" i="8"/>
  <c r="R90" i="8" s="1"/>
  <c r="R110" i="8" s="1"/>
  <c r="R113" i="8" s="1"/>
  <c r="J43" i="8"/>
  <c r="C109" i="8"/>
  <c r="M85" i="8"/>
  <c r="C40" i="9"/>
  <c r="M38" i="9"/>
  <c r="M40" i="9" s="1"/>
  <c r="F66" i="7"/>
  <c r="N40" i="9"/>
  <c r="D64" i="7"/>
  <c r="D66" i="7" s="1"/>
  <c r="N109" i="8"/>
  <c r="AH88" i="8"/>
  <c r="W89" i="8"/>
  <c r="AH89" i="8" s="1"/>
  <c r="I109" i="8"/>
  <c r="AH95" i="8"/>
  <c r="AH97" i="8" s="1"/>
  <c r="W97" i="8"/>
  <c r="W43" i="8"/>
  <c r="C57" i="11"/>
  <c r="W83" i="8"/>
  <c r="AH108" i="8"/>
  <c r="AH102" i="8"/>
  <c r="W30" i="8"/>
  <c r="E66" i="7" l="1"/>
  <c r="M90" i="8"/>
  <c r="M110" i="8" s="1"/>
  <c r="M113" i="8" s="1"/>
  <c r="L90" i="8"/>
  <c r="L110" i="8" s="1"/>
  <c r="L113" i="8" s="1"/>
  <c r="P115" i="8" s="1"/>
  <c r="I54" i="17"/>
  <c r="G90" i="8"/>
  <c r="G110" i="8" s="1"/>
  <c r="G113" i="8" s="1"/>
  <c r="C16" i="17"/>
  <c r="I49" i="17" s="1"/>
  <c r="I13" i="17"/>
  <c r="E110" i="8"/>
  <c r="E113" i="8" s="1"/>
  <c r="S110" i="8"/>
  <c r="S113" i="8" s="1"/>
  <c r="J90" i="8"/>
  <c r="J110" i="8" s="1"/>
  <c r="J113" i="8" s="1"/>
  <c r="V90" i="8"/>
  <c r="V110" i="8" s="1"/>
  <c r="F90" i="8"/>
  <c r="F110" i="8" s="1"/>
  <c r="F113" i="8" s="1"/>
  <c r="C90" i="8"/>
  <c r="C110" i="8" s="1"/>
  <c r="C113" i="8" s="1"/>
  <c r="N110" i="8"/>
  <c r="N113" i="8" s="1"/>
  <c r="I119" i="8" s="1"/>
  <c r="I120" i="8" s="1"/>
  <c r="W109" i="8"/>
  <c r="AH109" i="8" s="1"/>
  <c r="W68" i="8"/>
  <c r="J12" i="17"/>
  <c r="D13" i="17"/>
  <c r="J47" i="17"/>
  <c r="J48" i="17"/>
  <c r="X41" i="9"/>
  <c r="AH58" i="8"/>
  <c r="AH68" i="8" s="1"/>
  <c r="D33" i="4"/>
  <c r="AH83" i="8"/>
  <c r="AH85" i="8" s="1"/>
  <c r="W85" i="8"/>
  <c r="W90" i="8" s="1"/>
  <c r="I110" i="8"/>
  <c r="I113" i="8" s="1"/>
  <c r="AH30" i="8"/>
  <c r="P116" i="8" l="1"/>
  <c r="I16" i="17"/>
  <c r="C18" i="17"/>
  <c r="C30" i="17" s="1"/>
  <c r="D16" i="17"/>
  <c r="J16" i="17" s="1"/>
  <c r="J13" i="17"/>
  <c r="W110" i="8"/>
  <c r="AE92" i="8"/>
  <c r="AH90" i="8"/>
  <c r="AH110" i="8" s="1"/>
  <c r="P82" i="8"/>
  <c r="P40" i="8"/>
  <c r="P28" i="8"/>
  <c r="P84" i="8"/>
  <c r="P101" i="8"/>
  <c r="P64" i="8"/>
  <c r="P74" i="8"/>
  <c r="C21" i="11" s="1"/>
  <c r="P26" i="8"/>
  <c r="P81" i="8"/>
  <c r="P80" i="8"/>
  <c r="P27" i="8"/>
  <c r="P21" i="8"/>
  <c r="P15" i="8"/>
  <c r="P79" i="8"/>
  <c r="P94" i="8"/>
  <c r="P47" i="8"/>
  <c r="C8" i="10" s="1"/>
  <c r="D11" i="10" s="1"/>
  <c r="P71" i="8"/>
  <c r="P65" i="8"/>
  <c r="P95" i="8"/>
  <c r="P24" i="8"/>
  <c r="P29" i="8"/>
  <c r="P76" i="8"/>
  <c r="P105" i="8"/>
  <c r="P50" i="8"/>
  <c r="P23" i="8"/>
  <c r="P63" i="8"/>
  <c r="P16" i="8"/>
  <c r="P49" i="8"/>
  <c r="O83" i="8"/>
  <c r="P20" i="8"/>
  <c r="P96" i="8"/>
  <c r="P36" i="8"/>
  <c r="P14" i="8"/>
  <c r="P100" i="8"/>
  <c r="P107" i="8"/>
  <c r="P41" i="8"/>
  <c r="P34" i="8"/>
  <c r="P66" i="8"/>
  <c r="P35" i="8"/>
  <c r="P25" i="8"/>
  <c r="P48" i="8"/>
  <c r="P88" i="8"/>
  <c r="Z88" i="8" s="1"/>
  <c r="P22" i="8"/>
  <c r="P106" i="8"/>
  <c r="V112" i="8"/>
  <c r="P60" i="8" l="1"/>
  <c r="D92" i="10"/>
  <c r="P57" i="8"/>
  <c r="D80" i="10"/>
  <c r="P56" i="8"/>
  <c r="D66" i="10"/>
  <c r="P61" i="8"/>
  <c r="D101" i="10"/>
  <c r="P55" i="8"/>
  <c r="D52" i="10"/>
  <c r="P54" i="8"/>
  <c r="J49" i="17"/>
  <c r="D18" i="17"/>
  <c r="E41" i="4" s="1"/>
  <c r="D41" i="4"/>
  <c r="D43" i="4" s="1"/>
  <c r="M73" i="4" s="1"/>
  <c r="I19" i="17"/>
  <c r="I50" i="17"/>
  <c r="C36" i="17"/>
  <c r="C39" i="17" s="1"/>
  <c r="C43" i="17" s="1"/>
  <c r="I30" i="17"/>
  <c r="P75" i="8"/>
  <c r="AA88" i="8"/>
  <c r="P87" i="8"/>
  <c r="Z87" i="8" s="1"/>
  <c r="O89" i="8"/>
  <c r="Z80" i="8"/>
  <c r="AA80" i="8"/>
  <c r="AC80" i="8" s="1"/>
  <c r="C21" i="12"/>
  <c r="P53" i="8"/>
  <c r="O58" i="8"/>
  <c r="O67" i="8" s="1"/>
  <c r="P13" i="8"/>
  <c r="O17" i="8"/>
  <c r="O108" i="8"/>
  <c r="P104" i="8"/>
  <c r="P39" i="8"/>
  <c r="O42" i="8"/>
  <c r="P42" i="8" s="1"/>
  <c r="C16" i="10"/>
  <c r="D19" i="10" s="1"/>
  <c r="O97" i="8"/>
  <c r="P93" i="8"/>
  <c r="AA81" i="8"/>
  <c r="Z81" i="8"/>
  <c r="C29" i="12"/>
  <c r="C32" i="12"/>
  <c r="Z84" i="8"/>
  <c r="AA84" i="8"/>
  <c r="AC84" i="8" s="1"/>
  <c r="Z79" i="8"/>
  <c r="AA79" i="8"/>
  <c r="AC79" i="8" s="1"/>
  <c r="P83" i="8"/>
  <c r="C12" i="12"/>
  <c r="P99" i="8"/>
  <c r="O102" i="8"/>
  <c r="Z36" i="8"/>
  <c r="AA36" i="8"/>
  <c r="P73" i="8"/>
  <c r="C12" i="11" s="1"/>
  <c r="O77" i="8"/>
  <c r="O85" i="8" s="1"/>
  <c r="P46" i="8"/>
  <c r="O51" i="8"/>
  <c r="O30" i="8"/>
  <c r="P19" i="8"/>
  <c r="Z82" i="8"/>
  <c r="AA82" i="8"/>
  <c r="AC82" i="8" s="1"/>
  <c r="C30" i="12"/>
  <c r="W112" i="8"/>
  <c r="W113" i="8" s="1"/>
  <c r="V113" i="8"/>
  <c r="W116" i="8" s="1"/>
  <c r="P33" i="8"/>
  <c r="O37" i="8"/>
  <c r="Z76" i="8"/>
  <c r="AA76" i="8"/>
  <c r="AC76" i="8" s="1"/>
  <c r="AA74" i="8"/>
  <c r="AC74" i="8" s="1"/>
  <c r="Z74" i="8"/>
  <c r="P70" i="8"/>
  <c r="M74" i="4" l="1"/>
  <c r="C86" i="10"/>
  <c r="D90" i="10" s="1"/>
  <c r="C44" i="10"/>
  <c r="D50" i="10" s="1"/>
  <c r="C93" i="10"/>
  <c r="C94" i="10" s="1"/>
  <c r="C58" i="10"/>
  <c r="D64" i="10" s="1"/>
  <c r="C31" i="10"/>
  <c r="D37" i="10" s="1"/>
  <c r="J50" i="17"/>
  <c r="J19" i="17"/>
  <c r="M43" i="4"/>
  <c r="C95" i="10"/>
  <c r="D99" i="10" s="1"/>
  <c r="C72" i="10"/>
  <c r="D78" i="10" s="1"/>
  <c r="I43" i="17"/>
  <c r="I39" i="17"/>
  <c r="AC88" i="8"/>
  <c r="AA75" i="8"/>
  <c r="C31" i="11"/>
  <c r="Z75" i="8"/>
  <c r="O43" i="8"/>
  <c r="O68" i="8"/>
  <c r="H30" i="12"/>
  <c r="K30" i="12" s="1"/>
  <c r="P30" i="8"/>
  <c r="P51" i="8"/>
  <c r="Z73" i="8"/>
  <c r="AA73" i="8"/>
  <c r="P77" i="8"/>
  <c r="P85" i="8" s="1"/>
  <c r="AC36" i="8"/>
  <c r="H29" i="12"/>
  <c r="K29" i="12" s="1"/>
  <c r="P97" i="8"/>
  <c r="AA87" i="8"/>
  <c r="P89" i="8"/>
  <c r="P37" i="8"/>
  <c r="P102" i="8"/>
  <c r="C31" i="12"/>
  <c r="H12" i="12"/>
  <c r="K12" i="12" s="1"/>
  <c r="O109" i="8"/>
  <c r="Z42" i="8"/>
  <c r="AA42" i="8"/>
  <c r="P17" i="8"/>
  <c r="P58" i="8"/>
  <c r="C24" i="10"/>
  <c r="D27" i="10" s="1"/>
  <c r="K21" i="11"/>
  <c r="L21" i="11"/>
  <c r="W121" i="8"/>
  <c r="C9" i="10"/>
  <c r="AA83" i="8"/>
  <c r="Z83" i="8"/>
  <c r="H32" i="12"/>
  <c r="AC81" i="8"/>
  <c r="C17" i="10"/>
  <c r="P108" i="8"/>
  <c r="H21" i="12"/>
  <c r="K21" i="12" s="1"/>
  <c r="AC83" i="8" l="1"/>
  <c r="AE86" i="8"/>
  <c r="AE83" i="8"/>
  <c r="AE84" i="8"/>
  <c r="M18" i="10"/>
  <c r="M23" i="10"/>
  <c r="C53" i="10"/>
  <c r="C57" i="10" s="1"/>
  <c r="D48" i="10"/>
  <c r="D62" i="10"/>
  <c r="D76" i="10"/>
  <c r="D35" i="10"/>
  <c r="C81" i="10"/>
  <c r="C85" i="10" s="1"/>
  <c r="C67" i="10"/>
  <c r="C71" i="10" s="1"/>
  <c r="C102" i="10"/>
  <c r="C103" i="10" s="1"/>
  <c r="C40" i="10"/>
  <c r="C43" i="10" s="1"/>
  <c r="M15" i="10"/>
  <c r="M10" i="10"/>
  <c r="AC78" i="8"/>
  <c r="AC75" i="8"/>
  <c r="K32" i="12"/>
  <c r="L31" i="11"/>
  <c r="AC87" i="8"/>
  <c r="K31" i="11"/>
  <c r="O90" i="8"/>
  <c r="O110" i="8" s="1"/>
  <c r="O113" i="8" s="1"/>
  <c r="P117" i="8" s="1"/>
  <c r="E43" i="4"/>
  <c r="Z89" i="8"/>
  <c r="AA89" i="8"/>
  <c r="C25" i="10"/>
  <c r="K12" i="11"/>
  <c r="L12" i="11"/>
  <c r="AC42" i="8"/>
  <c r="Z37" i="8"/>
  <c r="P43" i="8"/>
  <c r="P109" i="8"/>
  <c r="Z77" i="8"/>
  <c r="Z30" i="8"/>
  <c r="AA30" i="8"/>
  <c r="Z17" i="8"/>
  <c r="H31" i="12"/>
  <c r="K31" i="12" s="1"/>
  <c r="AE72" i="8"/>
  <c r="AC73" i="8"/>
  <c r="P67" i="8"/>
  <c r="P68" i="8" s="1"/>
  <c r="Z51" i="8"/>
  <c r="M26" i="10" l="1"/>
  <c r="O31" i="11"/>
  <c r="E70" i="4"/>
  <c r="N74" i="4"/>
  <c r="N73" i="4"/>
  <c r="N43" i="4"/>
  <c r="AA37" i="8"/>
  <c r="AA77" i="8"/>
  <c r="AE74" i="8"/>
  <c r="Z67" i="8"/>
  <c r="AA67" i="8"/>
  <c r="AA17" i="8"/>
  <c r="AC89" i="8"/>
  <c r="AE30" i="8"/>
  <c r="AE31" i="8"/>
  <c r="AC30" i="8"/>
  <c r="AA51" i="8"/>
  <c r="P90" i="8"/>
  <c r="AA109" i="8"/>
  <c r="Z109" i="8"/>
  <c r="AC37" i="8" l="1"/>
  <c r="P110" i="8"/>
  <c r="Z90" i="8"/>
  <c r="Z110" i="8" s="1"/>
  <c r="AC17" i="8"/>
  <c r="AA90" i="8"/>
  <c r="AE85" i="8" s="1"/>
  <c r="AC77" i="8"/>
  <c r="AE78" i="8"/>
  <c r="AE77" i="8"/>
  <c r="AC67" i="8"/>
  <c r="AE67" i="8"/>
  <c r="AE68" i="8"/>
  <c r="AE51" i="8"/>
  <c r="AE52" i="8"/>
  <c r="AC51" i="8"/>
  <c r="AE109" i="8"/>
  <c r="AE110" i="8"/>
  <c r="AC109" i="8"/>
  <c r="P113" i="8" l="1"/>
  <c r="P124" i="8"/>
  <c r="AC90" i="8"/>
  <c r="AE90" i="8"/>
  <c r="AE91" i="8"/>
  <c r="AA110" i="8"/>
  <c r="AE93" i="8"/>
  <c r="P303" i="8" l="1"/>
  <c r="D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
  <commentList>
    <comment ref="B51" authorId="0" shapeId="0" xr:uid="{65B3B915-9AAF-442E-A358-449E2401A906}">
      <text>
        <r>
          <rPr>
            <b/>
            <sz val="8"/>
            <color indexed="81"/>
            <rFont val="Tahoma"/>
            <family val="2"/>
          </rPr>
          <t xml:space="preserve">SCB:
</t>
        </r>
        <r>
          <rPr>
            <sz val="8"/>
            <color indexed="81"/>
            <rFont val="Tahoma"/>
            <family val="2"/>
          </rPr>
          <t xml:space="preserve">Kontot har ändrats från 234 till 2341. Förtydligande kontorubrik.
</t>
        </r>
        <r>
          <rPr>
            <b/>
            <sz val="9"/>
            <color indexed="81"/>
            <rFont val="Tahoma"/>
            <family val="2"/>
          </rPr>
          <t xml:space="preserve">
</t>
        </r>
        <r>
          <rPr>
            <sz val="9"/>
            <color indexed="81"/>
            <rFont val="Tahoma"/>
            <family val="2"/>
          </rPr>
          <t xml:space="preserve">
</t>
        </r>
      </text>
    </comment>
    <comment ref="B52" authorId="0" shapeId="0" xr:uid="{45C5852F-D0FE-4719-86F4-AC44E8B8E325}">
      <text>
        <r>
          <rPr>
            <b/>
            <sz val="8"/>
            <color indexed="81"/>
            <rFont val="Tahoma"/>
            <family val="2"/>
          </rPr>
          <t xml:space="preserve">SCB: </t>
        </r>
        <r>
          <rPr>
            <sz val="8"/>
            <color indexed="81"/>
            <rFont val="Tahoma"/>
            <family val="2"/>
          </rPr>
          <t>Nytt kontonummer (tidigare 235)</t>
        </r>
        <r>
          <rPr>
            <sz val="9"/>
            <color indexed="81"/>
            <rFont val="Tahoma"/>
            <family val="2"/>
          </rPr>
          <t xml:space="preserve">
</t>
        </r>
      </text>
    </comment>
    <comment ref="C78" authorId="0"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scbingj</author>
    <author>Siegrist Elisabeth DFO/OU-Ö</author>
  </authors>
  <commentList>
    <comment ref="A20" authorId="0" shapeId="0" xr:uid="{CA2B1785-4075-4F1A-8083-5EC6CAFA11EE}">
      <text>
        <r>
          <rPr>
            <b/>
            <sz val="8"/>
            <color indexed="81"/>
            <rFont val="Tahoma"/>
            <family val="2"/>
          </rPr>
          <t xml:space="preserve">SCB: </t>
        </r>
        <r>
          <rPr>
            <sz val="8"/>
            <color indexed="81"/>
            <rFont val="Tahoma"/>
            <family val="2"/>
          </rPr>
          <t>Ny rad</t>
        </r>
        <r>
          <rPr>
            <sz val="9"/>
            <color indexed="81"/>
            <rFont val="Tahoma"/>
            <family val="2"/>
          </rPr>
          <t xml:space="preserve">
</t>
        </r>
      </text>
    </comment>
    <comment ref="C21" authorId="1"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2"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List>
</comments>
</file>

<file path=xl/sharedStrings.xml><?xml version="1.0" encoding="utf-8"?>
<sst xmlns="http://schemas.openxmlformats.org/spreadsheetml/2006/main" count="1587" uniqueCount="1224">
  <si>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</si>
  <si>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</si>
  <si>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</si>
  <si>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</si>
  <si>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</si>
  <si>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</si>
  <si>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</si>
  <si>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</si>
  <si>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</si>
  <si>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</si>
  <si>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</si>
  <si>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</si>
  <si>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</si>
  <si>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</si>
  <si>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</si>
  <si>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</si>
  <si>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</si>
  <si>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</si>
  <si>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</si>
  <si>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</si>
  <si>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</si>
  <si>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</si>
  <si>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</si>
  <si>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</si>
  <si>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</si>
  <si>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</si>
  <si>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</si>
  <si>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</si>
  <si>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</si>
  <si>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</si>
  <si>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</si>
  <si>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</si>
  <si>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</si>
  <si>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</si>
  <si>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</si>
  <si>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</si>
  <si>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</si>
  <si>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</si>
  <si>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</si>
  <si>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</si>
  <si>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</si>
  <si>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</si>
  <si>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</si>
  <si>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</si>
  <si>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</si>
  <si>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</si>
  <si>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</si>
  <si>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</si>
  <si>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</si>
  <si>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</si>
  <si>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</si>
  <si>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</si>
  <si>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</si>
  <si>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</si>
  <si>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</si>
  <si>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</si>
  <si>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</si>
  <si>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</si>
  <si>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</si>
  <si>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</si>
  <si>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</si>
  <si>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</si>
  <si>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</si>
  <si>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</si>
  <si>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</si>
  <si>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</si>
  <si>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</si>
  <si>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</si>
  <si>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</si>
  <si>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</si>
  <si>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</si>
  <si>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</si>
  <si>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</si>
  <si>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</si>
  <si>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</si>
  <si>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</si>
  <si>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</si>
  <si>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</si>
  <si>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</si>
  <si>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</si>
  <si>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</si>
  <si>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</si>
  <si>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</si>
  <si>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</si>
  <si>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</si>
  <si>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 xml:space="preserve">Gymnasiesärskola </t>
  </si>
  <si>
    <t>Skolväsendet för barn o ungdom totalt</t>
  </si>
  <si>
    <t>Kommunal vuxenutbildning</t>
  </si>
  <si>
    <t>Högskoleutbildning m.m.</t>
  </si>
  <si>
    <t>Verksamhetens kostnad enligt RR</t>
  </si>
  <si>
    <t>Verksamhetens intäkter enl. RR</t>
  </si>
  <si>
    <t>Verksamhetens kostnader enl. RR</t>
  </si>
  <si>
    <t>Verksamhetens intäkter enl.RR</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</si>
  <si>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</si>
  <si>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</si>
  <si>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</si>
  <si>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</si>
  <si>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</si>
  <si>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</si>
  <si>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</si>
  <si>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</si>
  <si>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</si>
  <si>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</si>
  <si>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</si>
  <si>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</si>
  <si>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</si>
  <si>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</si>
  <si>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</si>
  <si>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</si>
  <si>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</si>
  <si>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</si>
  <si>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</si>
  <si>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</si>
  <si>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</si>
  <si>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</si>
  <si>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</si>
  <si>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</si>
  <si>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</si>
  <si>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</si>
  <si>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</si>
  <si>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</si>
  <si>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</si>
  <si>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</si>
  <si>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</si>
  <si>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</si>
  <si>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</si>
  <si>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</si>
  <si>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</si>
  <si>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</si>
  <si>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</si>
  <si>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</si>
  <si>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</si>
  <si>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</si>
  <si>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</si>
  <si>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</si>
  <si>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Gymnasiesärskola  </t>
  </si>
  <si>
    <t xml:space="preserve"> därav  inst. vård för vuxna med missbruksprob.</t>
  </si>
  <si>
    <t>Övrig Ifo + fam.rätt (rad 571+ 575+585)</t>
  </si>
  <si>
    <t>Arbetsmarknadsåtgärder</t>
  </si>
  <si>
    <t>Summa affärsverksamhet</t>
  </si>
  <si>
    <t>Gemensam verksamhet (inkl. lokaler)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</si>
  <si>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</si>
  <si>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</si>
  <si>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</si>
  <si>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</si>
  <si>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</si>
  <si>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</si>
  <si>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</si>
  <si>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</si>
  <si>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</si>
  <si>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</si>
  <si>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</si>
  <si>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</si>
  <si>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</si>
  <si>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</si>
  <si>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</si>
  <si>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</si>
  <si>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</si>
  <si>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</si>
  <si>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</si>
  <si>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</si>
  <si>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</si>
  <si>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</si>
  <si>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</si>
  <si>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</si>
  <si>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</si>
  <si>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</si>
  <si>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</si>
  <si>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</si>
  <si>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</si>
  <si>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</si>
  <si>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</si>
  <si>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</si>
  <si>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</si>
  <si>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</si>
  <si>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</si>
  <si>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</si>
  <si>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</si>
  <si>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</si>
  <si>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</si>
  <si>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Gymnasieskola inkl gymnasiesärskola</t>
  </si>
  <si>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</si>
  <si>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</si>
  <si>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</si>
  <si>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</si>
  <si>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</si>
  <si>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</si>
  <si>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</si>
  <si>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</si>
  <si>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Ange kommunens kostnad för rådgivning och annat personligt stöd enl 9 § punkt 1 LSS, tkr</t>
  </si>
  <si>
    <t>Övriga tilläggsupplysningar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</si>
  <si>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</si>
  <si>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</si>
  <si>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</si>
  <si>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</si>
  <si>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</si>
  <si>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</si>
  <si>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</si>
  <si>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</si>
  <si>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</si>
  <si>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</si>
  <si>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</si>
  <si>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</si>
  <si>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</si>
  <si>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</si>
  <si>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</si>
  <si>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</si>
  <si>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</si>
  <si>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</si>
  <si>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</si>
  <si>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</si>
  <si>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</si>
  <si>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</si>
  <si>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</si>
  <si>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</si>
  <si>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</si>
  <si>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</si>
  <si>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</si>
  <si>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</si>
  <si>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</si>
  <si>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</si>
  <si>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</si>
  <si>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</si>
  <si>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</si>
  <si>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</si>
  <si>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</si>
  <si>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</si>
  <si>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</si>
  <si>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</si>
  <si>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</si>
  <si>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</si>
  <si>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</si>
  <si>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</si>
  <si>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</si>
  <si>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</si>
  <si>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</si>
  <si>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</si>
  <si>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</si>
  <si>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</si>
  <si>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</si>
  <si>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</si>
  <si>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</si>
  <si>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</si>
  <si>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</si>
  <si>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</si>
  <si>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</si>
  <si>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</si>
  <si>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</si>
  <si>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476</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</si>
  <si>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</si>
  <si>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</si>
  <si>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</si>
  <si>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</si>
  <si>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</si>
  <si>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</si>
  <si>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</si>
  <si>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</si>
  <si>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</si>
  <si>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</si>
  <si>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</si>
  <si>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</si>
  <si>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</si>
  <si>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</si>
  <si>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</si>
  <si>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</si>
  <si>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</si>
  <si>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</si>
  <si>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</si>
  <si>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</si>
  <si>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</si>
  <si>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</si>
  <si>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</si>
  <si>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</si>
  <si>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</si>
  <si>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</si>
  <si>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</si>
  <si>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</si>
  <si>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</si>
  <si>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</si>
  <si>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</si>
  <si>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</si>
  <si>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</si>
  <si>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</si>
  <si>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</si>
  <si>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</si>
  <si>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</si>
  <si>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</si>
  <si>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</si>
  <si>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</si>
  <si>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</si>
  <si>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</si>
  <si>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</si>
  <si>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</si>
  <si>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</si>
  <si>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</si>
  <si>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</si>
  <si>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</si>
  <si>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</si>
  <si>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</si>
  <si>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</si>
  <si>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</si>
  <si>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</si>
  <si>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</si>
  <si>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</si>
  <si>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</si>
  <si>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</si>
  <si>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</si>
  <si>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</si>
  <si>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</si>
  <si>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</si>
  <si>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</si>
  <si>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</si>
  <si>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</si>
  <si>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</si>
  <si>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</si>
  <si>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</si>
  <si>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</si>
  <si>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</si>
  <si>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</si>
  <si>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</si>
  <si>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</si>
  <si>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</si>
  <si>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</si>
  <si>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</si>
  <si>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</si>
  <si>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</si>
  <si>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</si>
  <si>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</si>
  <si>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</si>
  <si>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</si>
  <si>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</si>
  <si>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</si>
  <si>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</si>
  <si>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</si>
  <si>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</si>
  <si>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</si>
  <si>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108</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</si>
  <si>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</si>
  <si>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</si>
  <si>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</si>
  <si>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</si>
  <si>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</si>
  <si>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</si>
  <si>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</si>
  <si>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</si>
  <si>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</si>
  <si>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</si>
  <si>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</si>
  <si>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</si>
  <si>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</si>
  <si>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</si>
  <si>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</si>
  <si>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</si>
  <si>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</si>
  <si>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</si>
  <si>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</si>
  <si>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</si>
  <si>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</si>
  <si>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</si>
  <si>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</si>
  <si>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</si>
  <si>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</si>
  <si>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</si>
  <si>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Övriga insatser i ordinärt boende</t>
  </si>
  <si>
    <t>IB Anläggningstillgångar</t>
  </si>
  <si>
    <t>UB Anläggningstillgångar</t>
  </si>
  <si>
    <t>Insatser till personer med funktionsnedsättning (ej LSS/SFB)</t>
  </si>
  <si>
    <t>Insatser enligt LSS/SFB</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</si>
  <si>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</si>
  <si>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</si>
  <si>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</si>
  <si>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</si>
  <si>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</si>
  <si>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</si>
  <si>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</si>
  <si>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</si>
  <si>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</si>
  <si>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</si>
  <si>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</si>
  <si>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</si>
  <si>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</si>
  <si>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</si>
  <si>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</si>
  <si>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</si>
  <si>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</si>
  <si>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</si>
  <si>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</si>
  <si>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</si>
  <si>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</si>
  <si>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</si>
  <si>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</si>
  <si>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</si>
  <si>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</si>
  <si>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</si>
  <si>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</si>
  <si>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</si>
  <si>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</si>
  <si>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</si>
  <si>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</si>
  <si>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</si>
  <si>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</si>
  <si>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</si>
  <si>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</si>
  <si>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</si>
  <si>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</si>
  <si>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</si>
  <si>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</si>
  <si>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</si>
  <si>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</si>
  <si>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</si>
  <si>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</si>
  <si>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</si>
  <si>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</si>
  <si>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</si>
  <si>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</si>
  <si>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</si>
  <si>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</si>
  <si>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</si>
  <si>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</si>
  <si>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</si>
  <si>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</si>
  <si>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</si>
  <si>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</si>
  <si>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</si>
  <si>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</si>
  <si>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</si>
  <si>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</si>
  <si>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</si>
  <si>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</si>
  <si>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</si>
  <si>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</si>
  <si>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</si>
  <si>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</si>
  <si>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Övrig utbildning (rad 475+476+478)</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</si>
  <si>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</si>
  <si>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</si>
  <si>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</si>
  <si>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</si>
  <si>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</si>
  <si>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</si>
  <si>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</si>
  <si>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</si>
  <si>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</si>
  <si>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</si>
  <si>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</si>
  <si>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</si>
  <si>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</si>
  <si>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</si>
  <si>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</si>
  <si>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</si>
  <si>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</si>
  <si>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</si>
  <si>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</si>
  <si>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</si>
  <si>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</si>
  <si>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</si>
  <si>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</si>
  <si>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</si>
  <si>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</si>
  <si>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</si>
  <si>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</si>
  <si>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</si>
  <si>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</si>
  <si>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</si>
  <si>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</si>
  <si>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</si>
  <si>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</si>
  <si>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</si>
  <si>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</si>
  <si>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</si>
  <si>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</si>
  <si>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</si>
  <si>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</si>
  <si>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</si>
  <si>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</si>
  <si>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</si>
  <si>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</si>
  <si>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</si>
  <si>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</si>
  <si>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</si>
  <si>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</si>
  <si>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</si>
  <si>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</si>
  <si>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</si>
  <si>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</si>
  <si>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</si>
  <si>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</si>
  <si>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</si>
  <si>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</si>
  <si>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</si>
  <si>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</si>
  <si>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</si>
  <si>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</si>
  <si>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</si>
  <si>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</si>
  <si>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</si>
  <si>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</si>
  <si>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</si>
  <si>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</si>
  <si>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</si>
  <si>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</si>
  <si>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Differens grundskolan</t>
  </si>
  <si>
    <t>Differens grundsärskolan</t>
  </si>
  <si>
    <t>Differens gymnasieskolan</t>
  </si>
  <si>
    <t>Differens gymnasiesärskolan</t>
  </si>
  <si>
    <t>Differens grundläggande vuxenutbildning</t>
  </si>
  <si>
    <t>Differens gymnasial vuxenutbildning</t>
  </si>
  <si>
    <t>Differens mot drift-  redovisningen</t>
  </si>
  <si>
    <t>Vård och omsorg om äldre (från motpart)</t>
  </si>
  <si>
    <t>inv 21-64 år</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</si>
  <si>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</si>
  <si>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</si>
  <si>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</si>
  <si>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</si>
  <si>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</si>
  <si>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</si>
  <si>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</si>
  <si>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</si>
  <si>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</si>
  <si>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Förskola, avgiftsfinansierringsgrad %</t>
  </si>
  <si>
    <t>Fritidshem, avgiftsfinansieringsgrad</t>
  </si>
  <si>
    <t>Soliditet, % enligt balansräkningen</t>
  </si>
  <si>
    <t>Soliditet, % inkl. pensionsåtaganden före 1998</t>
  </si>
  <si>
    <t>Långfristiga skulder exkl. utlåning till kommunägda bolag</t>
  </si>
  <si>
    <t>Verksamhetens självfinansieringsgrad</t>
  </si>
  <si>
    <t>Förs. expl.fastigheter, tomträtter [37]</t>
  </si>
  <si>
    <t>Interna lokal-kostnader</t>
  </si>
  <si>
    <t>Utlämnade lån till koncernföretag  (rad 088)</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</si>
  <si>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</si>
  <si>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</si>
  <si>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</si>
  <si>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</si>
  <si>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</si>
  <si>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</si>
  <si>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</si>
  <si>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</si>
  <si>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</si>
  <si>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</si>
  <si>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</si>
  <si>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Gymnasiesärskola, totalt</t>
  </si>
  <si>
    <t>Specificering av vissa intäkter (i kol.övr. externa intäkter)</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</si>
  <si>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</si>
  <si>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</si>
  <si>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</si>
  <si>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</si>
  <si>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</si>
  <si>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</si>
  <si>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</si>
  <si>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</si>
  <si>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</si>
  <si>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</si>
  <si>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</si>
  <si>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</si>
  <si>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</si>
  <si>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</si>
  <si>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</si>
  <si>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</si>
  <si>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</si>
  <si>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</si>
  <si>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</si>
  <si>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</si>
  <si>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</si>
  <si>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</si>
  <si>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</si>
  <si>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</si>
  <si>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</si>
  <si>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</si>
  <si>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</si>
  <si>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</si>
  <si>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</si>
  <si>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</si>
  <si>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</si>
  <si>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</si>
  <si>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</si>
  <si>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Grundsärskola, totalt</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</si>
  <si>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</si>
  <si>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</si>
  <si>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</si>
  <si>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</si>
  <si>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</si>
  <si>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</si>
  <si>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</si>
  <si>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</si>
  <si>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</si>
  <si>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</si>
  <si>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</si>
  <si>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</si>
  <si>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</si>
  <si>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</si>
  <si>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</si>
  <si>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</si>
  <si>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</si>
  <si>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</si>
  <si>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</si>
  <si>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</si>
  <si>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</si>
  <si>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</si>
  <si>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</si>
  <si>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</si>
  <si>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</si>
  <si>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</si>
  <si>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</si>
  <si>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</si>
  <si>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</si>
  <si>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</si>
  <si>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</si>
  <si>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</si>
  <si>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t>Grundsärskola</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</si>
  <si>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</si>
  <si>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</si>
  <si>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</si>
  <si>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</si>
  <si>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</si>
  <si>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</si>
  <si>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r>
      <t>Omsättningstillgångar</t>
    </r>
    <r>
      <rPr>
        <sz val="7"/>
        <rFont val="Helvetica"/>
        <family val="2"/>
      </rPr>
      <t xml:space="preserve">                                       </t>
    </r>
  </si>
  <si>
    <t>Rad-</t>
  </si>
  <si>
    <t>Text</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</si>
  <si>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</si>
  <si>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</si>
  <si>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</si>
  <si>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</si>
  <si>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</si>
  <si>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</si>
  <si>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</si>
  <si>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</si>
  <si>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</si>
  <si>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</si>
  <si>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</si>
  <si>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</si>
  <si>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</si>
  <si>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</si>
  <si>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</si>
  <si>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</si>
  <si>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</si>
  <si>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</si>
  <si>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</si>
  <si>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</si>
  <si>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</si>
  <si>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</si>
  <si>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</si>
  <si>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</si>
  <si>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</si>
  <si>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</si>
  <si>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</si>
  <si>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Eget kapital, ingående värde</t>
  </si>
  <si>
    <t>221</t>
  </si>
  <si>
    <t>222</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</si>
  <si>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</si>
  <si>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</si>
  <si>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</si>
  <si>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</si>
  <si>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</si>
  <si>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</si>
  <si>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</si>
  <si>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</si>
  <si>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</si>
  <si>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</si>
  <si>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</si>
  <si>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</si>
  <si>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</si>
  <si>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</si>
  <si>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</si>
  <si>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</si>
  <si>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</si>
  <si>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</si>
  <si>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</si>
  <si>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</si>
  <si>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</si>
  <si>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</si>
  <si>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</si>
  <si>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</si>
  <si>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</si>
  <si>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</si>
  <si>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</si>
  <si>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</si>
  <si>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</si>
  <si>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</si>
  <si>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</si>
  <si>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</si>
  <si>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</si>
  <si>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</si>
  <si>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</si>
  <si>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</si>
  <si>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</si>
  <si>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</si>
  <si>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</si>
  <si>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</si>
  <si>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</si>
  <si>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</si>
  <si>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</si>
  <si>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</si>
  <si>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</si>
  <si>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</si>
  <si>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</si>
  <si>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</si>
  <si>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</si>
  <si>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</si>
  <si>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</si>
  <si>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</si>
  <si>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</si>
  <si>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</si>
  <si>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</si>
  <si>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</si>
  <si>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</si>
  <si>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</si>
  <si>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</si>
  <si>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</si>
  <si>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</si>
  <si>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</si>
  <si>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</si>
  <si>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855, 857</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</si>
  <si>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</si>
  <si>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</si>
  <si>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</si>
  <si>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</si>
  <si>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</si>
  <si>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</si>
  <si>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</si>
  <si>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</si>
  <si>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</si>
  <si>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</si>
  <si>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</si>
  <si>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</si>
  <si>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</si>
  <si>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</si>
  <si>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</si>
  <si>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Grundskola inkl förskoleklass och grundsärskola</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</si>
  <si>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</si>
  <si>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</si>
  <si>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</si>
  <si>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</si>
  <si>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</si>
  <si>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</si>
  <si>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</si>
  <si>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</si>
  <si>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</si>
  <si>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Borgensförbindelser och övriga ansvarsförbindelser</t>
  </si>
  <si>
    <t>Förskola, fritidshem o annan pedagogisk verksamhet, totalt</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</si>
  <si>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</si>
  <si>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</si>
  <si>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</si>
  <si>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</si>
  <si>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</si>
  <si>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</si>
  <si>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</si>
  <si>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</si>
  <si>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</si>
  <si>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</si>
  <si>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Förändring av avsättning</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</si>
  <si>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</si>
  <si>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</si>
  <si>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</si>
  <si>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</si>
  <si>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</si>
  <si>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</si>
  <si>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</si>
  <si>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</si>
  <si>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</si>
  <si>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</si>
  <si>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</si>
  <si>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</si>
  <si>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</si>
  <si>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</si>
  <si>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</si>
  <si>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</si>
  <si>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</si>
  <si>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</si>
  <si>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</si>
  <si>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</si>
  <si>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</si>
  <si>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</si>
  <si>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</si>
  <si>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</si>
  <si>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</si>
  <si>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</si>
  <si>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</si>
  <si>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238</t>
  </si>
  <si>
    <t>232, 239</t>
  </si>
  <si>
    <t>Upplupna sociala avgifter</t>
  </si>
  <si>
    <t>62, 691</t>
  </si>
  <si>
    <t>361, 363, 365</t>
  </si>
  <si>
    <t>Övriga främmande tjänster</t>
  </si>
  <si>
    <t>781, 782,784</t>
  </si>
  <si>
    <t>Pensionsutbetalningar intjänade fr.o.m.98</t>
  </si>
  <si>
    <t>Generella bidrag från staten  m.m.</t>
  </si>
  <si>
    <t>[46]</t>
  </si>
  <si>
    <t>Köp av huvudverksamhet [46]</t>
  </si>
  <si>
    <t>verksamhet [46]</t>
  </si>
  <si>
    <t>617, 618</t>
  </si>
  <si>
    <t>63, 695</t>
  </si>
  <si>
    <t>361, 363</t>
  </si>
  <si>
    <t>361</t>
  </si>
  <si>
    <t>Därav köp av huvudverksamhet</t>
  </si>
  <si>
    <t>Motpartsredovisning av köp av huvudverksamhet [46]</t>
  </si>
  <si>
    <t>341</t>
  </si>
  <si>
    <t>651</t>
  </si>
  <si>
    <t>317</t>
  </si>
  <si>
    <t>327</t>
  </si>
  <si>
    <t>087</t>
  </si>
  <si>
    <t>062</t>
  </si>
  <si>
    <t>064</t>
  </si>
  <si>
    <t xml:space="preserve">6192, 692, 696 </t>
  </si>
  <si>
    <r>
      <rPr>
        <b/>
        <sz val="7"/>
        <rFont val="Helvetica"/>
        <family val="2"/>
      </rPr>
      <t>Not 2</t>
    </r>
    <r>
      <rPr>
        <sz val="7"/>
        <rFont val="Helvetica"/>
        <family val="2"/>
      </rPr>
      <t>: 55x1, 5597, 61 ej [617, 618, 6192], 699, 70 ej 701, 71-72</t>
    </r>
  </si>
  <si>
    <t>Differens mellan summan av rad 900-984 och RR rad 070</t>
  </si>
  <si>
    <t>Enskilda personer, hushåll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</si>
  <si>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</si>
  <si>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</si>
  <si>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</si>
  <si>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</si>
  <si>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</si>
  <si>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</si>
  <si>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Reaförluster o div. period. [78 "ej 787,"]</t>
  </si>
  <si>
    <t>138</t>
  </si>
  <si>
    <t>Grundfondskapital</t>
  </si>
  <si>
    <t>133, 134</t>
  </si>
  <si>
    <t>132, 137</t>
  </si>
  <si>
    <t>104</t>
  </si>
  <si>
    <t>[31]</t>
  </si>
  <si>
    <t>Buss, bil och spårbundna persontransporter</t>
  </si>
  <si>
    <t>Väg- och järnvägsnät, parkering</t>
  </si>
  <si>
    <t xml:space="preserve">Lärverktyg </t>
  </si>
  <si>
    <t>Varor m.m.</t>
  </si>
  <si>
    <t>Kommun-                  nyckel</t>
  </si>
  <si>
    <t>SCB-             nyckel</t>
  </si>
  <si>
    <t xml:space="preserve">             Fördelning i kolumnen kommunnyckel </t>
  </si>
  <si>
    <t xml:space="preserve">             Fördelning i kolumnen SCB-nyckel</t>
  </si>
  <si>
    <t>20</t>
  </si>
  <si>
    <t>Invånarantal 1-5 år</t>
  </si>
  <si>
    <t>Invånarantal 6-12 år</t>
  </si>
  <si>
    <t>Invånarantal 6 år</t>
  </si>
  <si>
    <t>Invånarantal 7-15 år</t>
  </si>
  <si>
    <t>Invånarantal 16-18 år</t>
  </si>
  <si>
    <t>Särskild utbildning för vuxna</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</si>
  <si>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</si>
  <si>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</si>
  <si>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</si>
  <si>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</si>
  <si>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</si>
  <si>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</si>
  <si>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</si>
  <si>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</si>
  <si>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</si>
  <si>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</si>
  <si>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</si>
  <si>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</si>
  <si>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</si>
  <si>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</si>
  <si>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</si>
  <si>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</si>
  <si>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</si>
  <si>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</si>
  <si>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</si>
  <si>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</si>
  <si>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</si>
  <si>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</si>
  <si>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</si>
  <si>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</si>
  <si>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</si>
  <si>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</si>
  <si>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</si>
  <si>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</si>
  <si>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</si>
  <si>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</si>
  <si>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</si>
  <si>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</si>
  <si>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</si>
  <si>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</si>
  <si>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</si>
  <si>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</si>
  <si>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</si>
  <si>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</si>
  <si>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</si>
  <si>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</si>
  <si>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</si>
  <si>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</si>
  <si>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</si>
  <si>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</si>
  <si>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</si>
  <si>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</si>
  <si>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</si>
  <si>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</si>
  <si>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</si>
  <si>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</si>
  <si>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</si>
  <si>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</si>
  <si>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</si>
  <si>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</si>
  <si>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</si>
  <si>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</si>
  <si>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 xml:space="preserve">      varav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</si>
  <si>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</si>
  <si>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</si>
  <si>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</si>
  <si>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</si>
  <si>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</si>
  <si>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</si>
  <si>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</si>
  <si>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</si>
  <si>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</si>
  <si>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</si>
  <si>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</si>
  <si>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</si>
  <si>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</si>
  <si>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</si>
  <si>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</si>
  <si>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</si>
  <si>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Pensionsutbetalningar</t>
  </si>
  <si>
    <t>Uppdragsutbildning m.m.</t>
  </si>
  <si>
    <t>Avgifter till utjämningssystemen</t>
  </si>
  <si>
    <t>(Reavinst vid) Försälj. av anl.tillg.[38]</t>
  </si>
  <si>
    <t>Nyckeltal kostnad kr per invånare eller andel av verksamhet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</si>
  <si>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</si>
  <si>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</si>
  <si>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</si>
  <si>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</si>
  <si>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</si>
  <si>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</si>
  <si>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</si>
  <si>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</si>
  <si>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</si>
  <si>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</si>
  <si>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</si>
  <si>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</si>
  <si>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</si>
  <si>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</si>
  <si>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</si>
  <si>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</si>
  <si>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</si>
  <si>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</si>
  <si>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</si>
  <si>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</si>
  <si>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</si>
  <si>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</si>
  <si>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Intern hantering inom kommunen: Synnerliga skäl att inte täcka underskott eller andra interna justeringar</t>
  </si>
  <si>
    <t>avgår: övriga justeringar</t>
  </si>
  <si>
    <t>tillägg: övriga justeringar</t>
  </si>
  <si>
    <t>varav synnerliga skäl för att inte behöva återställa ett negativt resultat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</si>
  <si>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</si>
  <si>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</si>
  <si>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</si>
  <si>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</si>
  <si>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</si>
  <si>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</si>
  <si>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</si>
  <si>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</si>
  <si>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</si>
  <si>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Avskrivningar, inklusive nedskrivningar</t>
  </si>
  <si>
    <t>bindelser (inklusive borgens- o förlustansvar                   småhus)</t>
  </si>
  <si>
    <t>Pensionsförplikt.    Inkl. löneskatt på</t>
  </si>
  <si>
    <t xml:space="preserve"> som inte har upptagits bland skulder el. avsättningar                pensionsförpliktelse</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</si>
  <si>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</si>
  <si>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</si>
  <si>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</si>
  <si>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</si>
  <si>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</si>
  <si>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</si>
  <si>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</si>
  <si>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</si>
  <si>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</si>
  <si>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</si>
  <si>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</si>
  <si>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</si>
  <si>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</si>
  <si>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</si>
  <si>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</si>
  <si>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</si>
  <si>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</si>
  <si>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</si>
  <si>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</si>
  <si>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</si>
  <si>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</si>
  <si>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</si>
  <si>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</si>
  <si>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</si>
  <si>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</si>
  <si>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</si>
  <si>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</si>
  <si>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</si>
  <si>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</si>
  <si>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</si>
  <si>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</si>
  <si>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</si>
  <si>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</si>
  <si>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</si>
  <si>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</si>
  <si>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</si>
  <si>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</si>
  <si>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</si>
  <si>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</si>
  <si>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</si>
  <si>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</si>
  <si>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</si>
  <si>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</si>
  <si>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</si>
  <si>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</si>
  <si>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</si>
  <si>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</si>
  <si>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</si>
  <si>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</si>
  <si>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del av 238</t>
  </si>
  <si>
    <t>del av 23</t>
  </si>
  <si>
    <t>del av 228</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</si>
  <si>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</si>
  <si>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</si>
  <si>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</si>
  <si>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</si>
  <si>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</si>
  <si>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</si>
  <si>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</si>
  <si>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</si>
  <si>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</si>
  <si>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</si>
  <si>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</si>
  <si>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</si>
  <si>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</si>
  <si>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</si>
  <si>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</si>
  <si>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</si>
  <si>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Därav                                köp av huvud-verksamhet</t>
  </si>
  <si>
    <t>Differens mellan summan av rad 800-844 och RR rad 060:</t>
  </si>
  <si>
    <t>Självrisker</t>
  </si>
  <si>
    <t>Infriad borgen</t>
  </si>
  <si>
    <t>Avgifter</t>
  </si>
  <si>
    <t>Nämnare nyckeltal och kommentar till kontroller</t>
  </si>
  <si>
    <t>Följande jämförelsestörande poster ingår i Resultaträkningen ovan:</t>
  </si>
  <si>
    <t>170</t>
  </si>
  <si>
    <t>175</t>
  </si>
  <si>
    <t>180</t>
  </si>
  <si>
    <t>del av 16</t>
  </si>
  <si>
    <t>Fördelad gemensam verksamhet (rad 920)</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</si>
  <si>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</si>
  <si>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</si>
  <si>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</si>
  <si>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</si>
  <si>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</si>
  <si>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</si>
  <si>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</si>
  <si>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</si>
  <si>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</si>
  <si>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</si>
  <si>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</si>
  <si>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</si>
  <si>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</si>
  <si>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</si>
  <si>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</si>
  <si>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</si>
  <si>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</si>
  <si>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</si>
  <si>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</si>
  <si>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</si>
  <si>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</si>
  <si>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</si>
  <si>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</si>
  <si>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</si>
  <si>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</si>
  <si>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</si>
  <si>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</si>
  <si>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</si>
  <si>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</si>
  <si>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</si>
  <si>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Bruttokostnad  ./. Interna intäkter och försäljning till andra kommuner, kommunalförb. och regioner</t>
  </si>
  <si>
    <t>Övriga finansiella intäkter</t>
  </si>
  <si>
    <t>Övriga finansiella kostnader</t>
  </si>
  <si>
    <t>Räntekostn. för lev.skulder o bankkostn. o liknande</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</si>
  <si>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</si>
  <si>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</si>
  <si>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</si>
  <si>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</si>
  <si>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</si>
  <si>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</si>
  <si>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</si>
  <si>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</si>
  <si>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</si>
  <si>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</si>
  <si>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</si>
  <si>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</si>
  <si>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</si>
  <si>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</si>
  <si>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</si>
  <si>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</si>
  <si>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</si>
  <si>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Verksamhetens resultat</t>
  </si>
  <si>
    <t>[50-51, 53, 54, 55x2, 5598, del av 591]</t>
  </si>
  <si>
    <t>Soc.avg o pens.utbet./kostn. (56(ej 5635), del av 591, 57 (ej572)</t>
  </si>
  <si>
    <t>Förändr.pens.avs.[572] o.särsk.lönesk.pens.avs.[5635], del av 591</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</si>
  <si>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</si>
  <si>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</si>
  <si>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</si>
  <si>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</si>
  <si>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</si>
  <si>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Kommunalförbund och SKR</t>
  </si>
  <si>
    <t>Kostn.ers. o rikt bidrag, MP Arbetsförmedlingen</t>
  </si>
  <si>
    <t>Kostn.ers. o rikt.bidrag, MP kommuner, komm.förb. o region</t>
  </si>
  <si>
    <t>Kostn.ers. o rikt. bidrag, MP staten o statl. myndigh exkl AF, ej invest</t>
  </si>
  <si>
    <t>Förs. av v-het. till region</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</si>
  <si>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</si>
  <si>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</si>
  <si>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</si>
  <si>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</si>
  <si>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</si>
  <si>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</si>
  <si>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</si>
  <si>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</si>
  <si>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r>
      <rPr>
        <b/>
        <sz val="7"/>
        <rFont val="Helvetica"/>
        <family val="2"/>
      </rPr>
      <t xml:space="preserve">Not 1: </t>
    </r>
    <r>
      <rPr>
        <sz val="7"/>
        <rFont val="Helvetica"/>
        <family val="2"/>
      </rPr>
      <t xml:space="preserve">402,403, 41, 43, 64 ej 644, 654, 655  </t>
    </r>
  </si>
  <si>
    <t>Återvunna, tidigare avskrivna kundfordringar</t>
  </si>
  <si>
    <t>Intäkter från exploateringsverksamhet sam försälj. av OT</t>
  </si>
  <si>
    <t>22</t>
  </si>
  <si>
    <t>231</t>
  </si>
  <si>
    <t>Obligations- och förlagslån</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</si>
  <si>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</si>
  <si>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</si>
  <si>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</si>
  <si>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</si>
  <si>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</si>
  <si>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</si>
  <si>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</si>
  <si>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[40"ej 401", 41"ej 418", 43, 617, 618, 62, 64-65, 691]</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</si>
  <si>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</si>
  <si>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</si>
  <si>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</si>
  <si>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</si>
  <si>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</si>
  <si>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</si>
  <si>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</si>
  <si>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</si>
  <si>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</si>
  <si>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</si>
  <si>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</si>
  <si>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[55x1, 5597, 60,"ej 601", 61"ej 617,618", 63, 66, 68, 69"ej 691", 70-72, 731-734, 74, 75, 76, 787]</t>
  </si>
  <si>
    <t>[601 (interna poster)]</t>
  </si>
  <si>
    <t xml:space="preserve">Försäljning av mark, brutto </t>
  </si>
  <si>
    <t>79,                  852 (interna poster) ]</t>
  </si>
  <si>
    <t>+/- Omklassificeringar mellan kontogrupper</t>
  </si>
  <si>
    <t>2341</t>
  </si>
  <si>
    <t>2342</t>
  </si>
  <si>
    <t>Lån i banker och kreditinstitut utländsk valuta</t>
  </si>
  <si>
    <t>Lagstadgade sociala avgifter och särskild löneskatt</t>
  </si>
  <si>
    <t>Not 1: 26-27 (ej 271-272), 289, 29 (ej 292, 293, 296, 298)</t>
  </si>
  <si>
    <t>BAS 22</t>
  </si>
  <si>
    <t>Inköp av mark (inköpspris)</t>
  </si>
  <si>
    <t>Nyckeltal kr/inv
Kommunen</t>
  </si>
  <si>
    <t>Rad
nr</t>
  </si>
  <si>
    <t>Kommunen
2021</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</si>
  <si>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</si>
  <si>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</si>
  <si>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</si>
  <si>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</si>
  <si>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</si>
  <si>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</si>
  <si>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</si>
  <si>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</si>
  <si>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</si>
  <si>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</si>
  <si>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</si>
  <si>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</si>
  <si>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</si>
  <si>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</si>
  <si>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EGET KAPITAL, UTGÅENDE VÄRDE</t>
  </si>
  <si>
    <t>Justering av eget kapital, ingående värde</t>
  </si>
  <si>
    <t>Övrig justeringar i eget kapital</t>
  </si>
  <si>
    <t xml:space="preserve">        därav resultatutjämningsreserv</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</si>
  <si>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</si>
  <si>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</si>
  <si>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</si>
  <si>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</si>
  <si>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</si>
  <si>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</si>
  <si>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</si>
  <si>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</si>
  <si>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</si>
  <si>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</si>
  <si>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</si>
  <si>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</si>
  <si>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</si>
  <si>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</si>
  <si>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</si>
  <si>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</si>
  <si>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</si>
  <si>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</si>
  <si>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</si>
  <si>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</si>
  <si>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</si>
  <si>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</si>
  <si>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</si>
  <si>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</si>
  <si>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</si>
  <si>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</si>
  <si>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</si>
  <si>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</si>
  <si>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</si>
  <si>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</si>
  <si>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</si>
  <si>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</si>
  <si>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</si>
  <si>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</si>
  <si>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</si>
  <si>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</si>
  <si>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</si>
  <si>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</si>
  <si>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</si>
  <si>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</si>
  <si>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</si>
  <si>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</si>
  <si>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</si>
  <si>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</si>
  <si>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</si>
  <si>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</si>
  <si>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</si>
  <si>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</si>
  <si>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r>
      <t xml:space="preserve">Nedan fördelas summan av beloppen i kol. C och D på rad 987, inköp/nyansk. inkl. pågående arbeten. Investeringar i immateriella anl.tillg. ska ingå. Finansiella inköp ska </t>
    </r>
    <r>
      <rPr>
        <b/>
        <u/>
        <sz val="9"/>
        <rFont val="Arial"/>
        <family val="2"/>
      </rPr>
      <t>ej</t>
    </r>
    <r>
      <rPr>
        <b/>
        <sz val="9"/>
        <rFont val="Arial"/>
        <family val="2"/>
      </rPr>
      <t xml:space="preserve"> ingå.</t>
    </r>
  </si>
  <si>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</si>
  <si>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</si>
  <si>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</si>
  <si>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</si>
  <si>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</si>
  <si>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</si>
  <si>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</si>
  <si>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RIKSTOTAL</t>
  </si>
  <si>
    <t>Kommunernas finanser</t>
  </si>
  <si>
    <t>Räkenskapssammandraget 2022</t>
  </si>
  <si>
    <t>Värde Mnkr</t>
  </si>
  <si>
    <t>Därav interna intäkter</t>
  </si>
  <si>
    <t>Publiceringsdatum: 230831</t>
  </si>
  <si>
    <t xml:space="preserve">kommunalförb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</si>
</sst>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kr&quot;#,##0_);[Red]\(&quot;kr&quot;#,##0\)"/>
    <numFmt numFmtId="165" formatCode="_(* #,##0.00_);_(* \(#,##0.00\);_(* &quot;-&quot;??_);_(@_)"/>
    <numFmt numFmtId="166" formatCode="000"/>
    <numFmt numFmtId="167" formatCode="###,###,###"/>
    <numFmt numFmtId="168" formatCode=";;;"/>
    <numFmt numFmtId="169" formatCode="#,##0.0000"/>
    <numFmt numFmtId="170" formatCode="0.0000"/>
    <numFmt numFmtId="171" formatCode="###,##0"/>
    <numFmt numFmtId="172" formatCode="#,###"/>
    <numFmt numFmtId="173" formatCode="#,##0.0000000"/>
    <numFmt numFmtId="174" formatCode="#\ ##0"/>
  </numFmts>
  <fonts count="150">
    <font>
      <sz val="10"/>
      <name val="Arial"/>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8"/>
      <name val="Arial"/>
      <family val="2"/>
    </font>
    <font>
      <sz val="7"/>
      <color indexed="10"/>
      <name val="Arial"/>
      <family val="2"/>
    </font>
    <font>
      <sz val="10"/>
      <color indexed="39"/>
      <name val="Helvetica"/>
      <family val="2"/>
    </font>
    <font>
      <b/>
      <sz val="9"/>
      <name val="Arial"/>
      <family val="2"/>
    </font>
    <font>
      <sz val="10"/>
      <color indexed="9"/>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7"/>
      <name val="Helvetica "/>
    </font>
    <font>
      <sz val="8"/>
      <color indexed="9"/>
      <name val="Helvetica"/>
      <family val="2"/>
    </font>
    <font>
      <sz val="8"/>
      <color indexed="9"/>
      <name val="Cambria"/>
      <family val="1"/>
    </font>
    <font>
      <sz val="10"/>
      <color indexed="9"/>
      <name val="Cambria"/>
      <family val="1"/>
    </font>
    <font>
      <sz val="7"/>
      <name val="Cambria"/>
      <family val="1"/>
    </font>
    <font>
      <sz val="6.5"/>
      <name val="Helvetica"/>
      <family val="2"/>
    </font>
    <font>
      <sz val="9"/>
      <color indexed="81"/>
      <name val="Tahoma"/>
      <family val="2"/>
    </font>
    <font>
      <b/>
      <sz val="9"/>
      <color indexed="81"/>
      <name val="Tahoma"/>
      <family val="2"/>
    </font>
    <font>
      <b/>
      <u/>
      <sz val="9"/>
      <name val="Arial"/>
      <family val="2"/>
    </font>
    <font>
      <sz val="11"/>
      <color theme="1"/>
      <name val="Calibri"/>
      <family val="2"/>
      <scheme val="minor"/>
    </font>
    <font>
      <sz val="11"/>
      <color rgb="FF9C0006"/>
      <name val="Calibri"/>
      <family val="2"/>
      <scheme val="minor"/>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theme="7" tint="0.59999389629810485"/>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7"/>
      <color theme="0"/>
      <name val="Helvetica"/>
      <family val="2"/>
    </font>
    <font>
      <b/>
      <sz val="8"/>
      <color indexed="10"/>
      <name val="Tahoma"/>
      <family val="2"/>
    </font>
    <font>
      <sz val="7"/>
      <color rgb="FFFF0000"/>
      <name val="Helvetica"/>
    </font>
    <font>
      <sz val="7"/>
      <color rgb="FFFF0000"/>
      <name val="Calibri"/>
      <family val="2"/>
      <scheme val="minor"/>
    </font>
    <font>
      <sz val="10"/>
      <name val="Arial"/>
      <family val="2"/>
    </font>
    <font>
      <b/>
      <sz val="10"/>
      <color rgb="FFFFFFC0"/>
      <name val="Helvetica"/>
      <family val="2"/>
    </font>
    <font>
      <sz val="26"/>
      <name val="Arial"/>
      <family val="2"/>
    </font>
  </fonts>
  <fills count="40">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gray125">
        <fgColor indexed="22"/>
        <bgColor theme="0"/>
      </patternFill>
    </fill>
    <fill>
      <patternFill patternType="solid">
        <fgColor theme="0"/>
        <bgColor indexed="64"/>
      </patternFill>
    </fill>
    <fill>
      <patternFill patternType="solid">
        <fgColor rgb="FFFFFFE5"/>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indexed="9"/>
        <bgColor theme="0"/>
      </patternFill>
    </fill>
    <fill>
      <patternFill patternType="solid">
        <fgColor rgb="FFFFFFFF"/>
        <bgColor indexed="64"/>
      </patternFill>
    </fill>
    <fill>
      <patternFill patternType="solid">
        <fgColor rgb="FFFFFFCC"/>
        <bgColor rgb="FFFFFFFF"/>
      </patternFill>
    </fill>
    <fill>
      <patternFill patternType="solid">
        <fgColor rgb="FFFFFFFF"/>
        <bgColor indexed="22"/>
      </patternFill>
    </fill>
    <fill>
      <patternFill patternType="solid">
        <fgColor rgb="FFFFFFFF"/>
        <bgColor rgb="FFFFFFFF"/>
      </patternFill>
    </fill>
    <fill>
      <patternFill patternType="lightGray">
        <fgColor rgb="FF00CCFF"/>
        <bgColor rgb="FFFFFFFF"/>
      </patternFill>
    </fill>
  </fills>
  <borders count="314">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style="medium">
        <color indexed="64"/>
      </right>
      <top style="thin">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rgb="FF000000"/>
      </right>
      <top style="medium">
        <color indexed="64"/>
      </top>
      <bottom/>
      <diagonal/>
    </border>
    <border>
      <left style="hair">
        <color indexed="64"/>
      </left>
      <right style="medium">
        <color rgb="FF000000"/>
      </right>
      <top/>
      <bottom/>
      <diagonal/>
    </border>
    <border>
      <left style="hair">
        <color indexed="64"/>
      </left>
      <right style="medium">
        <color rgb="FF000000"/>
      </right>
      <top/>
      <bottom style="thin">
        <color indexed="64"/>
      </bottom>
      <diagonal/>
    </border>
    <border>
      <left style="hair">
        <color indexed="64"/>
      </left>
      <right style="medium">
        <color rgb="FF000000"/>
      </right>
      <top style="thin">
        <color indexed="64"/>
      </top>
      <bottom style="medium">
        <color indexed="64"/>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medium">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medium">
        <color indexed="64"/>
      </bottom>
      <diagonal/>
    </border>
    <border>
      <left style="hair">
        <color indexed="64"/>
      </left>
      <right style="medium">
        <color rgb="FF000000"/>
      </right>
      <top style="hair">
        <color indexed="64"/>
      </top>
      <bottom style="hair">
        <color indexed="64"/>
      </bottom>
      <diagonal/>
    </border>
    <border>
      <left/>
      <right style="medium">
        <color rgb="FF000000"/>
      </right>
      <top/>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style="hair">
        <color indexed="64"/>
      </left>
      <right style="medium">
        <color rgb="FF000000"/>
      </right>
      <top style="hair">
        <color indexed="64"/>
      </top>
      <bottom style="thin">
        <color indexed="64"/>
      </bottom>
      <diagonal/>
    </border>
    <border>
      <left/>
      <right style="medium">
        <color rgb="FF000000"/>
      </right>
      <top style="hair">
        <color indexed="64"/>
      </top>
      <bottom style="medium">
        <color indexed="64"/>
      </bottom>
      <diagonal/>
    </border>
    <border>
      <left style="hair">
        <color indexed="64"/>
      </left>
      <right style="medium">
        <color rgb="FF000000"/>
      </right>
      <top style="thin">
        <color indexed="64"/>
      </top>
      <bottom style="thin">
        <color indexed="64"/>
      </bottom>
      <diagonal/>
    </border>
    <border>
      <left style="hair">
        <color indexed="64"/>
      </left>
      <right style="medium">
        <color rgb="FF000000"/>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style="hair">
        <color indexed="64"/>
      </top>
      <bottom style="hair">
        <color indexed="64"/>
      </bottom>
      <diagonal/>
    </border>
    <border>
      <left style="medium">
        <color rgb="FF000000"/>
      </left>
      <right style="thin">
        <color indexed="64"/>
      </right>
      <top style="hair">
        <color indexed="64"/>
      </top>
      <bottom style="medium">
        <color indexed="64"/>
      </bottom>
      <diagonal/>
    </border>
    <border>
      <left style="medium">
        <color rgb="FF000000"/>
      </left>
      <right style="thin">
        <color indexed="64"/>
      </right>
      <top style="medium">
        <color indexed="64"/>
      </top>
      <bottom style="hair">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hair">
        <color indexed="64"/>
      </bottom>
      <diagonal/>
    </border>
    <border>
      <left style="medium">
        <color rgb="FF000000"/>
      </left>
      <right style="thin">
        <color indexed="64"/>
      </right>
      <top style="hair">
        <color indexed="64"/>
      </top>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medium">
        <color indexed="64"/>
      </top>
      <bottom style="hair">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hair">
        <color indexed="64"/>
      </top>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style="hair">
        <color indexed="64"/>
      </top>
      <bottom style="thick">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style="medium">
        <color indexed="64"/>
      </right>
      <top/>
      <bottom style="thick">
        <color indexed="64"/>
      </bottom>
      <diagonal/>
    </border>
    <border>
      <left/>
      <right style="medium">
        <color rgb="FF000000"/>
      </right>
      <top/>
      <bottom style="thin">
        <color indexed="64"/>
      </bottom>
      <diagonal/>
    </border>
    <border>
      <left style="hair">
        <color indexed="64"/>
      </left>
      <right style="medium">
        <color rgb="FF000000"/>
      </right>
      <top style="thin">
        <color indexed="64"/>
      </top>
      <bottom/>
      <diagonal/>
    </border>
    <border>
      <left style="thin">
        <color rgb="FF000000"/>
      </left>
      <right/>
      <top style="medium">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bottom style="medium">
        <color indexed="64"/>
      </bottom>
      <diagonal/>
    </border>
    <border>
      <left/>
      <right style="medium">
        <color rgb="FF000000"/>
      </right>
      <top style="medium">
        <color indexed="64"/>
      </top>
      <bottom/>
      <diagonal/>
    </border>
    <border>
      <left/>
      <right/>
      <top/>
      <bottom style="medium">
        <color rgb="FF000000"/>
      </bottom>
      <diagonal/>
    </border>
    <border>
      <left style="medium">
        <color rgb="FF000000"/>
      </left>
      <right/>
      <top style="hair">
        <color indexed="64"/>
      </top>
      <bottom style="medium">
        <color rgb="FF000000"/>
      </bottom>
      <diagonal/>
    </border>
    <border>
      <left style="medium">
        <color rgb="FF000000"/>
      </left>
      <right/>
      <top/>
      <bottom/>
      <diagonal/>
    </border>
    <border>
      <left style="medium">
        <color rgb="FF000000"/>
      </left>
      <right style="hair">
        <color indexed="64"/>
      </right>
      <top style="hair">
        <color indexed="64"/>
      </top>
      <bottom style="hair">
        <color indexed="64"/>
      </bottom>
      <diagonal/>
    </border>
    <border>
      <left style="medium">
        <color rgb="FF000000"/>
      </left>
      <right/>
      <top/>
      <bottom style="medium">
        <color rgb="FF000000"/>
      </bottom>
      <diagonal/>
    </border>
    <border>
      <left style="medium">
        <color rgb="FF000000"/>
      </left>
      <right style="hair">
        <color indexed="64"/>
      </right>
      <top/>
      <bottom style="hair">
        <color indexed="64"/>
      </bottom>
      <diagonal/>
    </border>
    <border>
      <left style="medium">
        <color rgb="FF000000"/>
      </left>
      <right style="hair">
        <color indexed="64"/>
      </right>
      <top/>
      <bottom style="medium">
        <color indexed="64"/>
      </bottom>
      <diagonal/>
    </border>
    <border>
      <left style="medium">
        <color rgb="FF000000"/>
      </left>
      <right style="hair">
        <color indexed="64"/>
      </right>
      <top style="hair">
        <color indexed="64"/>
      </top>
      <bottom/>
      <diagonal/>
    </border>
    <border>
      <left style="thin">
        <color indexed="64"/>
      </left>
      <right style="medium">
        <color rgb="FF000000"/>
      </right>
      <top/>
      <bottom style="thin">
        <color indexed="64"/>
      </bottom>
      <diagonal/>
    </border>
    <border>
      <left style="hair">
        <color indexed="64"/>
      </left>
      <right style="medium">
        <color rgb="FF000000"/>
      </right>
      <top style="thin">
        <color indexed="64"/>
      </top>
      <bottom style="hair">
        <color indexed="64"/>
      </bottom>
      <diagonal/>
    </border>
    <border>
      <left/>
      <right style="medium">
        <color rgb="FF000000"/>
      </right>
      <top/>
      <bottom style="medium">
        <color rgb="FF000000"/>
      </bottom>
      <diagonal/>
    </border>
    <border>
      <left style="medium">
        <color rgb="FF000000"/>
      </left>
      <right/>
      <top style="medium">
        <color indexed="64"/>
      </top>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bottom style="medium">
        <color indexed="64"/>
      </bottom>
      <diagonal/>
    </border>
    <border>
      <left style="medium">
        <color rgb="FF000000"/>
      </left>
      <right/>
      <top/>
      <bottom style="hair">
        <color indexed="64"/>
      </bottom>
      <diagonal/>
    </border>
    <border>
      <left/>
      <right style="medium">
        <color rgb="FF000000"/>
      </right>
      <top style="thin">
        <color indexed="64"/>
      </top>
      <bottom/>
      <diagonal/>
    </border>
    <border>
      <left style="medium">
        <color rgb="FF000000"/>
      </left>
      <right/>
      <top style="medium">
        <color rgb="FF000000"/>
      </top>
      <bottom style="hair">
        <color indexed="64"/>
      </bottom>
      <diagonal/>
    </border>
    <border>
      <left/>
      <right style="medium">
        <color rgb="FF000000"/>
      </right>
      <top style="medium">
        <color rgb="FF000000"/>
      </top>
      <bottom style="hair">
        <color indexed="64"/>
      </bottom>
      <diagonal/>
    </border>
    <border>
      <left/>
      <right/>
      <top style="hair">
        <color indexed="64"/>
      </top>
      <bottom style="medium">
        <color rgb="FF000000"/>
      </bottom>
      <diagonal/>
    </border>
  </borders>
  <cellStyleXfs count="17">
    <xf numFmtId="0" fontId="0" fillId="0" borderId="0"/>
    <xf numFmtId="0" fontId="110" fillId="19" borderId="224" applyNumberFormat="0" applyFont="0" applyAlignment="0" applyProtection="0"/>
    <xf numFmtId="0" fontId="110" fillId="19" borderId="224" applyNumberFormat="0" applyFont="0" applyAlignment="0" applyProtection="0"/>
    <xf numFmtId="0" fontId="111" fillId="20" borderId="0" applyNumberFormat="0" applyBorder="0" applyAlignment="0" applyProtection="0"/>
    <xf numFmtId="0" fontId="57" fillId="0" borderId="0" applyNumberFormat="0" applyFill="0" applyBorder="0" applyAlignment="0" applyProtection="0">
      <alignment vertical="top"/>
      <protection locked="0"/>
    </xf>
    <xf numFmtId="0" fontId="24" fillId="0" borderId="0"/>
    <xf numFmtId="0" fontId="24" fillId="0" borderId="0"/>
    <xf numFmtId="0" fontId="110" fillId="0" borderId="0"/>
    <xf numFmtId="0" fontId="110" fillId="0" borderId="0"/>
    <xf numFmtId="0" fontId="19" fillId="0" borderId="0"/>
    <xf numFmtId="0" fontId="35" fillId="0" borderId="0"/>
    <xf numFmtId="0" fontId="1" fillId="0" borderId="0"/>
    <xf numFmtId="9" fontId="34" fillId="0" borderId="0" applyFont="0" applyFill="0" applyBorder="0" applyAlignment="0" applyProtection="0"/>
    <xf numFmtId="9" fontId="24" fillId="0" borderId="0" applyFont="0" applyFill="0" applyBorder="0" applyAlignment="0" applyProtection="0"/>
    <xf numFmtId="38" fontId="23" fillId="0" borderId="0" applyFont="0" applyFill="0" applyBorder="0" applyAlignment="0" applyProtection="0"/>
    <xf numFmtId="164" fontId="23" fillId="0" borderId="0" applyFont="0" applyFill="0" applyBorder="0" applyAlignment="0" applyProtection="0"/>
    <xf numFmtId="165" fontId="147" fillId="0" borderId="0" applyFont="0" applyFill="0" applyBorder="0" applyAlignment="0" applyProtection="0"/>
  </cellStyleXfs>
  <cellXfs count="2635">
    <xf numFmtId="0" fontId="0" fillId="0" borderId="0" xfId="0"/>
    <xf numFmtId="0" fontId="1" fillId="0" borderId="0" xfId="0" applyFont="1" applyProtection="1"/>
    <xf numFmtId="0" fontId="20"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0" fillId="2" borderId="0" xfId="0" applyFill="1" applyProtection="1"/>
    <xf numFmtId="0" fontId="1" fillId="2" borderId="0" xfId="0" applyFont="1" applyFill="1" applyProtection="1"/>
    <xf numFmtId="49" fontId="3"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left"/>
    </xf>
    <xf numFmtId="0" fontId="3" fillId="2" borderId="0" xfId="0" applyFont="1" applyFill="1" applyBorder="1" applyProtection="1"/>
    <xf numFmtId="3" fontId="1" fillId="2" borderId="0" xfId="0" applyNumberFormat="1" applyFont="1" applyFill="1" applyBorder="1" applyProtection="1"/>
    <xf numFmtId="0" fontId="7" fillId="2" borderId="0" xfId="0" applyFont="1" applyFill="1" applyBorder="1" applyProtection="1"/>
    <xf numFmtId="0" fontId="8" fillId="2" borderId="0" xfId="0" applyFont="1" applyFill="1" applyBorder="1" applyProtection="1"/>
    <xf numFmtId="0" fontId="1" fillId="2" borderId="0" xfId="0" applyFont="1" applyFill="1" applyBorder="1" applyProtection="1"/>
    <xf numFmtId="0" fontId="8" fillId="2" borderId="0" xfId="0" applyFont="1" applyFill="1" applyProtection="1"/>
    <xf numFmtId="3" fontId="4" fillId="2" borderId="0" xfId="0" applyNumberFormat="1" applyFont="1" applyFill="1" applyBorder="1" applyProtection="1"/>
    <xf numFmtId="166" fontId="11" fillId="0" borderId="1" xfId="0" applyNumberFormat="1" applyFont="1" applyFill="1" applyBorder="1" applyAlignment="1" applyProtection="1">
      <alignment horizontal="center" vertical="center"/>
    </xf>
    <xf numFmtId="0" fontId="13" fillId="2" borderId="0" xfId="0" applyFont="1" applyFill="1" applyBorder="1" applyAlignment="1" applyProtection="1">
      <alignment horizontal="left"/>
    </xf>
    <xf numFmtId="1" fontId="16" fillId="0" borderId="0" xfId="0" applyNumberFormat="1" applyFont="1" applyFill="1" applyBorder="1" applyAlignment="1" applyProtection="1">
      <alignment horizontal="center"/>
    </xf>
    <xf numFmtId="0" fontId="16" fillId="0" borderId="0" xfId="0" applyFont="1" applyFill="1" applyBorder="1" applyProtection="1"/>
    <xf numFmtId="3" fontId="13" fillId="0" borderId="0" xfId="0" applyNumberFormat="1" applyFont="1" applyFill="1" applyBorder="1" applyProtection="1"/>
    <xf numFmtId="3" fontId="13" fillId="2" borderId="2" xfId="0" applyNumberFormat="1" applyFont="1" applyFill="1" applyBorder="1" applyAlignment="1" applyProtection="1">
      <alignment horizontal="right"/>
      <protection locked="0"/>
    </xf>
    <xf numFmtId="3" fontId="13" fillId="2" borderId="3" xfId="0" applyNumberFormat="1" applyFont="1" applyFill="1" applyBorder="1" applyAlignment="1" applyProtection="1">
      <alignment horizontal="right"/>
      <protection locked="0"/>
    </xf>
    <xf numFmtId="3" fontId="13" fillId="2" borderId="4" xfId="0" applyNumberFormat="1" applyFont="1" applyFill="1" applyBorder="1" applyAlignment="1" applyProtection="1">
      <alignment horizontal="right"/>
      <protection locked="0"/>
    </xf>
    <xf numFmtId="3" fontId="13" fillId="2" borderId="5" xfId="0" applyNumberFormat="1" applyFont="1" applyFill="1" applyBorder="1" applyAlignment="1" applyProtection="1">
      <alignment horizontal="right"/>
      <protection locked="0"/>
    </xf>
    <xf numFmtId="3" fontId="13" fillId="2" borderId="6" xfId="0" applyNumberFormat="1" applyFont="1" applyFill="1" applyBorder="1" applyAlignment="1" applyProtection="1">
      <alignment horizontal="right"/>
      <protection locked="0"/>
    </xf>
    <xf numFmtId="3" fontId="13" fillId="2" borderId="7" xfId="0" applyNumberFormat="1" applyFont="1" applyFill="1" applyBorder="1" applyAlignment="1" applyProtection="1">
      <alignment horizontal="right"/>
      <protection locked="0"/>
    </xf>
    <xf numFmtId="3" fontId="13" fillId="3" borderId="6" xfId="0" applyNumberFormat="1" applyFont="1" applyFill="1" applyBorder="1" applyAlignment="1" applyProtection="1">
      <alignment horizontal="right"/>
    </xf>
    <xf numFmtId="3" fontId="13" fillId="2" borderId="8" xfId="0" applyNumberFormat="1" applyFont="1" applyFill="1" applyBorder="1" applyAlignment="1" applyProtection="1">
      <alignment horizontal="right"/>
      <protection locked="0"/>
    </xf>
    <xf numFmtId="3" fontId="13" fillId="2" borderId="9" xfId="0" applyNumberFormat="1" applyFont="1" applyFill="1" applyBorder="1" applyAlignment="1" applyProtection="1">
      <alignment horizontal="right"/>
      <protection locked="0"/>
    </xf>
    <xf numFmtId="3" fontId="13" fillId="2" borderId="10" xfId="0" applyNumberFormat="1" applyFont="1" applyFill="1" applyBorder="1" applyAlignment="1" applyProtection="1">
      <alignment horizontal="right"/>
      <protection locked="0"/>
    </xf>
    <xf numFmtId="3" fontId="13" fillId="2" borderId="0" xfId="0" applyNumberFormat="1" applyFont="1" applyFill="1" applyBorder="1" applyProtection="1"/>
    <xf numFmtId="3" fontId="13" fillId="2" borderId="0" xfId="0" applyNumberFormat="1" applyFont="1" applyFill="1" applyBorder="1" applyAlignment="1" applyProtection="1">
      <alignment horizontal="right"/>
    </xf>
    <xf numFmtId="0" fontId="25" fillId="2" borderId="0" xfId="0" applyFont="1" applyFill="1" applyBorder="1" applyProtection="1"/>
    <xf numFmtId="3" fontId="8" fillId="2" borderId="0" xfId="0" applyNumberFormat="1" applyFont="1" applyFill="1" applyBorder="1" applyProtection="1"/>
    <xf numFmtId="3" fontId="8" fillId="2" borderId="0" xfId="0" applyNumberFormat="1" applyFont="1" applyFill="1" applyBorder="1" applyAlignment="1" applyProtection="1"/>
    <xf numFmtId="0" fontId="25" fillId="2" borderId="0" xfId="0" applyFont="1" applyFill="1" applyProtection="1"/>
    <xf numFmtId="0" fontId="55" fillId="2" borderId="0" xfId="0" applyFont="1" applyFill="1" applyBorder="1" applyAlignment="1" applyProtection="1">
      <alignment vertical="top"/>
    </xf>
    <xf numFmtId="168" fontId="8" fillId="2" borderId="0" xfId="0" applyNumberFormat="1" applyFont="1" applyFill="1" applyBorder="1" applyProtection="1"/>
    <xf numFmtId="3" fontId="13" fillId="2" borderId="0" xfId="0" applyNumberFormat="1" applyFont="1" applyFill="1" applyBorder="1" applyAlignment="1" applyProtection="1">
      <alignment horizontal="left"/>
    </xf>
    <xf numFmtId="3" fontId="5" fillId="2" borderId="0" xfId="0" applyNumberFormat="1" applyFont="1" applyFill="1" applyBorder="1" applyProtection="1"/>
    <xf numFmtId="0" fontId="13" fillId="2" borderId="0" xfId="0" applyFont="1" applyFill="1" applyBorder="1" applyProtection="1"/>
    <xf numFmtId="1" fontId="39" fillId="2" borderId="0" xfId="0" applyNumberFormat="1" applyFont="1" applyFill="1" applyBorder="1" applyAlignment="1" applyProtection="1">
      <alignment horizontal="left"/>
    </xf>
    <xf numFmtId="167" fontId="46" fillId="2" borderId="0" xfId="0" applyNumberFormat="1" applyFont="1" applyFill="1" applyBorder="1" applyProtection="1"/>
    <xf numFmtId="3" fontId="36" fillId="2" borderId="0" xfId="0" applyNumberFormat="1" applyFont="1" applyFill="1" applyProtection="1"/>
    <xf numFmtId="0" fontId="7" fillId="2" borderId="0" xfId="0" applyFont="1" applyFill="1" applyProtection="1"/>
    <xf numFmtId="0" fontId="3" fillId="2" borderId="0" xfId="0" applyFont="1" applyFill="1" applyProtection="1"/>
    <xf numFmtId="3" fontId="7" fillId="2" borderId="11" xfId="0" applyNumberFormat="1" applyFont="1" applyFill="1" applyBorder="1" applyProtection="1"/>
    <xf numFmtId="3" fontId="7" fillId="2" borderId="0" xfId="0" applyNumberFormat="1" applyFont="1" applyFill="1" applyBorder="1" applyProtection="1"/>
    <xf numFmtId="3" fontId="8" fillId="4" borderId="0" xfId="0" applyNumberFormat="1" applyFont="1" applyFill="1" applyBorder="1" applyProtection="1"/>
    <xf numFmtId="3" fontId="13" fillId="5"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left"/>
    </xf>
    <xf numFmtId="3" fontId="13" fillId="5" borderId="0" xfId="0" applyNumberFormat="1" applyFont="1" applyFill="1" applyBorder="1" applyAlignment="1" applyProtection="1"/>
    <xf numFmtId="3" fontId="2" fillId="2" borderId="5" xfId="0" applyNumberFormat="1" applyFont="1" applyFill="1" applyBorder="1" applyAlignment="1" applyProtection="1">
      <alignment horizontal="right"/>
      <protection locked="0"/>
    </xf>
    <xf numFmtId="3" fontId="2" fillId="2" borderId="12" xfId="0" applyNumberFormat="1" applyFont="1" applyFill="1" applyBorder="1" applyAlignment="1" applyProtection="1">
      <alignment horizontal="right"/>
      <protection locked="0"/>
    </xf>
    <xf numFmtId="3" fontId="52" fillId="2" borderId="0" xfId="0" applyNumberFormat="1" applyFont="1" applyFill="1" applyBorder="1" applyProtection="1"/>
    <xf numFmtId="3" fontId="13" fillId="6" borderId="0" xfId="0" applyNumberFormat="1" applyFont="1" applyFill="1" applyBorder="1" applyAlignment="1" applyProtection="1">
      <alignment horizontal="right"/>
    </xf>
    <xf numFmtId="3" fontId="13" fillId="6" borderId="0" xfId="0" applyNumberFormat="1" applyFont="1" applyFill="1" applyBorder="1" applyAlignment="1" applyProtection="1"/>
    <xf numFmtId="0" fontId="63" fillId="2" borderId="0" xfId="0" applyFont="1" applyFill="1" applyBorder="1" applyAlignment="1" applyProtection="1"/>
    <xf numFmtId="0" fontId="65" fillId="2" borderId="0" xfId="0" quotePrefix="1" applyFont="1" applyFill="1" applyBorder="1" applyAlignment="1" applyProtection="1"/>
    <xf numFmtId="0" fontId="66" fillId="2" borderId="0" xfId="0" applyNumberFormat="1" applyFont="1" applyFill="1" applyProtection="1">
      <protection hidden="1"/>
    </xf>
    <xf numFmtId="0" fontId="66" fillId="2" borderId="0" xfId="0" applyNumberFormat="1" applyFont="1" applyFill="1" applyProtection="1"/>
    <xf numFmtId="0" fontId="67" fillId="2" borderId="0" xfId="0" applyNumberFormat="1" applyFont="1" applyFill="1" applyProtection="1"/>
    <xf numFmtId="0" fontId="67" fillId="2" borderId="0" xfId="0" applyFont="1" applyFill="1" applyProtection="1"/>
    <xf numFmtId="3" fontId="3" fillId="2" borderId="0" xfId="0" applyNumberFormat="1" applyFont="1" applyFill="1" applyBorder="1" applyProtection="1"/>
    <xf numFmtId="3" fontId="2" fillId="2" borderId="2" xfId="0" applyNumberFormat="1" applyFont="1" applyFill="1" applyBorder="1" applyAlignment="1" applyProtection="1">
      <alignment horizontal="right"/>
      <protection locked="0"/>
    </xf>
    <xf numFmtId="0" fontId="9" fillId="2" borderId="0" xfId="0" applyFont="1" applyFill="1" applyProtection="1"/>
    <xf numFmtId="168" fontId="9" fillId="2" borderId="0" xfId="0" applyNumberFormat="1" applyFont="1" applyFill="1" applyProtection="1"/>
    <xf numFmtId="0" fontId="37" fillId="2" borderId="0" xfId="0" applyFont="1" applyFill="1" applyProtection="1"/>
    <xf numFmtId="0" fontId="68" fillId="2" borderId="0" xfId="0" applyFont="1" applyFill="1" applyProtection="1"/>
    <xf numFmtId="0" fontId="36" fillId="2" borderId="0" xfId="0" applyFont="1" applyFill="1" applyBorder="1" applyAlignment="1" applyProtection="1">
      <alignment horizontal="left" vertical="top"/>
    </xf>
    <xf numFmtId="3" fontId="2" fillId="0" borderId="0" xfId="0" applyNumberFormat="1" applyFont="1" applyFill="1" applyBorder="1" applyAlignment="1" applyProtection="1">
      <alignment horizontal="right"/>
    </xf>
    <xf numFmtId="3" fontId="5" fillId="4" borderId="0" xfId="0" applyNumberFormat="1" applyFont="1" applyFill="1" applyBorder="1" applyProtection="1"/>
    <xf numFmtId="0" fontId="55" fillId="2" borderId="0" xfId="0" applyFont="1" applyFill="1" applyAlignment="1" applyProtection="1">
      <alignment vertical="top"/>
    </xf>
    <xf numFmtId="0" fontId="51" fillId="2" borderId="0" xfId="0" applyFont="1" applyFill="1" applyAlignment="1" applyProtection="1"/>
    <xf numFmtId="0" fontId="51" fillId="2" borderId="0" xfId="0" applyFont="1" applyFill="1" applyAlignment="1" applyProtection="1">
      <alignment vertical="top"/>
    </xf>
    <xf numFmtId="0" fontId="33" fillId="7" borderId="0" xfId="0" applyFont="1" applyFill="1" applyBorder="1" applyAlignment="1" applyProtection="1">
      <alignment horizontal="left"/>
    </xf>
    <xf numFmtId="0" fontId="30" fillId="7" borderId="0" xfId="0" applyFont="1" applyFill="1" applyBorder="1" applyAlignment="1" applyProtection="1">
      <alignment horizontal="left"/>
    </xf>
    <xf numFmtId="0" fontId="3" fillId="0" borderId="0" xfId="0" applyFont="1" applyFill="1" applyProtection="1"/>
    <xf numFmtId="3" fontId="2" fillId="8" borderId="13" xfId="0" applyNumberFormat="1" applyFont="1" applyFill="1" applyBorder="1" applyAlignment="1" applyProtection="1">
      <alignment horizontal="right"/>
    </xf>
    <xf numFmtId="3" fontId="2" fillId="9" borderId="14" xfId="0" applyNumberFormat="1" applyFont="1" applyFill="1" applyBorder="1" applyAlignment="1" applyProtection="1">
      <alignment horizontal="right"/>
    </xf>
    <xf numFmtId="3" fontId="2" fillId="9" borderId="9" xfId="0" applyNumberFormat="1" applyFont="1" applyFill="1" applyBorder="1" applyAlignment="1" applyProtection="1">
      <alignment horizontal="right"/>
    </xf>
    <xf numFmtId="3" fontId="2" fillId="9" borderId="7" xfId="0" applyNumberFormat="1" applyFont="1" applyFill="1" applyBorder="1" applyAlignment="1" applyProtection="1">
      <alignment horizontal="right"/>
    </xf>
    <xf numFmtId="3" fontId="2" fillId="9" borderId="15" xfId="0" applyNumberFormat="1" applyFont="1" applyFill="1" applyBorder="1" applyAlignment="1" applyProtection="1">
      <alignment horizontal="right"/>
    </xf>
    <xf numFmtId="3" fontId="2" fillId="9" borderId="17" xfId="0" applyNumberFormat="1" applyFont="1" applyFill="1" applyBorder="1" applyAlignment="1" applyProtection="1">
      <alignment horizontal="right"/>
    </xf>
    <xf numFmtId="3" fontId="2" fillId="9" borderId="5"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Protection="1"/>
    <xf numFmtId="0" fontId="3" fillId="0" borderId="0" xfId="0" applyFont="1" applyFill="1" applyBorder="1" applyAlignment="1" applyProtection="1">
      <alignment horizontal="left"/>
    </xf>
    <xf numFmtId="0" fontId="33" fillId="7" borderId="0" xfId="0" applyFont="1" applyFill="1" applyAlignment="1" applyProtection="1">
      <alignment vertical="top"/>
    </xf>
    <xf numFmtId="0" fontId="31" fillId="7" borderId="0" xfId="0" applyFont="1" applyFill="1" applyProtection="1"/>
    <xf numFmtId="0" fontId="32" fillId="7" borderId="0" xfId="0" applyFont="1" applyFill="1" applyProtection="1"/>
    <xf numFmtId="0" fontId="33" fillId="7" borderId="0" xfId="0" quotePrefix="1" applyFont="1" applyFill="1" applyBorder="1" applyAlignment="1" applyProtection="1">
      <alignment horizontal="left"/>
    </xf>
    <xf numFmtId="0" fontId="60" fillId="7" borderId="0" xfId="0" applyFont="1" applyFill="1" applyProtection="1"/>
    <xf numFmtId="0" fontId="61" fillId="7" borderId="0" xfId="0" applyFont="1" applyFill="1" applyProtection="1"/>
    <xf numFmtId="168" fontId="61" fillId="7" borderId="0" xfId="0" applyNumberFormat="1" applyFont="1" applyFill="1" applyProtection="1"/>
    <xf numFmtId="3" fontId="2" fillId="9" borderId="9" xfId="0" applyNumberFormat="1" applyFont="1" applyFill="1" applyBorder="1" applyProtection="1"/>
    <xf numFmtId="3" fontId="2" fillId="9" borderId="5" xfId="0" applyNumberFormat="1" applyFont="1" applyFill="1" applyBorder="1" applyProtection="1"/>
    <xf numFmtId="3" fontId="2" fillId="2" borderId="18" xfId="0" applyNumberFormat="1" applyFont="1" applyFill="1" applyBorder="1" applyAlignment="1" applyProtection="1">
      <alignment horizontal="right"/>
      <protection locked="0"/>
    </xf>
    <xf numFmtId="3" fontId="13" fillId="2" borderId="18" xfId="0" applyNumberFormat="1" applyFont="1" applyFill="1" applyBorder="1" applyAlignment="1" applyProtection="1">
      <alignment horizontal="right"/>
      <protection locked="0"/>
    </xf>
    <xf numFmtId="3" fontId="13" fillId="2" borderId="19" xfId="0" applyNumberFormat="1" applyFont="1" applyFill="1" applyBorder="1" applyAlignment="1" applyProtection="1">
      <alignment horizontal="right"/>
      <protection locked="0"/>
    </xf>
    <xf numFmtId="3" fontId="13" fillId="2" borderId="20" xfId="0" applyNumberFormat="1" applyFont="1" applyFill="1" applyBorder="1" applyAlignment="1" applyProtection="1">
      <alignment horizontal="right"/>
      <protection locked="0"/>
    </xf>
    <xf numFmtId="3" fontId="13" fillId="2" borderId="21" xfId="0" applyNumberFormat="1" applyFont="1" applyFill="1" applyBorder="1" applyAlignment="1" applyProtection="1">
      <alignment horizontal="right"/>
      <protection locked="0"/>
    </xf>
    <xf numFmtId="3" fontId="13" fillId="2" borderId="22" xfId="0" applyNumberFormat="1" applyFont="1" applyFill="1" applyBorder="1" applyAlignment="1" applyProtection="1">
      <alignment horizontal="right"/>
      <protection locked="0"/>
    </xf>
    <xf numFmtId="3" fontId="13" fillId="3" borderId="19" xfId="0" applyNumberFormat="1" applyFont="1" applyFill="1" applyBorder="1" applyAlignment="1" applyProtection="1">
      <alignment horizontal="right"/>
    </xf>
    <xf numFmtId="3" fontId="13" fillId="2" borderId="23" xfId="0" applyNumberFormat="1" applyFont="1" applyFill="1" applyBorder="1" applyAlignment="1" applyProtection="1">
      <alignment horizontal="right"/>
      <protection locked="0"/>
    </xf>
    <xf numFmtId="3" fontId="13" fillId="2" borderId="24" xfId="0" applyNumberFormat="1" applyFont="1" applyFill="1" applyBorder="1" applyAlignment="1" applyProtection="1">
      <alignment horizontal="right"/>
      <protection locked="0"/>
    </xf>
    <xf numFmtId="3" fontId="13" fillId="2" borderId="25" xfId="0" applyNumberFormat="1" applyFont="1" applyFill="1" applyBorder="1" applyAlignment="1" applyProtection="1">
      <alignment horizontal="right"/>
      <protection locked="0"/>
    </xf>
    <xf numFmtId="3" fontId="13" fillId="2" borderId="26" xfId="0" applyNumberFormat="1" applyFont="1" applyFill="1" applyBorder="1" applyAlignment="1" applyProtection="1">
      <alignment horizontal="right"/>
      <protection locked="0"/>
    </xf>
    <xf numFmtId="0" fontId="5" fillId="2" borderId="0" xfId="0" applyFont="1" applyFill="1" applyBorder="1" applyProtection="1"/>
    <xf numFmtId="0" fontId="8" fillId="4" borderId="0" xfId="0" applyFont="1" applyFill="1" applyBorder="1" applyProtection="1"/>
    <xf numFmtId="3" fontId="13" fillId="5" borderId="27" xfId="0" applyNumberFormat="1" applyFont="1" applyFill="1" applyBorder="1" applyAlignment="1" applyProtection="1">
      <alignment horizontal="right"/>
    </xf>
    <xf numFmtId="3" fontId="13" fillId="2" borderId="28" xfId="0" applyNumberFormat="1" applyFont="1" applyFill="1" applyBorder="1" applyAlignment="1" applyProtection="1">
      <alignment horizontal="right"/>
      <protection locked="0"/>
    </xf>
    <xf numFmtId="3" fontId="13" fillId="2" borderId="29" xfId="0" applyNumberFormat="1" applyFont="1" applyFill="1" applyBorder="1" applyAlignment="1" applyProtection="1">
      <alignment horizontal="right"/>
      <protection locked="0"/>
    </xf>
    <xf numFmtId="3" fontId="13" fillId="2" borderId="30" xfId="0" applyNumberFormat="1" applyFont="1" applyFill="1" applyBorder="1" applyAlignment="1" applyProtection="1">
      <alignment horizontal="right"/>
      <protection locked="0"/>
    </xf>
    <xf numFmtId="3" fontId="13" fillId="3" borderId="31" xfId="0" applyNumberFormat="1" applyFont="1" applyFill="1" applyBorder="1" applyAlignment="1" applyProtection="1">
      <alignment horizontal="right"/>
    </xf>
    <xf numFmtId="3" fontId="13" fillId="3" borderId="29" xfId="0" applyNumberFormat="1" applyFont="1" applyFill="1" applyBorder="1" applyAlignment="1" applyProtection="1">
      <alignment horizontal="right"/>
    </xf>
    <xf numFmtId="3" fontId="13" fillId="3" borderId="32" xfId="0" applyNumberFormat="1" applyFont="1" applyFill="1" applyBorder="1" applyAlignment="1" applyProtection="1">
      <alignment horizontal="right"/>
    </xf>
    <xf numFmtId="3" fontId="13" fillId="2" borderId="32" xfId="0" applyNumberFormat="1" applyFont="1" applyFill="1" applyBorder="1" applyAlignment="1" applyProtection="1">
      <alignment horizontal="right"/>
      <protection locked="0"/>
    </xf>
    <xf numFmtId="3" fontId="2" fillId="9" borderId="33" xfId="0" applyNumberFormat="1" applyFont="1" applyFill="1" applyBorder="1" applyProtection="1"/>
    <xf numFmtId="3" fontId="2" fillId="9" borderId="34" xfId="0" applyNumberFormat="1" applyFont="1" applyFill="1" applyBorder="1" applyAlignment="1" applyProtection="1">
      <alignment horizontal="right"/>
    </xf>
    <xf numFmtId="3" fontId="2" fillId="9" borderId="35" xfId="0" applyNumberFormat="1" applyFont="1" applyFill="1" applyBorder="1" applyAlignment="1" applyProtection="1">
      <alignment horizontal="right"/>
    </xf>
    <xf numFmtId="0" fontId="3" fillId="10" borderId="36" xfId="0" applyFont="1" applyFill="1" applyBorder="1" applyAlignment="1" applyProtection="1">
      <alignment horizontal="center"/>
    </xf>
    <xf numFmtId="0" fontId="3" fillId="10" borderId="37" xfId="0" applyFont="1" applyFill="1" applyBorder="1" applyAlignment="1" applyProtection="1">
      <alignment horizontal="center"/>
    </xf>
    <xf numFmtId="0" fontId="3" fillId="10" borderId="38" xfId="0" applyFont="1" applyFill="1" applyBorder="1" applyAlignment="1" applyProtection="1">
      <alignment horizontal="center"/>
    </xf>
    <xf numFmtId="0" fontId="36" fillId="2" borderId="0" xfId="0" applyFont="1" applyFill="1" applyBorder="1" applyProtection="1"/>
    <xf numFmtId="3" fontId="7" fillId="2" borderId="39" xfId="0" applyNumberFormat="1" applyFont="1" applyFill="1" applyBorder="1" applyProtection="1"/>
    <xf numFmtId="3" fontId="38" fillId="2" borderId="39" xfId="0" applyNumberFormat="1" applyFont="1" applyFill="1" applyBorder="1" applyAlignment="1" applyProtection="1">
      <alignment horizontal="left"/>
    </xf>
    <xf numFmtId="3" fontId="2" fillId="9" borderId="40" xfId="0" applyNumberFormat="1" applyFont="1" applyFill="1" applyBorder="1" applyAlignment="1" applyProtection="1">
      <alignment horizontal="right"/>
    </xf>
    <xf numFmtId="3" fontId="2" fillId="9" borderId="20" xfId="0" applyNumberFormat="1" applyFont="1" applyFill="1" applyBorder="1" applyAlignment="1" applyProtection="1">
      <alignment horizontal="right"/>
    </xf>
    <xf numFmtId="3" fontId="2" fillId="9" borderId="41" xfId="0" applyNumberFormat="1" applyFont="1" applyFill="1" applyBorder="1" applyAlignment="1" applyProtection="1">
      <alignment horizontal="right"/>
    </xf>
    <xf numFmtId="0" fontId="33" fillId="7" borderId="0" xfId="5" applyFont="1" applyFill="1" applyBorder="1" applyAlignment="1" applyProtection="1">
      <alignment horizontal="left"/>
    </xf>
    <xf numFmtId="0" fontId="30" fillId="7" borderId="0" xfId="5" applyFont="1" applyFill="1" applyBorder="1" applyAlignment="1" applyProtection="1">
      <alignment horizontal="left"/>
    </xf>
    <xf numFmtId="3" fontId="2" fillId="2" borderId="5" xfId="5" applyNumberFormat="1" applyFont="1" applyFill="1" applyBorder="1" applyAlignment="1" applyProtection="1">
      <alignment horizontal="right"/>
      <protection locked="0"/>
    </xf>
    <xf numFmtId="3" fontId="2" fillId="9" borderId="5" xfId="5" applyNumberFormat="1" applyFont="1" applyFill="1" applyBorder="1" applyAlignment="1" applyProtection="1">
      <alignment horizontal="right"/>
    </xf>
    <xf numFmtId="3" fontId="37" fillId="8" borderId="5" xfId="5" applyNumberFormat="1" applyFont="1" applyFill="1" applyBorder="1" applyProtection="1"/>
    <xf numFmtId="3" fontId="37" fillId="8" borderId="2" xfId="5" applyNumberFormat="1" applyFont="1" applyFill="1" applyBorder="1" applyProtection="1"/>
    <xf numFmtId="3" fontId="37" fillId="8" borderId="42" xfId="5" applyNumberFormat="1" applyFont="1" applyFill="1" applyBorder="1" applyProtection="1"/>
    <xf numFmtId="0" fontId="78" fillId="7" borderId="0" xfId="0" applyFont="1" applyFill="1" applyBorder="1" applyAlignment="1" applyProtection="1">
      <alignment horizontal="left"/>
    </xf>
    <xf numFmtId="3" fontId="58" fillId="2" borderId="0" xfId="0" applyNumberFormat="1" applyFont="1" applyFill="1" applyBorder="1" applyAlignment="1" applyProtection="1"/>
    <xf numFmtId="3" fontId="36" fillId="0" borderId="0" xfId="0" applyNumberFormat="1" applyFont="1" applyFill="1" applyBorder="1" applyProtection="1"/>
    <xf numFmtId="49" fontId="5" fillId="0" borderId="0" xfId="0" applyNumberFormat="1" applyFont="1" applyFill="1" applyBorder="1" applyAlignment="1" applyProtection="1">
      <alignment horizontal="left"/>
    </xf>
    <xf numFmtId="0" fontId="1" fillId="0" borderId="0" xfId="0" applyFont="1" applyFill="1" applyBorder="1" applyProtection="1"/>
    <xf numFmtId="0" fontId="7" fillId="0" borderId="0" xfId="0" applyFont="1" applyFill="1" applyBorder="1" applyProtection="1"/>
    <xf numFmtId="3" fontId="3" fillId="0" borderId="0" xfId="0" applyNumberFormat="1" applyFont="1" applyFill="1" applyBorder="1" applyProtection="1"/>
    <xf numFmtId="0" fontId="3" fillId="0" borderId="0" xfId="0" applyFont="1" applyFill="1" applyBorder="1" applyProtection="1"/>
    <xf numFmtId="3" fontId="13" fillId="0" borderId="0" xfId="0" applyNumberFormat="1" applyFont="1" applyFill="1" applyBorder="1" applyAlignment="1" applyProtection="1">
      <alignment horizontal="right"/>
    </xf>
    <xf numFmtId="3" fontId="13" fillId="0" borderId="0" xfId="0" applyNumberFormat="1" applyFont="1" applyFill="1" applyBorder="1" applyAlignment="1" applyProtection="1"/>
    <xf numFmtId="49" fontId="2" fillId="10" borderId="44" xfId="0" applyNumberFormat="1" applyFont="1" applyFill="1" applyBorder="1" applyAlignment="1" applyProtection="1"/>
    <xf numFmtId="49" fontId="2" fillId="10" borderId="28" xfId="0" applyNumberFormat="1" applyFont="1" applyFill="1" applyBorder="1" applyAlignment="1" applyProtection="1"/>
    <xf numFmtId="49" fontId="2" fillId="10" borderId="29" xfId="0" applyNumberFormat="1" applyFont="1" applyFill="1" applyBorder="1" applyAlignment="1" applyProtection="1"/>
    <xf numFmtId="49" fontId="2" fillId="10" borderId="45" xfId="0" applyNumberFormat="1" applyFont="1" applyFill="1" applyBorder="1" applyAlignment="1" applyProtection="1"/>
    <xf numFmtId="49" fontId="2" fillId="10" borderId="46" xfId="0" applyNumberFormat="1" applyFont="1" applyFill="1" applyBorder="1" applyAlignment="1" applyProtection="1"/>
    <xf numFmtId="49" fontId="2" fillId="10" borderId="47" xfId="0" applyNumberFormat="1" applyFont="1" applyFill="1" applyBorder="1" applyAlignment="1" applyProtection="1"/>
    <xf numFmtId="49" fontId="2" fillId="10" borderId="30" xfId="0" applyNumberFormat="1" applyFont="1" applyFill="1" applyBorder="1" applyAlignment="1" applyProtection="1"/>
    <xf numFmtId="3" fontId="82" fillId="0" borderId="0" xfId="0" applyNumberFormat="1" applyFont="1" applyFill="1" applyBorder="1" applyProtection="1"/>
    <xf numFmtId="0" fontId="62" fillId="2" borderId="0" xfId="0" applyFont="1" applyFill="1" applyProtection="1"/>
    <xf numFmtId="0" fontId="84" fillId="7" borderId="0" xfId="0" applyFont="1" applyFill="1" applyProtection="1"/>
    <xf numFmtId="0" fontId="62" fillId="2" borderId="0" xfId="0" applyNumberFormat="1" applyFont="1" applyFill="1" applyBorder="1" applyProtection="1"/>
    <xf numFmtId="171" fontId="82" fillId="2" borderId="0" xfId="0" applyNumberFormat="1" applyFont="1" applyFill="1" applyBorder="1" applyAlignment="1" applyProtection="1">
      <alignment horizontal="left"/>
    </xf>
    <xf numFmtId="3" fontId="82" fillId="2" borderId="0" xfId="0" applyNumberFormat="1" applyFont="1" applyFill="1" applyBorder="1" applyProtection="1"/>
    <xf numFmtId="0" fontId="82" fillId="2" borderId="0" xfId="0" applyFont="1" applyFill="1" applyProtection="1"/>
    <xf numFmtId="3" fontId="2" fillId="9" borderId="48" xfId="0" applyNumberFormat="1" applyFont="1" applyFill="1" applyBorder="1" applyAlignment="1" applyProtection="1">
      <alignment horizontal="right"/>
    </xf>
    <xf numFmtId="3" fontId="2" fillId="9" borderId="49" xfId="0" applyNumberFormat="1" applyFont="1" applyFill="1" applyBorder="1" applyAlignment="1" applyProtection="1">
      <alignment horizontal="right"/>
    </xf>
    <xf numFmtId="49" fontId="2" fillId="10" borderId="0" xfId="0" applyNumberFormat="1" applyFont="1" applyFill="1" applyBorder="1" applyAlignment="1" applyProtection="1"/>
    <xf numFmtId="49" fontId="2" fillId="10" borderId="50" xfId="0" applyNumberFormat="1" applyFont="1" applyFill="1" applyBorder="1" applyAlignment="1" applyProtection="1"/>
    <xf numFmtId="49" fontId="2" fillId="10" borderId="51" xfId="0" applyNumberFormat="1" applyFont="1" applyFill="1" applyBorder="1" applyAlignment="1" applyProtection="1"/>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2" fillId="2" borderId="0" xfId="0" applyFont="1" applyFill="1" applyBorder="1" applyProtection="1"/>
    <xf numFmtId="0" fontId="0" fillId="0" borderId="0" xfId="0" applyBorder="1" applyAlignment="1" applyProtection="1"/>
    <xf numFmtId="3" fontId="2" fillId="0" borderId="5" xfId="0" applyNumberFormat="1" applyFont="1" applyFill="1" applyBorder="1" applyAlignment="1" applyProtection="1">
      <alignment horizontal="right"/>
      <protection locked="0"/>
    </xf>
    <xf numFmtId="3" fontId="2" fillId="0" borderId="52" xfId="0" applyNumberFormat="1" applyFont="1" applyFill="1" applyBorder="1" applyAlignment="1" applyProtection="1">
      <alignment horizontal="right"/>
      <protection locked="0"/>
    </xf>
    <xf numFmtId="3" fontId="2" fillId="2" borderId="53" xfId="0" applyNumberFormat="1" applyFont="1" applyFill="1" applyBorder="1" applyAlignment="1" applyProtection="1">
      <alignment horizontal="right"/>
      <protection locked="0"/>
    </xf>
    <xf numFmtId="3" fontId="2" fillId="2" borderId="19" xfId="0" applyNumberFormat="1" applyFont="1" applyFill="1" applyBorder="1" applyAlignment="1" applyProtection="1">
      <alignment horizontal="right"/>
      <protection locked="0"/>
    </xf>
    <xf numFmtId="0" fontId="36" fillId="2" borderId="0" xfId="0" applyFont="1" applyFill="1" applyProtection="1"/>
    <xf numFmtId="0" fontId="36" fillId="2" borderId="0" xfId="0" applyFont="1" applyFill="1" applyBorder="1" applyAlignment="1" applyProtection="1">
      <alignment horizontal="left"/>
    </xf>
    <xf numFmtId="0" fontId="51" fillId="2" borderId="0" xfId="0" applyFont="1" applyFill="1" applyProtection="1"/>
    <xf numFmtId="0" fontId="51" fillId="0" borderId="0" xfId="0" applyFont="1" applyFill="1" applyBorder="1" applyProtection="1"/>
    <xf numFmtId="49" fontId="0" fillId="2" borderId="0" xfId="0" applyNumberFormat="1" applyFill="1" applyProtection="1"/>
    <xf numFmtId="0" fontId="83" fillId="2" borderId="0" xfId="0" applyFont="1" applyFill="1" applyProtection="1"/>
    <xf numFmtId="0" fontId="24" fillId="2" borderId="0" xfId="0" applyFont="1" applyFill="1" applyProtection="1"/>
    <xf numFmtId="3" fontId="2" fillId="2" borderId="54" xfId="0" applyNumberFormat="1" applyFont="1" applyFill="1" applyBorder="1" applyAlignment="1" applyProtection="1">
      <alignment horizontal="right"/>
      <protection locked="0"/>
    </xf>
    <xf numFmtId="3" fontId="2" fillId="6" borderId="18" xfId="0" applyNumberFormat="1" applyFont="1" applyFill="1" applyBorder="1" applyAlignment="1" applyProtection="1">
      <alignment horizontal="right"/>
      <protection locked="0"/>
    </xf>
    <xf numFmtId="3" fontId="2" fillId="2" borderId="55" xfId="0" applyNumberFormat="1" applyFont="1" applyFill="1" applyBorder="1" applyAlignment="1" applyProtection="1">
      <alignment horizontal="right"/>
      <protection locked="0"/>
    </xf>
    <xf numFmtId="3" fontId="2" fillId="6" borderId="19" xfId="0" applyNumberFormat="1" applyFont="1" applyFill="1" applyBorder="1" applyAlignment="1" applyProtection="1">
      <alignment horizontal="right"/>
      <protection locked="0"/>
    </xf>
    <xf numFmtId="3" fontId="2" fillId="11" borderId="18" xfId="0" applyNumberFormat="1" applyFont="1" applyFill="1" applyBorder="1" applyAlignment="1" applyProtection="1">
      <alignment horizontal="right"/>
      <protection locked="0"/>
    </xf>
    <xf numFmtId="3" fontId="2" fillId="6" borderId="54" xfId="0" applyNumberFormat="1" applyFont="1" applyFill="1" applyBorder="1" applyAlignment="1" applyProtection="1">
      <alignment horizontal="right"/>
      <protection locked="0"/>
    </xf>
    <xf numFmtId="3" fontId="2" fillId="6" borderId="12" xfId="0" applyNumberFormat="1" applyFont="1" applyFill="1" applyBorder="1" applyAlignment="1" applyProtection="1">
      <alignment horizontal="right"/>
      <protection locked="0"/>
    </xf>
    <xf numFmtId="3" fontId="2" fillId="6" borderId="56" xfId="0" applyNumberFormat="1" applyFont="1" applyFill="1" applyBorder="1" applyAlignment="1" applyProtection="1">
      <alignment horizontal="right"/>
      <protection locked="0"/>
    </xf>
    <xf numFmtId="0" fontId="0" fillId="7" borderId="0" xfId="0" applyFill="1" applyBorder="1" applyProtection="1"/>
    <xf numFmtId="0" fontId="24" fillId="2" borderId="0" xfId="0" applyFont="1" applyFill="1" applyBorder="1" applyProtection="1"/>
    <xf numFmtId="0" fontId="54" fillId="2" borderId="0" xfId="0" quotePrefix="1" applyFont="1" applyFill="1" applyAlignment="1" applyProtection="1">
      <alignment horizontal="left"/>
    </xf>
    <xf numFmtId="0" fontId="40" fillId="0" borderId="0" xfId="0" applyFont="1" applyFill="1" applyBorder="1" applyProtection="1"/>
    <xf numFmtId="0" fontId="51" fillId="0" borderId="0" xfId="0" applyFont="1" applyFill="1" applyProtection="1"/>
    <xf numFmtId="0" fontId="0" fillId="0" borderId="0" xfId="0" applyFill="1" applyProtection="1"/>
    <xf numFmtId="0" fontId="11" fillId="4" borderId="0" xfId="0" applyFont="1" applyFill="1" applyBorder="1" applyProtection="1"/>
    <xf numFmtId="49" fontId="11" fillId="0" borderId="58" xfId="0" applyNumberFormat="1" applyFont="1" applyFill="1" applyBorder="1" applyProtection="1"/>
    <xf numFmtId="0" fontId="24" fillId="0" borderId="0" xfId="0" applyFont="1" applyFill="1" applyBorder="1" applyProtection="1"/>
    <xf numFmtId="0" fontId="25" fillId="4" borderId="0" xfId="0" applyFont="1" applyFill="1" applyBorder="1" applyProtection="1"/>
    <xf numFmtId="3" fontId="13" fillId="4" borderId="0" xfId="0" applyNumberFormat="1" applyFont="1" applyFill="1" applyBorder="1" applyProtection="1"/>
    <xf numFmtId="0" fontId="51" fillId="2" borderId="0" xfId="0" applyFont="1" applyFill="1" applyBorder="1" applyProtection="1"/>
    <xf numFmtId="0" fontId="21" fillId="2" borderId="0" xfId="0" applyFont="1" applyFill="1" applyBorder="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0" fillId="2" borderId="0" xfId="0" applyFill="1" applyBorder="1" applyAlignment="1" applyProtection="1"/>
    <xf numFmtId="0" fontId="24" fillId="0" borderId="0" xfId="0" applyFont="1" applyProtection="1"/>
    <xf numFmtId="0" fontId="24" fillId="0" borderId="0" xfId="0" applyFont="1" applyBorder="1" applyProtection="1"/>
    <xf numFmtId="0" fontId="80" fillId="0" borderId="0" xfId="0" applyFont="1" applyFill="1" applyBorder="1" applyProtection="1"/>
    <xf numFmtId="3" fontId="2" fillId="0" borderId="32" xfId="0" applyNumberFormat="1" applyFont="1" applyFill="1" applyBorder="1" applyAlignment="1" applyProtection="1">
      <alignment horizontal="right"/>
      <protection locked="0"/>
    </xf>
    <xf numFmtId="0" fontId="9" fillId="2" borderId="0" xfId="0" applyFont="1" applyFill="1" applyBorder="1" applyProtection="1"/>
    <xf numFmtId="0" fontId="9" fillId="2" borderId="1" xfId="0" applyFont="1" applyFill="1" applyBorder="1" applyProtection="1"/>
    <xf numFmtId="0" fontId="21" fillId="2" borderId="0" xfId="0" applyFont="1" applyFill="1" applyProtection="1"/>
    <xf numFmtId="0" fontId="9" fillId="0" borderId="0" xfId="0" applyFont="1" applyFill="1" applyBorder="1" applyProtection="1"/>
    <xf numFmtId="3" fontId="2" fillId="2" borderId="59" xfId="0" applyNumberFormat="1" applyFont="1" applyFill="1" applyBorder="1" applyAlignment="1" applyProtection="1">
      <alignment horizontal="right"/>
      <protection locked="0"/>
    </xf>
    <xf numFmtId="3" fontId="13" fillId="2" borderId="53" xfId="0" applyNumberFormat="1" applyFont="1" applyFill="1" applyBorder="1" applyAlignment="1" applyProtection="1">
      <alignment horizontal="right"/>
      <protection locked="0"/>
    </xf>
    <xf numFmtId="3" fontId="13" fillId="0" borderId="20" xfId="0" applyNumberFormat="1" applyFont="1" applyFill="1" applyBorder="1" applyAlignment="1" applyProtection="1">
      <alignment horizontal="right"/>
      <protection locked="0"/>
    </xf>
    <xf numFmtId="3" fontId="13" fillId="0" borderId="19" xfId="0" applyNumberFormat="1" applyFont="1" applyFill="1" applyBorder="1" applyAlignment="1" applyProtection="1">
      <alignment horizontal="right"/>
      <protection locked="0"/>
    </xf>
    <xf numFmtId="3" fontId="2" fillId="2" borderId="60" xfId="0" applyNumberFormat="1" applyFont="1" applyFill="1" applyBorder="1" applyAlignment="1" applyProtection="1">
      <alignment horizontal="right"/>
      <protection locked="0"/>
    </xf>
    <xf numFmtId="3" fontId="10" fillId="2" borderId="18" xfId="0" applyNumberFormat="1" applyFont="1" applyFill="1" applyBorder="1" applyAlignment="1" applyProtection="1">
      <alignment horizontal="right"/>
      <protection locked="0"/>
    </xf>
    <xf numFmtId="3" fontId="13" fillId="0" borderId="18" xfId="0" applyNumberFormat="1" applyFont="1" applyFill="1" applyBorder="1" applyAlignment="1" applyProtection="1">
      <alignment horizontal="right"/>
      <protection locked="0"/>
    </xf>
    <xf numFmtId="3" fontId="13" fillId="0" borderId="26" xfId="0" applyNumberFormat="1" applyFont="1" applyFill="1" applyBorder="1" applyAlignment="1" applyProtection="1">
      <alignment horizontal="right"/>
      <protection locked="0"/>
    </xf>
    <xf numFmtId="3" fontId="13" fillId="2" borderId="61" xfId="0" applyNumberFormat="1" applyFont="1" applyFill="1" applyBorder="1" applyAlignment="1" applyProtection="1">
      <alignment horizontal="right"/>
      <protection locked="0"/>
    </xf>
    <xf numFmtId="3" fontId="13" fillId="0" borderId="62" xfId="0" applyNumberFormat="1" applyFont="1" applyFill="1" applyBorder="1" applyAlignment="1" applyProtection="1">
      <alignment horizontal="right"/>
      <protection locked="0"/>
    </xf>
    <xf numFmtId="0" fontId="36" fillId="0" borderId="0" xfId="0" applyFont="1" applyProtection="1"/>
    <xf numFmtId="0" fontId="36" fillId="0" borderId="0" xfId="0" applyFont="1" applyFill="1" applyProtection="1"/>
    <xf numFmtId="0" fontId="11" fillId="0" borderId="0" xfId="0" applyFont="1" applyFill="1" applyBorder="1" applyAlignment="1" applyProtection="1">
      <alignment horizontal="center"/>
    </xf>
    <xf numFmtId="3" fontId="13" fillId="0" borderId="63" xfId="0" applyNumberFormat="1" applyFont="1" applyFill="1" applyBorder="1" applyAlignment="1" applyProtection="1">
      <alignment horizontal="right"/>
      <protection locked="0"/>
    </xf>
    <xf numFmtId="0" fontId="59" fillId="0" borderId="0" xfId="0" applyFont="1" applyFill="1" applyBorder="1" applyProtection="1"/>
    <xf numFmtId="0" fontId="59" fillId="2" borderId="0" xfId="0" applyFont="1" applyFill="1" applyProtection="1"/>
    <xf numFmtId="0" fontId="64" fillId="2" borderId="0" xfId="0" applyFont="1" applyFill="1" applyAlignment="1" applyProtection="1"/>
    <xf numFmtId="0" fontId="64"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3" fillId="0" borderId="0" xfId="0" applyNumberFormat="1" applyFont="1" applyFill="1" applyBorder="1" applyProtection="1"/>
    <xf numFmtId="3" fontId="10" fillId="2" borderId="8" xfId="0" applyNumberFormat="1" applyFont="1" applyFill="1" applyBorder="1" applyAlignment="1" applyProtection="1">
      <alignment horizontal="right"/>
      <protection locked="0"/>
    </xf>
    <xf numFmtId="3" fontId="10" fillId="2" borderId="5" xfId="0" applyNumberFormat="1" applyFont="1" applyFill="1" applyBorder="1" applyAlignment="1" applyProtection="1">
      <alignment horizontal="right"/>
      <protection locked="0"/>
    </xf>
    <xf numFmtId="3" fontId="10" fillId="2" borderId="5" xfId="0" quotePrefix="1" applyNumberFormat="1" applyFont="1" applyFill="1" applyBorder="1" applyAlignment="1" applyProtection="1">
      <alignment horizontal="right"/>
      <protection locked="0"/>
    </xf>
    <xf numFmtId="3" fontId="10" fillId="0" borderId="8" xfId="0" applyNumberFormat="1" applyFont="1" applyFill="1" applyBorder="1" applyAlignment="1" applyProtection="1">
      <alignment horizontal="right"/>
      <protection locked="0"/>
    </xf>
    <xf numFmtId="3" fontId="10" fillId="0" borderId="5" xfId="0" applyNumberFormat="1" applyFont="1" applyFill="1" applyBorder="1" applyAlignment="1" applyProtection="1">
      <alignment horizontal="right"/>
      <protection locked="0"/>
    </xf>
    <xf numFmtId="3" fontId="13" fillId="2" borderId="42" xfId="0" applyNumberFormat="1" applyFont="1" applyFill="1" applyBorder="1" applyAlignment="1" applyProtection="1">
      <alignment horizontal="right"/>
      <protection locked="0"/>
    </xf>
    <xf numFmtId="3" fontId="13" fillId="6" borderId="42" xfId="0" applyNumberFormat="1" applyFont="1" applyFill="1" applyBorder="1" applyAlignment="1" applyProtection="1">
      <alignment horizontal="right"/>
      <protection locked="0"/>
    </xf>
    <xf numFmtId="3" fontId="13" fillId="2" borderId="13" xfId="0" applyNumberFormat="1" applyFont="1" applyFill="1" applyBorder="1" applyAlignment="1" applyProtection="1">
      <alignment horizontal="right"/>
      <protection locked="0"/>
    </xf>
    <xf numFmtId="0" fontId="7" fillId="2" borderId="39" xfId="0" applyFont="1" applyFill="1" applyBorder="1" applyProtection="1"/>
    <xf numFmtId="0" fontId="81" fillId="0" borderId="39" xfId="11" applyFont="1" applyFill="1" applyBorder="1" applyProtection="1"/>
    <xf numFmtId="3" fontId="2" fillId="9" borderId="19" xfId="0" applyNumberFormat="1" applyFont="1" applyFill="1" applyBorder="1" applyAlignment="1" applyProtection="1">
      <alignment horizontal="right"/>
    </xf>
    <xf numFmtId="3" fontId="9" fillId="2" borderId="0" xfId="0" applyNumberFormat="1" applyFont="1" applyFill="1" applyBorder="1" applyProtection="1"/>
    <xf numFmtId="3" fontId="80" fillId="2" borderId="0" xfId="0" applyNumberFormat="1" applyFont="1" applyFill="1" applyBorder="1" applyProtection="1"/>
    <xf numFmtId="49" fontId="24" fillId="7" borderId="0" xfId="0" applyNumberFormat="1" applyFont="1" applyFill="1" applyProtection="1"/>
    <xf numFmtId="49" fontId="3" fillId="10" borderId="47" xfId="0" applyNumberFormat="1" applyFont="1" applyFill="1" applyBorder="1" applyAlignment="1" applyProtection="1">
      <alignment vertical="top" wrapText="1"/>
    </xf>
    <xf numFmtId="0" fontId="41" fillId="0" borderId="0" xfId="0" applyFont="1" applyFill="1" applyBorder="1" applyAlignment="1" applyProtection="1">
      <alignment horizontal="left"/>
    </xf>
    <xf numFmtId="0" fontId="2" fillId="0" borderId="0" xfId="0" applyFont="1" applyFill="1" applyBorder="1" applyProtection="1"/>
    <xf numFmtId="0" fontId="5" fillId="0" borderId="0" xfId="0" applyFont="1" applyFill="1" applyBorder="1" applyAlignment="1" applyProtection="1">
      <alignment vertical="top"/>
    </xf>
    <xf numFmtId="49" fontId="5" fillId="0" borderId="0" xfId="0" applyNumberFormat="1" applyFont="1" applyFill="1" applyBorder="1" applyAlignment="1" applyProtection="1">
      <alignment vertical="top"/>
    </xf>
    <xf numFmtId="0" fontId="3" fillId="0" borderId="0" xfId="0" applyFont="1" applyFill="1" applyBorder="1" applyAlignment="1" applyProtection="1">
      <alignment vertical="top"/>
    </xf>
    <xf numFmtId="0" fontId="58" fillId="0" borderId="0" xfId="0" applyFont="1" applyFill="1" applyBorder="1" applyAlignment="1" applyProtection="1">
      <alignment vertical="top"/>
    </xf>
    <xf numFmtId="170" fontId="3" fillId="0" borderId="0" xfId="11" applyNumberFormat="1" applyFont="1" applyFill="1" applyBorder="1" applyAlignment="1" applyProtection="1">
      <alignment horizontal="left"/>
    </xf>
    <xf numFmtId="49" fontId="24" fillId="0" borderId="0" xfId="0" applyNumberFormat="1" applyFont="1" applyAlignment="1" applyProtection="1">
      <alignment horizontal="left"/>
    </xf>
    <xf numFmtId="49" fontId="24" fillId="0" borderId="0" xfId="0" applyNumberFormat="1" applyFont="1" applyProtection="1"/>
    <xf numFmtId="0" fontId="79" fillId="0" borderId="0" xfId="0" applyFont="1" applyProtection="1"/>
    <xf numFmtId="3" fontId="10" fillId="0" borderId="19" xfId="0" applyNumberFormat="1" applyFont="1" applyFill="1" applyBorder="1" applyAlignment="1" applyProtection="1">
      <alignment horizontal="right"/>
      <protection locked="0"/>
    </xf>
    <xf numFmtId="3" fontId="10" fillId="0" borderId="4" xfId="0" applyNumberFormat="1" applyFont="1" applyFill="1" applyBorder="1" applyAlignment="1" applyProtection="1">
      <alignment horizontal="right"/>
      <protection locked="0"/>
    </xf>
    <xf numFmtId="0" fontId="24" fillId="7" borderId="0" xfId="5" applyFill="1" applyProtection="1"/>
    <xf numFmtId="1" fontId="24" fillId="7" borderId="0" xfId="5" applyNumberFormat="1" applyFill="1" applyProtection="1"/>
    <xf numFmtId="0" fontId="24" fillId="0" borderId="0" xfId="5" applyFill="1" applyBorder="1" applyProtection="1"/>
    <xf numFmtId="0" fontId="24" fillId="0" borderId="0" xfId="5" applyProtection="1"/>
    <xf numFmtId="0" fontId="24" fillId="0" borderId="0" xfId="5" applyBorder="1" applyProtection="1"/>
    <xf numFmtId="1" fontId="53" fillId="2" borderId="0" xfId="11" applyNumberFormat="1" applyFont="1" applyFill="1" applyBorder="1" applyAlignment="1" applyProtection="1">
      <alignment horizontal="left"/>
    </xf>
    <xf numFmtId="0" fontId="24" fillId="2" borderId="0" xfId="5" applyFont="1" applyFill="1" applyProtection="1"/>
    <xf numFmtId="0" fontId="51" fillId="2" borderId="0" xfId="5" applyFont="1" applyFill="1" applyProtection="1"/>
    <xf numFmtId="1" fontId="24" fillId="0" borderId="0" xfId="5" applyNumberFormat="1" applyProtection="1"/>
    <xf numFmtId="0" fontId="24" fillId="0" borderId="0" xfId="5" applyFont="1" applyProtection="1"/>
    <xf numFmtId="3" fontId="2" fillId="2" borderId="2" xfId="5" applyNumberFormat="1" applyFont="1" applyFill="1" applyBorder="1" applyAlignment="1" applyProtection="1">
      <alignment horizontal="right"/>
      <protection locked="0"/>
    </xf>
    <xf numFmtId="3" fontId="2" fillId="2" borderId="15" xfId="5" applyNumberFormat="1" applyFont="1" applyFill="1" applyBorder="1" applyAlignment="1" applyProtection="1">
      <alignment horizontal="right"/>
      <protection locked="0"/>
    </xf>
    <xf numFmtId="0" fontId="24" fillId="0" borderId="0" xfId="0" applyFont="1" applyFill="1" applyProtection="1"/>
    <xf numFmtId="49" fontId="24"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2" fillId="2" borderId="61" xfId="0" applyNumberFormat="1" applyFont="1" applyFill="1" applyBorder="1" applyAlignment="1" applyProtection="1">
      <alignment horizontal="right"/>
      <protection locked="0"/>
    </xf>
    <xf numFmtId="3" fontId="2" fillId="2" borderId="62" xfId="0" applyNumberFormat="1" applyFont="1" applyFill="1" applyBorder="1" applyAlignment="1" applyProtection="1">
      <alignment horizontal="right"/>
      <protection locked="0"/>
    </xf>
    <xf numFmtId="3" fontId="2" fillId="2" borderId="64" xfId="0" applyNumberFormat="1" applyFont="1" applyFill="1" applyBorder="1" applyAlignment="1" applyProtection="1">
      <alignment horizontal="right"/>
      <protection locked="0"/>
    </xf>
    <xf numFmtId="3" fontId="2" fillId="2" borderId="65" xfId="0" applyNumberFormat="1" applyFont="1" applyFill="1" applyBorder="1" applyAlignment="1" applyProtection="1">
      <alignment horizontal="right"/>
      <protection locked="0"/>
    </xf>
    <xf numFmtId="3" fontId="13" fillId="2" borderId="62" xfId="0" applyNumberFormat="1" applyFont="1" applyFill="1" applyBorder="1" applyAlignment="1" applyProtection="1">
      <alignment horizontal="right"/>
      <protection locked="0"/>
    </xf>
    <xf numFmtId="3" fontId="2" fillId="6" borderId="63" xfId="0" applyNumberFormat="1" applyFont="1" applyFill="1" applyBorder="1" applyAlignment="1" applyProtection="1">
      <alignment horizontal="right"/>
      <protection locked="0"/>
    </xf>
    <xf numFmtId="172" fontId="36" fillId="0" borderId="0" xfId="5" applyNumberFormat="1" applyFont="1" applyFill="1" applyBorder="1" applyAlignment="1" applyProtection="1">
      <alignment vertical="top" wrapText="1"/>
    </xf>
    <xf numFmtId="3" fontId="2" fillId="9" borderId="66" xfId="0" applyNumberFormat="1" applyFont="1" applyFill="1" applyBorder="1" applyAlignment="1" applyProtection="1"/>
    <xf numFmtId="3" fontId="2" fillId="9" borderId="13" xfId="0" applyNumberFormat="1" applyFont="1" applyFill="1" applyBorder="1" applyAlignment="1" applyProtection="1"/>
    <xf numFmtId="3" fontId="37" fillId="8" borderId="68" xfId="5" applyNumberFormat="1" applyFont="1" applyFill="1" applyBorder="1" applyProtection="1"/>
    <xf numFmtId="3" fontId="37" fillId="8" borderId="35" xfId="5" applyNumberFormat="1" applyFont="1" applyFill="1" applyBorder="1" applyProtection="1"/>
    <xf numFmtId="3" fontId="37" fillId="8" borderId="25" xfId="5" applyNumberFormat="1" applyFont="1" applyFill="1" applyBorder="1" applyProtection="1"/>
    <xf numFmtId="166" fontId="9"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xf>
    <xf numFmtId="3" fontId="13" fillId="0" borderId="69" xfId="0" applyNumberFormat="1" applyFont="1" applyFill="1" applyBorder="1" applyAlignment="1" applyProtection="1">
      <alignment horizontal="right"/>
      <protection locked="0"/>
    </xf>
    <xf numFmtId="3" fontId="13" fillId="9" borderId="26" xfId="0" applyNumberFormat="1" applyFont="1" applyFill="1" applyBorder="1" applyProtection="1"/>
    <xf numFmtId="0" fontId="10" fillId="0" borderId="0" xfId="5" applyFont="1" applyFill="1" applyBorder="1" applyProtection="1"/>
    <xf numFmtId="3" fontId="37" fillId="0" borderId="0" xfId="5" applyNumberFormat="1" applyFont="1" applyFill="1" applyBorder="1" applyProtection="1"/>
    <xf numFmtId="0" fontId="24" fillId="0" borderId="0" xfId="5" applyFont="1" applyFill="1" applyProtection="1"/>
    <xf numFmtId="0" fontId="36" fillId="0" borderId="0" xfId="0" applyFont="1" applyFill="1" applyBorder="1" applyProtection="1"/>
    <xf numFmtId="0" fontId="0" fillId="0" borderId="1" xfId="0" applyBorder="1"/>
    <xf numFmtId="3" fontId="13" fillId="2" borderId="19" xfId="0" applyNumberFormat="1" applyFont="1" applyFill="1" applyBorder="1" applyAlignment="1" applyProtection="1">
      <protection locked="0"/>
    </xf>
    <xf numFmtId="172" fontId="36" fillId="0" borderId="0" xfId="0" applyNumberFormat="1" applyFont="1" applyFill="1" applyProtection="1"/>
    <xf numFmtId="172" fontId="36" fillId="2" borderId="0" xfId="0" applyNumberFormat="1" applyFont="1" applyFill="1" applyProtection="1"/>
    <xf numFmtId="0" fontId="36" fillId="2" borderId="0" xfId="0" applyFont="1" applyFill="1" applyBorder="1" applyAlignment="1" applyProtection="1">
      <alignment horizontal="left" vertical="top" wrapText="1"/>
    </xf>
    <xf numFmtId="3" fontId="2" fillId="2" borderId="8" xfId="0" applyNumberFormat="1" applyFont="1" applyFill="1" applyBorder="1" applyAlignment="1" applyProtection="1">
      <alignment horizontal="right"/>
      <protection locked="0"/>
    </xf>
    <xf numFmtId="3" fontId="2" fillId="2" borderId="70" xfId="5" applyNumberFormat="1" applyFont="1" applyFill="1" applyBorder="1" applyAlignment="1" applyProtection="1">
      <alignment horizontal="right"/>
      <protection locked="0"/>
    </xf>
    <xf numFmtId="3" fontId="2" fillId="2" borderId="6" xfId="5" applyNumberFormat="1" applyFont="1" applyFill="1" applyBorder="1" applyAlignment="1" applyProtection="1">
      <alignment horizontal="right"/>
      <protection locked="0"/>
    </xf>
    <xf numFmtId="3" fontId="2" fillId="2" borderId="71" xfId="5" applyNumberFormat="1" applyFont="1" applyFill="1" applyBorder="1" applyAlignment="1" applyProtection="1">
      <alignment horizontal="right"/>
      <protection locked="0"/>
    </xf>
    <xf numFmtId="3" fontId="2" fillId="2" borderId="25" xfId="5" applyNumberFormat="1" applyFont="1" applyFill="1" applyBorder="1" applyAlignment="1" applyProtection="1">
      <alignment horizontal="right"/>
      <protection locked="0"/>
    </xf>
    <xf numFmtId="3" fontId="2" fillId="2" borderId="72" xfId="5" applyNumberFormat="1" applyFont="1" applyFill="1" applyBorder="1" applyAlignment="1" applyProtection="1">
      <alignment horizontal="right"/>
      <protection locked="0"/>
    </xf>
    <xf numFmtId="0" fontId="38" fillId="0" borderId="0" xfId="5" applyFont="1" applyProtection="1"/>
    <xf numFmtId="0" fontId="50" fillId="2" borderId="0" xfId="5" applyFont="1" applyFill="1" applyProtection="1"/>
    <xf numFmtId="0" fontId="36" fillId="0" borderId="0" xfId="5" quotePrefix="1" applyNumberFormat="1" applyFont="1" applyProtection="1"/>
    <xf numFmtId="3" fontId="70" fillId="8" borderId="25" xfId="5" applyNumberFormat="1" applyFont="1" applyFill="1" applyBorder="1" applyAlignment="1" applyProtection="1">
      <alignment horizontal="right"/>
    </xf>
    <xf numFmtId="3" fontId="2" fillId="8" borderId="5" xfId="5" applyNumberFormat="1" applyFont="1" applyFill="1" applyBorder="1" applyAlignment="1" applyProtection="1"/>
    <xf numFmtId="3" fontId="70" fillId="12" borderId="25" xfId="5" applyNumberFormat="1" applyFont="1" applyFill="1" applyBorder="1" applyAlignment="1" applyProtection="1">
      <alignment horizontal="right"/>
    </xf>
    <xf numFmtId="3" fontId="70" fillId="8" borderId="25" xfId="5" quotePrefix="1" applyNumberFormat="1" applyFont="1" applyFill="1" applyBorder="1" applyAlignment="1" applyProtection="1">
      <alignment horizontal="right"/>
    </xf>
    <xf numFmtId="3" fontId="2" fillId="8" borderId="5" xfId="0" applyNumberFormat="1" applyFont="1" applyFill="1" applyBorder="1" applyAlignment="1" applyProtection="1">
      <alignment horizontal="right"/>
    </xf>
    <xf numFmtId="0" fontId="37" fillId="2" borderId="0" xfId="0" applyFont="1" applyFill="1" applyAlignment="1" applyProtection="1">
      <alignment horizontal="right"/>
    </xf>
    <xf numFmtId="3" fontId="2" fillId="2" borderId="3" xfId="5" applyNumberFormat="1" applyFont="1" applyFill="1" applyBorder="1" applyAlignment="1" applyProtection="1">
      <alignment horizontal="right"/>
      <protection locked="0"/>
    </xf>
    <xf numFmtId="3" fontId="36" fillId="0" borderId="74" xfId="5" quotePrefix="1" applyNumberFormat="1" applyFont="1" applyFill="1" applyBorder="1" applyAlignment="1" applyProtection="1">
      <alignment horizontal="left"/>
    </xf>
    <xf numFmtId="0" fontId="38" fillId="0" borderId="76" xfId="5" applyFont="1" applyBorder="1" applyProtection="1"/>
    <xf numFmtId="0" fontId="90" fillId="0" borderId="76" xfId="5" applyFont="1" applyBorder="1" applyProtection="1"/>
    <xf numFmtId="3" fontId="36" fillId="0" borderId="78" xfId="5" quotePrefix="1" applyNumberFormat="1" applyFont="1" applyFill="1" applyBorder="1" applyAlignment="1" applyProtection="1">
      <alignment horizontal="left"/>
    </xf>
    <xf numFmtId="0" fontId="24" fillId="0" borderId="79" xfId="5" applyBorder="1" applyProtection="1"/>
    <xf numFmtId="0" fontId="24" fillId="0" borderId="52" xfId="5" applyBorder="1" applyProtection="1"/>
    <xf numFmtId="0" fontId="24" fillId="0" borderId="80" xfId="5" applyBorder="1" applyProtection="1"/>
    <xf numFmtId="0" fontId="36" fillId="0" borderId="0" xfId="5" applyFont="1" applyProtection="1"/>
    <xf numFmtId="3" fontId="36" fillId="0" borderId="0" xfId="5" quotePrefix="1" applyNumberFormat="1" applyFont="1" applyFill="1" applyBorder="1" applyAlignment="1" applyProtection="1">
      <alignment horizontal="left"/>
    </xf>
    <xf numFmtId="3" fontId="2" fillId="9" borderId="81" xfId="5" applyNumberFormat="1" applyFont="1" applyFill="1" applyBorder="1" applyProtection="1"/>
    <xf numFmtId="3" fontId="2" fillId="9" borderId="82" xfId="5" applyNumberFormat="1" applyFont="1" applyFill="1" applyBorder="1" applyProtection="1"/>
    <xf numFmtId="3" fontId="2" fillId="3" borderId="13" xfId="0" applyNumberFormat="1" applyFont="1" applyFill="1" applyBorder="1" applyProtection="1"/>
    <xf numFmtId="3" fontId="2" fillId="3" borderId="26" xfId="0" applyNumberFormat="1" applyFont="1" applyFill="1" applyBorder="1" applyProtection="1"/>
    <xf numFmtId="3" fontId="2" fillId="3" borderId="20" xfId="0" applyNumberFormat="1" applyFont="1" applyFill="1" applyBorder="1" applyProtection="1"/>
    <xf numFmtId="3" fontId="2" fillId="3" borderId="83" xfId="0" applyNumberFormat="1" applyFont="1" applyFill="1" applyBorder="1" applyProtection="1"/>
    <xf numFmtId="3" fontId="2" fillId="3" borderId="54" xfId="0" applyNumberFormat="1" applyFont="1" applyFill="1" applyBorder="1" applyProtection="1"/>
    <xf numFmtId="3" fontId="2" fillId="3" borderId="56" xfId="0" applyNumberFormat="1" applyFont="1" applyFill="1" applyBorder="1" applyProtection="1"/>
    <xf numFmtId="3" fontId="2" fillId="3" borderId="69" xfId="0" applyNumberFormat="1" applyFont="1" applyFill="1" applyBorder="1" applyProtection="1"/>
    <xf numFmtId="3" fontId="2" fillId="3" borderId="25" xfId="0" applyNumberFormat="1" applyFont="1" applyFill="1" applyBorder="1" applyProtection="1"/>
    <xf numFmtId="3" fontId="2" fillId="3" borderId="19" xfId="0" applyNumberFormat="1" applyFont="1" applyFill="1" applyBorder="1" applyProtection="1"/>
    <xf numFmtId="3" fontId="2" fillId="3" borderId="63" xfId="0" applyNumberFormat="1" applyFont="1" applyFill="1" applyBorder="1" applyProtection="1"/>
    <xf numFmtId="3" fontId="2" fillId="3" borderId="84" xfId="0" applyNumberFormat="1" applyFont="1" applyFill="1" applyBorder="1" applyProtection="1"/>
    <xf numFmtId="3" fontId="2" fillId="3" borderId="5" xfId="0" applyNumberFormat="1" applyFont="1" applyFill="1" applyBorder="1" applyProtection="1"/>
    <xf numFmtId="3" fontId="2" fillId="3" borderId="85" xfId="0" applyNumberFormat="1" applyFont="1" applyFill="1" applyBorder="1" applyProtection="1"/>
    <xf numFmtId="3" fontId="2" fillId="3" borderId="86" xfId="0" applyNumberFormat="1" applyFont="1" applyFill="1" applyBorder="1" applyProtection="1"/>
    <xf numFmtId="3" fontId="2" fillId="3" borderId="80" xfId="0" applyNumberFormat="1" applyFont="1" applyFill="1" applyBorder="1" applyProtection="1"/>
    <xf numFmtId="3" fontId="10" fillId="13" borderId="52" xfId="0" applyNumberFormat="1" applyFont="1" applyFill="1" applyBorder="1" applyAlignment="1" applyProtection="1">
      <alignment horizontal="right"/>
      <protection locked="0"/>
    </xf>
    <xf numFmtId="3" fontId="13" fillId="3" borderId="59" xfId="0" applyNumberFormat="1" applyFont="1" applyFill="1" applyBorder="1" applyProtection="1"/>
    <xf numFmtId="3" fontId="13" fillId="3" borderId="87" xfId="0" applyNumberFormat="1" applyFont="1" applyFill="1" applyBorder="1" applyProtection="1"/>
    <xf numFmtId="3" fontId="13" fillId="3" borderId="88" xfId="0" applyNumberFormat="1" applyFont="1" applyFill="1" applyBorder="1" applyProtection="1"/>
    <xf numFmtId="3" fontId="13" fillId="3" borderId="85" xfId="0" applyNumberFormat="1" applyFont="1" applyFill="1" applyBorder="1" applyProtection="1"/>
    <xf numFmtId="3" fontId="13" fillId="3" borderId="26" xfId="0" applyNumberFormat="1" applyFont="1" applyFill="1" applyBorder="1" applyProtection="1"/>
    <xf numFmtId="3" fontId="13" fillId="3" borderId="20" xfId="0" applyNumberFormat="1" applyFont="1" applyFill="1" applyBorder="1" applyProtection="1"/>
    <xf numFmtId="3" fontId="13" fillId="3" borderId="18" xfId="0" applyNumberFormat="1" applyFont="1" applyFill="1" applyBorder="1" applyProtection="1"/>
    <xf numFmtId="3" fontId="13" fillId="3" borderId="19" xfId="0" applyNumberFormat="1" applyFont="1" applyFill="1" applyBorder="1" applyProtection="1"/>
    <xf numFmtId="3" fontId="13" fillId="3" borderId="5" xfId="0" applyNumberFormat="1" applyFont="1" applyFill="1" applyBorder="1" applyAlignment="1" applyProtection="1">
      <alignment horizontal="right"/>
    </xf>
    <xf numFmtId="3" fontId="2" fillId="14" borderId="7" xfId="0" applyNumberFormat="1" applyFont="1" applyFill="1" applyBorder="1" applyAlignment="1" applyProtection="1">
      <alignment horizontal="right"/>
    </xf>
    <xf numFmtId="3" fontId="2" fillId="3" borderId="42" xfId="0" applyNumberFormat="1" applyFont="1" applyFill="1" applyBorder="1" applyAlignment="1" applyProtection="1">
      <alignment horizontal="right"/>
    </xf>
    <xf numFmtId="3" fontId="2" fillId="3" borderId="89" xfId="0" applyNumberFormat="1" applyFont="1" applyFill="1" applyBorder="1" applyAlignment="1" applyProtection="1">
      <alignment horizontal="right"/>
    </xf>
    <xf numFmtId="3" fontId="2" fillId="3" borderId="83" xfId="0" applyNumberFormat="1" applyFont="1" applyFill="1" applyBorder="1" applyAlignment="1" applyProtection="1">
      <alignment horizontal="right"/>
    </xf>
    <xf numFmtId="3" fontId="2" fillId="3" borderId="90" xfId="0" applyNumberFormat="1" applyFont="1" applyFill="1" applyBorder="1" applyAlignment="1" applyProtection="1">
      <alignment horizontal="right"/>
    </xf>
    <xf numFmtId="3" fontId="2" fillId="3" borderId="13" xfId="0" applyNumberFormat="1" applyFont="1" applyFill="1" applyBorder="1" applyAlignment="1" applyProtection="1">
      <alignment horizontal="right"/>
    </xf>
    <xf numFmtId="3" fontId="13" fillId="3" borderId="18"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3" fontId="13" fillId="3" borderId="22" xfId="0" applyNumberFormat="1" applyFont="1" applyFill="1" applyBorder="1" applyAlignment="1" applyProtection="1">
      <alignment horizontal="right"/>
    </xf>
    <xf numFmtId="3" fontId="13" fillId="3" borderId="7" xfId="0" applyNumberFormat="1" applyFont="1" applyFill="1" applyBorder="1" applyAlignment="1" applyProtection="1">
      <alignment horizontal="right"/>
    </xf>
    <xf numFmtId="3" fontId="13" fillId="3" borderId="91" xfId="0" applyNumberFormat="1" applyFont="1" applyFill="1" applyBorder="1" applyAlignment="1" applyProtection="1">
      <alignment horizontal="right"/>
    </xf>
    <xf numFmtId="3" fontId="13" fillId="3" borderId="92" xfId="0" applyNumberFormat="1" applyFont="1" applyFill="1" applyBorder="1" applyAlignment="1" applyProtection="1">
      <alignment horizontal="right"/>
    </xf>
    <xf numFmtId="3" fontId="13" fillId="3" borderId="93" xfId="0" applyNumberFormat="1" applyFont="1" applyFill="1" applyBorder="1" applyAlignment="1" applyProtection="1">
      <alignment horizontal="right"/>
    </xf>
    <xf numFmtId="3" fontId="13" fillId="3" borderId="25" xfId="0" applyNumberFormat="1" applyFont="1" applyFill="1" applyBorder="1" applyAlignment="1" applyProtection="1">
      <alignment horizontal="right"/>
    </xf>
    <xf numFmtId="3" fontId="13" fillId="3" borderId="72" xfId="0" applyNumberFormat="1" applyFont="1" applyFill="1" applyBorder="1" applyAlignment="1" applyProtection="1">
      <alignment horizontal="right"/>
    </xf>
    <xf numFmtId="3" fontId="13" fillId="3" borderId="26" xfId="0" applyNumberFormat="1" applyFont="1" applyFill="1" applyBorder="1" applyAlignment="1" applyProtection="1">
      <alignment horizontal="right"/>
    </xf>
    <xf numFmtId="3" fontId="13" fillId="3" borderId="24" xfId="0" applyNumberFormat="1" applyFont="1" applyFill="1" applyBorder="1" applyAlignment="1" applyProtection="1">
      <alignment horizontal="right"/>
    </xf>
    <xf numFmtId="3" fontId="13" fillId="3" borderId="65" xfId="0" applyNumberFormat="1" applyFont="1" applyFill="1" applyBorder="1" applyAlignment="1" applyProtection="1">
      <alignment horizontal="right"/>
    </xf>
    <xf numFmtId="3" fontId="13" fillId="3" borderId="24" xfId="0" applyNumberFormat="1" applyFont="1" applyFill="1" applyBorder="1" applyAlignment="1" applyProtection="1"/>
    <xf numFmtId="3" fontId="13" fillId="3" borderId="25" xfId="0" applyNumberFormat="1" applyFont="1" applyFill="1" applyBorder="1" applyAlignment="1" applyProtection="1"/>
    <xf numFmtId="3" fontId="13" fillId="3" borderId="72" xfId="0" applyNumberFormat="1" applyFont="1" applyFill="1" applyBorder="1" applyAlignment="1" applyProtection="1"/>
    <xf numFmtId="3" fontId="13" fillId="3" borderId="26" xfId="0" applyNumberFormat="1" applyFont="1" applyFill="1" applyBorder="1" applyAlignment="1" applyProtection="1"/>
    <xf numFmtId="3" fontId="13" fillId="3" borderId="94" xfId="0" applyNumberFormat="1" applyFont="1" applyFill="1" applyBorder="1" applyAlignment="1" applyProtection="1">
      <alignment horizontal="right"/>
    </xf>
    <xf numFmtId="3" fontId="13" fillId="10" borderId="95" xfId="0" applyNumberFormat="1" applyFont="1" applyFill="1" applyBorder="1" applyAlignment="1" applyProtection="1">
      <alignment horizontal="right"/>
    </xf>
    <xf numFmtId="3" fontId="13" fillId="10" borderId="96" xfId="0" applyNumberFormat="1" applyFont="1" applyFill="1" applyBorder="1" applyAlignment="1" applyProtection="1">
      <alignment horizontal="right"/>
    </xf>
    <xf numFmtId="3" fontId="13" fillId="10" borderId="86" xfId="0" applyNumberFormat="1" applyFont="1" applyFill="1" applyBorder="1" applyAlignment="1" applyProtection="1">
      <alignment horizontal="right"/>
    </xf>
    <xf numFmtId="3" fontId="13" fillId="10" borderId="97" xfId="0" applyNumberFormat="1" applyFont="1" applyFill="1" applyBorder="1" applyAlignment="1" applyProtection="1">
      <alignment horizontal="right"/>
    </xf>
    <xf numFmtId="3" fontId="13" fillId="3" borderId="53" xfId="0" applyNumberFormat="1" applyFont="1" applyFill="1" applyBorder="1" applyAlignment="1" applyProtection="1">
      <alignment horizontal="right"/>
    </xf>
    <xf numFmtId="3" fontId="13" fillId="3" borderId="98" xfId="0" applyNumberFormat="1" applyFont="1" applyFill="1" applyBorder="1" applyAlignment="1" applyProtection="1">
      <alignment horizontal="right"/>
    </xf>
    <xf numFmtId="3" fontId="13" fillId="3" borderId="84" xfId="0" applyNumberFormat="1" applyFont="1" applyFill="1" applyBorder="1" applyAlignment="1" applyProtection="1">
      <alignment horizontal="right"/>
    </xf>
    <xf numFmtId="3" fontId="13" fillId="3" borderId="99" xfId="0" applyNumberFormat="1" applyFont="1" applyFill="1" applyBorder="1" applyAlignment="1" applyProtection="1">
      <alignment horizontal="right"/>
    </xf>
    <xf numFmtId="3" fontId="13" fillId="3" borderId="100" xfId="0" applyNumberFormat="1" applyFont="1" applyFill="1" applyBorder="1" applyAlignment="1" applyProtection="1">
      <alignment horizontal="right"/>
    </xf>
    <xf numFmtId="3" fontId="13" fillId="3" borderId="101" xfId="0" applyNumberFormat="1" applyFont="1" applyFill="1" applyBorder="1" applyAlignment="1" applyProtection="1">
      <alignment horizontal="right"/>
    </xf>
    <xf numFmtId="3" fontId="13" fillId="3" borderId="88" xfId="0" applyNumberFormat="1" applyFont="1" applyFill="1" applyBorder="1" applyAlignment="1" applyProtection="1">
      <alignment horizontal="right"/>
    </xf>
    <xf numFmtId="3" fontId="2" fillId="3" borderId="102" xfId="0" applyNumberFormat="1" applyFont="1" applyFill="1" applyBorder="1" applyProtection="1"/>
    <xf numFmtId="3" fontId="2" fillId="3" borderId="31" xfId="0" applyNumberFormat="1" applyFont="1" applyFill="1" applyBorder="1" applyProtection="1"/>
    <xf numFmtId="3" fontId="2" fillId="3" borderId="103" xfId="0" applyNumberFormat="1" applyFont="1" applyFill="1" applyBorder="1" applyProtection="1"/>
    <xf numFmtId="3" fontId="13" fillId="3" borderId="31" xfId="0" applyNumberFormat="1" applyFont="1" applyFill="1" applyBorder="1" applyProtection="1"/>
    <xf numFmtId="3" fontId="13" fillId="3" borderId="32" xfId="0" applyNumberFormat="1" applyFont="1" applyFill="1" applyBorder="1" applyProtection="1"/>
    <xf numFmtId="3" fontId="13" fillId="3" borderId="80" xfId="0" applyNumberFormat="1" applyFont="1" applyFill="1" applyBorder="1" applyProtection="1"/>
    <xf numFmtId="3" fontId="2" fillId="3" borderId="104" xfId="0" applyNumberFormat="1" applyFont="1" applyFill="1" applyBorder="1" applyProtection="1"/>
    <xf numFmtId="3" fontId="13" fillId="3" borderId="103" xfId="0" applyNumberFormat="1" applyFont="1" applyFill="1" applyBorder="1" applyAlignment="1" applyProtection="1">
      <alignment horizontal="right"/>
    </xf>
    <xf numFmtId="3" fontId="13" fillId="3" borderId="33" xfId="0" applyNumberFormat="1" applyFont="1" applyFill="1" applyBorder="1" applyAlignment="1" applyProtection="1">
      <alignment horizontal="right"/>
    </xf>
    <xf numFmtId="3" fontId="13" fillId="3" borderId="45" xfId="0" applyNumberFormat="1" applyFont="1" applyFill="1" applyBorder="1" applyAlignment="1" applyProtection="1">
      <alignment horizontal="right"/>
    </xf>
    <xf numFmtId="3" fontId="13" fillId="3" borderId="33" xfId="0" applyNumberFormat="1" applyFont="1" applyFill="1" applyBorder="1" applyAlignment="1" applyProtection="1"/>
    <xf numFmtId="3" fontId="13" fillId="3" borderId="45" xfId="0" applyNumberFormat="1" applyFont="1" applyFill="1" applyBorder="1" applyAlignment="1" applyProtection="1"/>
    <xf numFmtId="3" fontId="13" fillId="3" borderId="105" xfId="0" applyNumberFormat="1" applyFont="1" applyFill="1" applyBorder="1" applyAlignment="1" applyProtection="1">
      <alignment horizontal="right"/>
    </xf>
    <xf numFmtId="3" fontId="2" fillId="3" borderId="106" xfId="0" applyNumberFormat="1" applyFont="1" applyFill="1" applyBorder="1" applyAlignment="1" applyProtection="1">
      <alignment horizontal="right"/>
    </xf>
    <xf numFmtId="3" fontId="37" fillId="3" borderId="77" xfId="0" applyNumberFormat="1" applyFont="1" applyFill="1" applyBorder="1" applyAlignment="1" applyProtection="1">
      <alignment horizontal="right"/>
    </xf>
    <xf numFmtId="3" fontId="37" fillId="3" borderId="107" xfId="0" applyNumberFormat="1" applyFont="1" applyFill="1" applyBorder="1" applyAlignment="1" applyProtection="1">
      <alignment horizontal="right"/>
    </xf>
    <xf numFmtId="3" fontId="37" fillId="3" borderId="25" xfId="0" applyNumberFormat="1" applyFont="1" applyFill="1" applyBorder="1" applyAlignment="1" applyProtection="1">
      <alignment horizontal="right"/>
    </xf>
    <xf numFmtId="3" fontId="37" fillId="3" borderId="26" xfId="0" applyNumberFormat="1" applyFont="1" applyFill="1" applyBorder="1" applyAlignment="1" applyProtection="1">
      <alignment horizontal="right"/>
    </xf>
    <xf numFmtId="0" fontId="1" fillId="7" borderId="0" xfId="0" applyFont="1" applyFill="1" applyProtection="1"/>
    <xf numFmtId="3" fontId="1" fillId="2" borderId="0" xfId="0" applyNumberFormat="1" applyFont="1" applyFill="1" applyProtection="1"/>
    <xf numFmtId="3" fontId="1" fillId="0" borderId="0" xfId="0" applyNumberFormat="1" applyFont="1" applyProtection="1"/>
    <xf numFmtId="3" fontId="1" fillId="0" borderId="0" xfId="0" applyNumberFormat="1" applyFont="1" applyFill="1" applyBorder="1" applyProtection="1"/>
    <xf numFmtId="0" fontId="0" fillId="10" borderId="0" xfId="0" applyFill="1" applyBorder="1"/>
    <xf numFmtId="0" fontId="0" fillId="0" borderId="0" xfId="0" applyBorder="1"/>
    <xf numFmtId="0" fontId="0" fillId="0" borderId="67" xfId="0" applyBorder="1"/>
    <xf numFmtId="49" fontId="2" fillId="10" borderId="11" xfId="0" applyNumberFormat="1" applyFont="1" applyFill="1" applyBorder="1" applyAlignment="1" applyProtection="1"/>
    <xf numFmtId="49" fontId="2" fillId="10" borderId="76" xfId="0" applyNumberFormat="1" applyFont="1" applyFill="1" applyBorder="1" applyAlignment="1" applyProtection="1"/>
    <xf numFmtId="49" fontId="2" fillId="10" borderId="39" xfId="0" applyNumberFormat="1" applyFont="1" applyFill="1" applyBorder="1" applyAlignment="1" applyProtection="1"/>
    <xf numFmtId="49" fontId="2" fillId="10" borderId="78" xfId="0" applyNumberFormat="1" applyFont="1" applyFill="1" applyBorder="1" applyAlignment="1" applyProtection="1"/>
    <xf numFmtId="49" fontId="2" fillId="10" borderId="36" xfId="0" applyNumberFormat="1" applyFont="1" applyFill="1" applyBorder="1" applyAlignment="1" applyProtection="1"/>
    <xf numFmtId="0" fontId="17" fillId="0" borderId="0" xfId="0" applyFont="1" applyFill="1" applyBorder="1" applyAlignment="1" applyProtection="1">
      <alignment horizontal="center"/>
    </xf>
    <xf numFmtId="0" fontId="93" fillId="0" borderId="0" xfId="5" applyFont="1" applyProtection="1"/>
    <xf numFmtId="3" fontId="2" fillId="9" borderId="113" xfId="5" applyNumberFormat="1" applyFont="1" applyFill="1" applyBorder="1" applyProtection="1"/>
    <xf numFmtId="3" fontId="2" fillId="9" borderId="7" xfId="5" applyNumberFormat="1" applyFont="1" applyFill="1" applyBorder="1" applyProtection="1"/>
    <xf numFmtId="3" fontId="2" fillId="9" borderId="106" xfId="5" applyNumberFormat="1" applyFont="1" applyFill="1" applyBorder="1" applyProtection="1"/>
    <xf numFmtId="3" fontId="2" fillId="9" borderId="91" xfId="5" applyNumberFormat="1" applyFont="1" applyFill="1" applyBorder="1" applyProtection="1"/>
    <xf numFmtId="3" fontId="2" fillId="9" borderId="114" xfId="5" applyNumberFormat="1" applyFont="1" applyFill="1" applyBorder="1" applyProtection="1"/>
    <xf numFmtId="0" fontId="94" fillId="0" borderId="0" xfId="5" applyFont="1" applyProtection="1"/>
    <xf numFmtId="3" fontId="2" fillId="3" borderId="18" xfId="0" applyNumberFormat="1" applyFont="1" applyFill="1" applyBorder="1" applyAlignment="1" applyProtection="1">
      <alignment horizontal="right"/>
    </xf>
    <xf numFmtId="3" fontId="2" fillId="9" borderId="22" xfId="0" applyNumberFormat="1" applyFont="1" applyFill="1" applyBorder="1" applyAlignment="1" applyProtection="1">
      <alignment horizontal="right"/>
    </xf>
    <xf numFmtId="3" fontId="2" fillId="3" borderId="115" xfId="0" applyNumberFormat="1" applyFont="1" applyFill="1" applyBorder="1" applyAlignment="1" applyProtection="1">
      <alignment horizontal="right"/>
    </xf>
    <xf numFmtId="3" fontId="2" fillId="2" borderId="21" xfId="0" applyNumberFormat="1" applyFont="1" applyFill="1" applyBorder="1" applyAlignment="1" applyProtection="1">
      <alignment horizontal="right"/>
      <protection locked="0"/>
    </xf>
    <xf numFmtId="3" fontId="2" fillId="2" borderId="22" xfId="0" applyNumberFormat="1" applyFont="1" applyFill="1" applyBorder="1" applyAlignment="1" applyProtection="1">
      <alignment horizontal="right"/>
      <protection locked="0"/>
    </xf>
    <xf numFmtId="3" fontId="2" fillId="3" borderId="116" xfId="0" applyNumberFormat="1" applyFont="1" applyFill="1" applyBorder="1" applyAlignment="1" applyProtection="1">
      <alignment horizontal="right"/>
    </xf>
    <xf numFmtId="3" fontId="2" fillId="15" borderId="18" xfId="0" applyNumberFormat="1" applyFont="1" applyFill="1" applyBorder="1" applyAlignment="1" applyProtection="1">
      <alignment horizontal="right"/>
      <protection locked="0"/>
    </xf>
    <xf numFmtId="3" fontId="13" fillId="3" borderId="108" xfId="0" applyNumberFormat="1" applyFont="1" applyFill="1" applyBorder="1" applyAlignment="1" applyProtection="1">
      <alignment horizontal="right"/>
    </xf>
    <xf numFmtId="3" fontId="13" fillId="10" borderId="30" xfId="0" applyNumberFormat="1" applyFont="1" applyFill="1" applyBorder="1" applyAlignment="1" applyProtection="1">
      <alignment horizontal="right"/>
    </xf>
    <xf numFmtId="3" fontId="13" fillId="10" borderId="31" xfId="0" applyNumberFormat="1" applyFont="1" applyFill="1" applyBorder="1" applyAlignment="1" applyProtection="1">
      <alignment horizontal="right"/>
    </xf>
    <xf numFmtId="3" fontId="13" fillId="10" borderId="23" xfId="0" applyNumberFormat="1" applyFont="1" applyFill="1" applyBorder="1" applyAlignment="1" applyProtection="1">
      <alignment horizontal="right"/>
    </xf>
    <xf numFmtId="3" fontId="13" fillId="10" borderId="9" xfId="0" applyNumberFormat="1" applyFont="1" applyFill="1" applyBorder="1" applyAlignment="1" applyProtection="1">
      <alignment horizontal="right"/>
    </xf>
    <xf numFmtId="3" fontId="13" fillId="10" borderId="20" xfId="0" applyNumberFormat="1" applyFont="1" applyFill="1" applyBorder="1" applyAlignment="1" applyProtection="1">
      <alignment horizontal="right"/>
    </xf>
    <xf numFmtId="3" fontId="13" fillId="10" borderId="10" xfId="0" applyNumberFormat="1" applyFont="1" applyFill="1" applyBorder="1" applyAlignment="1" applyProtection="1">
      <alignment horizontal="right"/>
    </xf>
    <xf numFmtId="3" fontId="13" fillId="10" borderId="14" xfId="0" applyNumberFormat="1" applyFont="1" applyFill="1" applyBorder="1" applyAlignment="1" applyProtection="1">
      <alignment horizontal="right"/>
    </xf>
    <xf numFmtId="3" fontId="13" fillId="2" borderId="55" xfId="0" applyNumberFormat="1" applyFont="1" applyFill="1" applyBorder="1" applyAlignment="1" applyProtection="1">
      <alignment horizontal="right"/>
      <protection locked="0"/>
    </xf>
    <xf numFmtId="3" fontId="13" fillId="2" borderId="54" xfId="0" applyNumberFormat="1" applyFont="1" applyFill="1" applyBorder="1" applyAlignment="1" applyProtection="1">
      <alignment horizontal="right"/>
      <protection locked="0"/>
    </xf>
    <xf numFmtId="3" fontId="13" fillId="2" borderId="65" xfId="0" applyNumberFormat="1" applyFont="1" applyFill="1" applyBorder="1" applyAlignment="1" applyProtection="1">
      <alignment horizontal="right"/>
      <protection locked="0"/>
    </xf>
    <xf numFmtId="3" fontId="13" fillId="10" borderId="101" xfId="0" applyNumberFormat="1" applyFont="1" applyFill="1" applyBorder="1" applyAlignment="1" applyProtection="1">
      <alignment horizontal="right"/>
    </xf>
    <xf numFmtId="3" fontId="13" fillId="10" borderId="117" xfId="0" applyNumberFormat="1" applyFont="1" applyFill="1" applyBorder="1" applyAlignment="1" applyProtection="1">
      <alignment horizontal="right"/>
    </xf>
    <xf numFmtId="3" fontId="13" fillId="10" borderId="118" xfId="0" applyNumberFormat="1" applyFont="1" applyFill="1" applyBorder="1" applyAlignment="1" applyProtection="1">
      <alignment horizontal="right"/>
    </xf>
    <xf numFmtId="3" fontId="13" fillId="10" borderId="88" xfId="0" applyNumberFormat="1" applyFont="1" applyFill="1" applyBorder="1" applyAlignment="1" applyProtection="1">
      <alignment horizontal="right"/>
    </xf>
    <xf numFmtId="3" fontId="13" fillId="10" borderId="4" xfId="0" applyNumberFormat="1" applyFont="1" applyFill="1" applyBorder="1" applyAlignment="1" applyProtection="1">
      <alignment horizontal="right"/>
    </xf>
    <xf numFmtId="3" fontId="13" fillId="10" borderId="3" xfId="0" applyNumberFormat="1" applyFont="1" applyFill="1" applyBorder="1" applyAlignment="1" applyProtection="1">
      <alignment horizontal="right"/>
    </xf>
    <xf numFmtId="3" fontId="13" fillId="10" borderId="2" xfId="0" applyNumberFormat="1" applyFont="1" applyFill="1" applyBorder="1" applyAlignment="1" applyProtection="1">
      <alignment horizontal="right"/>
    </xf>
    <xf numFmtId="3" fontId="13" fillId="10" borderId="18" xfId="0" applyNumberFormat="1" applyFont="1" applyFill="1" applyBorder="1" applyAlignment="1" applyProtection="1">
      <alignment horizontal="right"/>
    </xf>
    <xf numFmtId="3" fontId="13" fillId="10" borderId="98" xfId="0" applyNumberFormat="1" applyFont="1" applyFill="1" applyBorder="1" applyAlignment="1" applyProtection="1">
      <alignment horizontal="right"/>
    </xf>
    <xf numFmtId="3" fontId="13" fillId="10" borderId="21" xfId="0" applyNumberFormat="1" applyFont="1" applyFill="1" applyBorder="1" applyAlignment="1" applyProtection="1">
      <alignment horizontal="right"/>
    </xf>
    <xf numFmtId="3" fontId="13" fillId="10" borderId="47" xfId="0" applyNumberFormat="1" applyFont="1" applyFill="1" applyBorder="1" applyAlignment="1" applyProtection="1">
      <alignment horizontal="right"/>
    </xf>
    <xf numFmtId="3" fontId="13" fillId="10" borderId="119" xfId="0" applyNumberFormat="1" applyFont="1" applyFill="1" applyBorder="1" applyAlignment="1" applyProtection="1">
      <alignment horizontal="right"/>
    </xf>
    <xf numFmtId="3" fontId="13" fillId="10" borderId="28" xfId="0" applyNumberFormat="1" applyFont="1" applyFill="1" applyBorder="1" applyAlignment="1" applyProtection="1">
      <alignment horizontal="right"/>
    </xf>
    <xf numFmtId="3" fontId="13" fillId="10" borderId="103" xfId="0" applyNumberFormat="1" applyFont="1" applyFill="1" applyBorder="1" applyAlignment="1" applyProtection="1">
      <alignment horizontal="right"/>
    </xf>
    <xf numFmtId="3" fontId="13" fillId="10" borderId="29" xfId="0" applyNumberFormat="1" applyFont="1" applyFill="1" applyBorder="1" applyAlignment="1" applyProtection="1">
      <alignment horizontal="right"/>
    </xf>
    <xf numFmtId="3" fontId="13" fillId="10" borderId="32" xfId="0" applyNumberFormat="1" applyFont="1" applyFill="1" applyBorder="1" applyAlignment="1" applyProtection="1">
      <alignment horizontal="right"/>
    </xf>
    <xf numFmtId="3" fontId="13" fillId="10" borderId="22" xfId="0" applyNumberFormat="1" applyFont="1" applyFill="1" applyBorder="1" applyAlignment="1" applyProtection="1">
      <alignment horizontal="right"/>
    </xf>
    <xf numFmtId="3" fontId="13" fillId="10" borderId="5" xfId="0" applyNumberFormat="1" applyFont="1" applyFill="1" applyBorder="1" applyAlignment="1" applyProtection="1">
      <alignment horizontal="right"/>
    </xf>
    <xf numFmtId="3" fontId="13" fillId="10" borderId="19" xfId="0" applyNumberFormat="1" applyFont="1" applyFill="1" applyBorder="1" applyAlignment="1" applyProtection="1">
      <alignment horizontal="right"/>
    </xf>
    <xf numFmtId="3" fontId="13" fillId="10" borderId="6" xfId="0" applyNumberFormat="1" applyFont="1" applyFill="1" applyBorder="1" applyAlignment="1" applyProtection="1">
      <alignment horizontal="right"/>
    </xf>
    <xf numFmtId="3" fontId="13" fillId="10" borderId="7" xfId="0" applyNumberFormat="1" applyFont="1" applyFill="1" applyBorder="1" applyAlignment="1" applyProtection="1">
      <alignment horizontal="right"/>
    </xf>
    <xf numFmtId="0" fontId="25" fillId="10" borderId="96" xfId="0" applyFont="1" applyFill="1" applyBorder="1" applyProtection="1"/>
    <xf numFmtId="0" fontId="25" fillId="10" borderId="120" xfId="0" applyFont="1" applyFill="1" applyBorder="1" applyProtection="1"/>
    <xf numFmtId="0" fontId="25" fillId="10" borderId="121" xfId="0" applyFont="1" applyFill="1" applyBorder="1" applyProtection="1"/>
    <xf numFmtId="0" fontId="25" fillId="10" borderId="65" xfId="0" applyFont="1" applyFill="1" applyBorder="1" applyProtection="1"/>
    <xf numFmtId="0" fontId="25" fillId="10" borderId="82" xfId="0" applyFont="1" applyFill="1" applyBorder="1" applyProtection="1"/>
    <xf numFmtId="0" fontId="25" fillId="10" borderId="53" xfId="0" applyFont="1" applyFill="1" applyBorder="1" applyProtection="1"/>
    <xf numFmtId="0" fontId="25" fillId="10" borderId="98" xfId="0" applyFont="1" applyFill="1" applyBorder="1" applyProtection="1"/>
    <xf numFmtId="0" fontId="25" fillId="10" borderId="118" xfId="0" applyFont="1" applyFill="1" applyBorder="1" applyProtection="1"/>
    <xf numFmtId="0" fontId="25" fillId="10" borderId="21" xfId="0" applyFont="1" applyFill="1" applyBorder="1" applyProtection="1"/>
    <xf numFmtId="0" fontId="25" fillId="10" borderId="2" xfId="0" applyFont="1" applyFill="1" applyBorder="1" applyProtection="1"/>
    <xf numFmtId="0" fontId="25" fillId="10" borderId="47" xfId="0" applyFont="1" applyFill="1" applyBorder="1" applyProtection="1"/>
    <xf numFmtId="0" fontId="25" fillId="10" borderId="119" xfId="0" applyFont="1" applyFill="1" applyBorder="1" applyProtection="1"/>
    <xf numFmtId="0" fontId="25" fillId="10" borderId="28" xfId="0" applyFont="1" applyFill="1" applyBorder="1" applyProtection="1"/>
    <xf numFmtId="0" fontId="25" fillId="10" borderId="103" xfId="0" applyFont="1" applyFill="1" applyBorder="1" applyProtection="1"/>
    <xf numFmtId="3" fontId="13" fillId="10" borderId="109" xfId="0" applyNumberFormat="1" applyFont="1" applyFill="1" applyBorder="1" applyAlignment="1" applyProtection="1">
      <alignment horizontal="right"/>
    </xf>
    <xf numFmtId="3" fontId="13" fillId="2" borderId="82" xfId="0" applyNumberFormat="1" applyFont="1" applyFill="1" applyBorder="1" applyAlignment="1" applyProtection="1">
      <alignment horizontal="right"/>
      <protection locked="0"/>
    </xf>
    <xf numFmtId="0" fontId="25" fillId="10" borderId="7" xfId="0" applyFont="1" applyFill="1" applyBorder="1" applyProtection="1"/>
    <xf numFmtId="0" fontId="25" fillId="10" borderId="6" xfId="0" applyFont="1" applyFill="1" applyBorder="1" applyProtection="1"/>
    <xf numFmtId="0" fontId="25" fillId="10" borderId="5" xfId="0" applyFont="1" applyFill="1" applyBorder="1" applyProtection="1"/>
    <xf numFmtId="3" fontId="13" fillId="16" borderId="5" xfId="0" applyNumberFormat="1" applyFont="1" applyFill="1" applyBorder="1" applyAlignment="1" applyProtection="1">
      <alignment horizontal="right"/>
    </xf>
    <xf numFmtId="3" fontId="13" fillId="16" borderId="6" xfId="0" applyNumberFormat="1" applyFont="1" applyFill="1" applyBorder="1" applyAlignment="1" applyProtection="1">
      <alignment horizontal="right"/>
    </xf>
    <xf numFmtId="0" fontId="25" fillId="10" borderId="19" xfId="0" applyFont="1" applyFill="1" applyBorder="1" applyProtection="1"/>
    <xf numFmtId="0" fontId="25" fillId="10" borderId="22" xfId="0" applyFont="1" applyFill="1" applyBorder="1" applyProtection="1"/>
    <xf numFmtId="0" fontId="25" fillId="10" borderId="29" xfId="0" applyFont="1" applyFill="1" applyBorder="1" applyProtection="1"/>
    <xf numFmtId="0" fontId="25" fillId="10" borderId="32" xfId="0" applyFont="1" applyFill="1" applyBorder="1" applyProtection="1"/>
    <xf numFmtId="3" fontId="13" fillId="2" borderId="122" xfId="0" applyNumberFormat="1" applyFont="1" applyFill="1" applyBorder="1" applyAlignment="1" applyProtection="1">
      <alignment horizontal="right"/>
    </xf>
    <xf numFmtId="3" fontId="13" fillId="10" borderId="14" xfId="0" applyNumberFormat="1" applyFont="1" applyFill="1" applyBorder="1" applyAlignment="1" applyProtection="1">
      <alignment horizontal="left"/>
    </xf>
    <xf numFmtId="3" fontId="13" fillId="10" borderId="10" xfId="0" applyNumberFormat="1" applyFont="1" applyFill="1" applyBorder="1" applyAlignment="1" applyProtection="1">
      <alignment horizontal="left"/>
    </xf>
    <xf numFmtId="3" fontId="13" fillId="10" borderId="9" xfId="0" applyNumberFormat="1" applyFont="1" applyFill="1" applyBorder="1" applyAlignment="1" applyProtection="1">
      <alignment horizontal="left"/>
    </xf>
    <xf numFmtId="3" fontId="13" fillId="10" borderId="20" xfId="0" applyNumberFormat="1" applyFont="1" applyFill="1" applyBorder="1" applyAlignment="1" applyProtection="1">
      <alignment horizontal="left"/>
    </xf>
    <xf numFmtId="3" fontId="13" fillId="10" borderId="23" xfId="0" applyNumberFormat="1" applyFont="1" applyFill="1" applyBorder="1" applyAlignment="1" applyProtection="1">
      <alignment horizontal="left"/>
    </xf>
    <xf numFmtId="3" fontId="13" fillId="17" borderId="20" xfId="0" applyNumberFormat="1" applyFont="1" applyFill="1" applyBorder="1" applyAlignment="1" applyProtection="1">
      <alignment horizontal="left"/>
    </xf>
    <xf numFmtId="3" fontId="13" fillId="10" borderId="30" xfId="0" applyNumberFormat="1" applyFont="1" applyFill="1" applyBorder="1" applyAlignment="1" applyProtection="1">
      <alignment horizontal="left"/>
    </xf>
    <xf numFmtId="3" fontId="13" fillId="10" borderId="31" xfId="0" applyNumberFormat="1" applyFont="1" applyFill="1" applyBorder="1" applyAlignment="1" applyProtection="1">
      <alignment horizontal="left"/>
    </xf>
    <xf numFmtId="0" fontId="90" fillId="0" borderId="11" xfId="5" applyFont="1" applyBorder="1" applyProtection="1"/>
    <xf numFmtId="0" fontId="24" fillId="0" borderId="87" xfId="5" applyBorder="1" applyProtection="1"/>
    <xf numFmtId="0" fontId="90" fillId="0" borderId="74" xfId="5" applyFont="1" applyBorder="1" applyProtection="1"/>
    <xf numFmtId="49" fontId="95" fillId="7" borderId="0" xfId="0" applyNumberFormat="1" applyFont="1" applyFill="1" applyProtection="1"/>
    <xf numFmtId="0" fontId="95" fillId="7" borderId="0" xfId="0" applyFont="1" applyFill="1" applyProtection="1"/>
    <xf numFmtId="49" fontId="97" fillId="7" borderId="0" xfId="0" applyNumberFormat="1" applyFont="1" applyFill="1" applyProtection="1"/>
    <xf numFmtId="0" fontId="97" fillId="7" borderId="0" xfId="0" applyFont="1" applyFill="1" applyProtection="1"/>
    <xf numFmtId="0" fontId="0" fillId="7" borderId="0" xfId="0" applyFill="1" applyAlignment="1" applyProtection="1">
      <alignment horizontal="right"/>
    </xf>
    <xf numFmtId="0" fontId="98" fillId="7" borderId="0" xfId="0" applyFont="1" applyFill="1" applyProtection="1"/>
    <xf numFmtId="49" fontId="97" fillId="7" borderId="0" xfId="0" applyNumberFormat="1" applyFont="1" applyFill="1" applyAlignment="1" applyProtection="1">
      <alignment horizontal="right"/>
    </xf>
    <xf numFmtId="49" fontId="96" fillId="7" borderId="0" xfId="0" applyNumberFormat="1" applyFont="1" applyFill="1" applyAlignment="1" applyProtection="1">
      <alignment horizontal="right"/>
    </xf>
    <xf numFmtId="0" fontId="96" fillId="7" borderId="0" xfId="0" applyFont="1" applyFill="1" applyAlignment="1" applyProtection="1">
      <alignment horizontal="left"/>
    </xf>
    <xf numFmtId="49" fontId="97" fillId="7" borderId="0" xfId="5" applyNumberFormat="1" applyFont="1" applyFill="1" applyBorder="1" applyAlignment="1" applyProtection="1">
      <alignment horizontal="left"/>
    </xf>
    <xf numFmtId="0" fontId="97" fillId="7" borderId="0" xfId="5" applyFont="1" applyFill="1" applyProtection="1"/>
    <xf numFmtId="49" fontId="97" fillId="7" borderId="0" xfId="0" applyNumberFormat="1" applyFont="1" applyFill="1" applyAlignment="1" applyProtection="1"/>
    <xf numFmtId="0" fontId="97" fillId="7" borderId="0" xfId="0" applyFont="1" applyFill="1" applyAlignment="1" applyProtection="1"/>
    <xf numFmtId="3" fontId="2" fillId="0" borderId="18" xfId="0" applyNumberFormat="1" applyFont="1" applyFill="1" applyBorder="1" applyAlignment="1" applyProtection="1">
      <alignment horizontal="right"/>
      <protection locked="0"/>
    </xf>
    <xf numFmtId="3" fontId="50" fillId="0" borderId="39" xfId="0" applyNumberFormat="1" applyFont="1" applyFill="1" applyBorder="1" applyProtection="1"/>
    <xf numFmtId="3" fontId="7" fillId="0" borderId="39" xfId="0" applyNumberFormat="1" applyFont="1" applyFill="1" applyBorder="1" applyProtection="1"/>
    <xf numFmtId="3" fontId="3" fillId="0" borderId="67" xfId="0" applyNumberFormat="1" applyFont="1" applyFill="1" applyBorder="1" applyAlignment="1" applyProtection="1">
      <alignment horizontal="right"/>
    </xf>
    <xf numFmtId="3" fontId="36" fillId="0" borderId="39" xfId="0" applyNumberFormat="1" applyFont="1" applyFill="1" applyBorder="1" applyAlignment="1" applyProtection="1">
      <alignment horizontal="right"/>
    </xf>
    <xf numFmtId="0" fontId="81" fillId="2" borderId="67" xfId="10" applyFont="1" applyFill="1" applyBorder="1" applyProtection="1"/>
    <xf numFmtId="0" fontId="7" fillId="0" borderId="39" xfId="0" applyFont="1" applyFill="1" applyBorder="1" applyProtection="1"/>
    <xf numFmtId="3" fontId="13" fillId="3" borderId="8" xfId="0" applyNumberFormat="1" applyFont="1" applyFill="1" applyBorder="1" applyAlignment="1" applyProtection="1">
      <alignment horizontal="right"/>
    </xf>
    <xf numFmtId="3" fontId="36" fillId="2" borderId="39" xfId="0" applyNumberFormat="1" applyFont="1" applyFill="1" applyBorder="1" applyAlignment="1" applyProtection="1">
      <alignment horizontal="left"/>
    </xf>
    <xf numFmtId="3" fontId="103" fillId="2" borderId="0" xfId="0" applyNumberFormat="1" applyFont="1" applyFill="1" applyBorder="1" applyAlignment="1" applyProtection="1">
      <alignment horizontal="right"/>
    </xf>
    <xf numFmtId="3" fontId="103" fillId="5" borderId="0" xfId="0" applyNumberFormat="1" applyFont="1" applyFill="1" applyBorder="1" applyAlignment="1" applyProtection="1">
      <alignment horizontal="right"/>
    </xf>
    <xf numFmtId="3" fontId="103" fillId="4" borderId="0" xfId="0" applyNumberFormat="1" applyFont="1" applyFill="1" applyBorder="1" applyAlignment="1" applyProtection="1">
      <alignment horizontal="right"/>
    </xf>
    <xf numFmtId="3" fontId="103" fillId="6" borderId="0" xfId="0" applyNumberFormat="1" applyFont="1" applyFill="1" applyBorder="1" applyAlignment="1" applyProtection="1">
      <alignment horizontal="right"/>
    </xf>
    <xf numFmtId="0" fontId="104" fillId="0" borderId="0" xfId="0" applyFont="1" applyFill="1" applyBorder="1" applyProtection="1"/>
    <xf numFmtId="49" fontId="3" fillId="21" borderId="127" xfId="0" applyNumberFormat="1" applyFont="1" applyFill="1" applyBorder="1" applyAlignment="1" applyProtection="1">
      <alignment horizontal="center"/>
    </xf>
    <xf numFmtId="0" fontId="5" fillId="21" borderId="13" xfId="0" applyFont="1" applyFill="1" applyBorder="1" applyProtection="1"/>
    <xf numFmtId="49" fontId="3" fillId="21" borderId="5" xfId="0" applyNumberFormat="1" applyFont="1" applyFill="1" applyBorder="1" applyAlignment="1" applyProtection="1">
      <alignment horizontal="center" wrapText="1"/>
    </xf>
    <xf numFmtId="49" fontId="3" fillId="21" borderId="84" xfId="0" applyNumberFormat="1" applyFont="1" applyFill="1" applyBorder="1" applyAlignment="1" applyProtection="1">
      <alignment horizontal="center" wrapText="1"/>
    </xf>
    <xf numFmtId="49" fontId="3" fillId="21" borderId="2" xfId="0" applyNumberFormat="1" applyFont="1" applyFill="1" applyBorder="1" applyAlignment="1" applyProtection="1">
      <alignment horizontal="center" wrapText="1"/>
    </xf>
    <xf numFmtId="0" fontId="8" fillId="21" borderId="5" xfId="0" applyFont="1" applyFill="1" applyBorder="1" applyAlignment="1" applyProtection="1">
      <alignment horizontal="center"/>
    </xf>
    <xf numFmtId="0" fontId="3" fillId="21" borderId="68" xfId="0" applyFont="1" applyFill="1" applyBorder="1" applyAlignment="1" applyProtection="1">
      <alignment horizontal="center"/>
    </xf>
    <xf numFmtId="3" fontId="3" fillId="21" borderId="128" xfId="0" applyNumberFormat="1" applyFont="1" applyFill="1" applyBorder="1" applyAlignment="1" applyProtection="1"/>
    <xf numFmtId="0" fontId="3" fillId="21" borderId="23" xfId="0" applyFont="1" applyFill="1" applyBorder="1" applyAlignment="1" applyProtection="1">
      <alignment horizontal="center"/>
    </xf>
    <xf numFmtId="0" fontId="3" fillId="21" borderId="9" xfId="0" applyFont="1" applyFill="1" applyBorder="1" applyAlignment="1" applyProtection="1">
      <alignment horizontal="center"/>
    </xf>
    <xf numFmtId="0" fontId="3" fillId="21" borderId="129" xfId="0" applyFont="1" applyFill="1" applyBorder="1" applyAlignment="1" applyProtection="1">
      <alignment horizontal="center"/>
    </xf>
    <xf numFmtId="0" fontId="8" fillId="21" borderId="13" xfId="0" applyFont="1" applyFill="1" applyBorder="1" applyAlignment="1" applyProtection="1">
      <alignment horizontal="center"/>
    </xf>
    <xf numFmtId="0" fontId="3" fillId="21" borderId="22" xfId="0" applyFont="1" applyFill="1" applyBorder="1" applyAlignment="1" applyProtection="1">
      <alignment horizontal="center"/>
    </xf>
    <xf numFmtId="0" fontId="8" fillId="21" borderId="5" xfId="0" applyFont="1" applyFill="1" applyBorder="1" applyAlignment="1" applyProtection="1">
      <alignment wrapText="1"/>
    </xf>
    <xf numFmtId="0" fontId="3" fillId="21" borderId="21" xfId="0" applyFont="1" applyFill="1" applyBorder="1" applyAlignment="1" applyProtection="1">
      <alignment horizontal="center"/>
    </xf>
    <xf numFmtId="0" fontId="3" fillId="21" borderId="2" xfId="0" applyFont="1" applyFill="1" applyBorder="1" applyProtection="1"/>
    <xf numFmtId="0" fontId="3" fillId="21" borderId="130" xfId="0" applyFont="1" applyFill="1" applyBorder="1" applyAlignment="1" applyProtection="1">
      <alignment horizontal="center"/>
    </xf>
    <xf numFmtId="1" fontId="3" fillId="21" borderId="15" xfId="0" applyNumberFormat="1" applyFont="1" applyFill="1" applyBorder="1" applyAlignment="1" applyProtection="1">
      <alignment horizontal="center"/>
    </xf>
    <xf numFmtId="0" fontId="3" fillId="21" borderId="15" xfId="0" applyFont="1" applyFill="1" applyBorder="1" applyProtection="1"/>
    <xf numFmtId="1" fontId="3" fillId="21" borderId="5" xfId="0" applyNumberFormat="1" applyFont="1" applyFill="1" applyBorder="1" applyAlignment="1" applyProtection="1">
      <alignment horizontal="center"/>
    </xf>
    <xf numFmtId="0" fontId="3" fillId="21" borderId="5" xfId="0" applyFont="1" applyFill="1" applyBorder="1" applyProtection="1"/>
    <xf numFmtId="0" fontId="3" fillId="21" borderId="50" xfId="0" applyFont="1" applyFill="1" applyBorder="1" applyAlignment="1" applyProtection="1">
      <alignment horizontal="center"/>
    </xf>
    <xf numFmtId="1" fontId="3" fillId="21" borderId="2" xfId="0" applyNumberFormat="1" applyFont="1" applyFill="1" applyBorder="1" applyAlignment="1" applyProtection="1">
      <alignment horizontal="center"/>
    </xf>
    <xf numFmtId="0" fontId="3" fillId="21" borderId="24" xfId="0" applyFont="1" applyFill="1" applyBorder="1" applyAlignment="1" applyProtection="1">
      <alignment horizontal="center"/>
    </xf>
    <xf numFmtId="1" fontId="5" fillId="21" borderId="13" xfId="0" applyNumberFormat="1" applyFont="1" applyFill="1" applyBorder="1" applyAlignment="1" applyProtection="1">
      <alignment horizontal="center"/>
    </xf>
    <xf numFmtId="0" fontId="8" fillId="21" borderId="131" xfId="0" applyFont="1" applyFill="1" applyBorder="1" applyAlignment="1" applyProtection="1">
      <alignment horizontal="center"/>
    </xf>
    <xf numFmtId="1" fontId="8" fillId="21" borderId="2" xfId="0" applyNumberFormat="1" applyFont="1" applyFill="1" applyBorder="1" applyAlignment="1" applyProtection="1">
      <alignment horizontal="center"/>
    </xf>
    <xf numFmtId="0" fontId="8" fillId="21" borderId="2" xfId="0" applyFont="1" applyFill="1" applyBorder="1" applyProtection="1"/>
    <xf numFmtId="1" fontId="16" fillId="21" borderId="13" xfId="0" applyNumberFormat="1" applyFont="1" applyFill="1" applyBorder="1" applyAlignment="1" applyProtection="1">
      <alignment horizontal="center"/>
    </xf>
    <xf numFmtId="0" fontId="16" fillId="21" borderId="13" xfId="0" applyFont="1" applyFill="1" applyBorder="1" applyProtection="1"/>
    <xf numFmtId="0" fontId="3" fillId="21" borderId="51" xfId="0" applyFont="1" applyFill="1" applyBorder="1" applyAlignment="1" applyProtection="1">
      <alignment horizontal="center"/>
    </xf>
    <xf numFmtId="1" fontId="5" fillId="21" borderId="25" xfId="0" applyNumberFormat="1" applyFont="1" applyFill="1" applyBorder="1" applyAlignment="1" applyProtection="1">
      <alignment horizontal="center"/>
    </xf>
    <xf numFmtId="0" fontId="5" fillId="21" borderId="25" xfId="0" applyFont="1" applyFill="1" applyBorder="1" applyProtection="1"/>
    <xf numFmtId="0" fontId="3" fillId="21" borderId="131" xfId="0" applyFont="1" applyFill="1" applyBorder="1" applyAlignment="1" applyProtection="1">
      <alignment horizontal="center"/>
    </xf>
    <xf numFmtId="0" fontId="3" fillId="21" borderId="25" xfId="0" applyFont="1" applyFill="1" applyBorder="1" applyAlignment="1" applyProtection="1">
      <alignment horizontal="center"/>
    </xf>
    <xf numFmtId="0" fontId="3" fillId="21" borderId="25" xfId="0" applyFont="1" applyFill="1" applyBorder="1" applyProtection="1"/>
    <xf numFmtId="0" fontId="5" fillId="21" borderId="2" xfId="0" applyFont="1" applyFill="1" applyBorder="1" applyProtection="1"/>
    <xf numFmtId="49" fontId="3" fillId="21" borderId="129" xfId="0" applyNumberFormat="1" applyFont="1" applyFill="1" applyBorder="1" applyAlignment="1" applyProtection="1">
      <alignment horizontal="center"/>
    </xf>
    <xf numFmtId="0" fontId="3" fillId="21" borderId="106" xfId="0" applyFont="1" applyFill="1" applyBorder="1" applyAlignment="1" applyProtection="1">
      <alignment horizontal="center"/>
    </xf>
    <xf numFmtId="1" fontId="3" fillId="21" borderId="42" xfId="0" applyNumberFormat="1" applyFont="1" applyFill="1" applyBorder="1" applyAlignment="1" applyProtection="1">
      <alignment horizontal="left"/>
    </xf>
    <xf numFmtId="0" fontId="3" fillId="21" borderId="132" xfId="0" applyFont="1" applyFill="1" applyBorder="1" applyAlignment="1" applyProtection="1">
      <alignment horizontal="center"/>
    </xf>
    <xf numFmtId="1" fontId="3" fillId="21" borderId="133" xfId="0" applyNumberFormat="1" applyFont="1" applyFill="1" applyBorder="1" applyAlignment="1" applyProtection="1">
      <alignment horizontal="left"/>
    </xf>
    <xf numFmtId="49" fontId="3" fillId="21" borderId="134" xfId="0" applyNumberFormat="1" applyFont="1" applyFill="1" applyBorder="1" applyAlignment="1" applyProtection="1">
      <alignment horizontal="center"/>
    </xf>
    <xf numFmtId="0" fontId="65" fillId="21" borderId="81" xfId="0" applyFont="1" applyFill="1" applyBorder="1" applyAlignment="1" applyProtection="1">
      <alignment horizontal="center"/>
    </xf>
    <xf numFmtId="49" fontId="3" fillId="21" borderId="21" xfId="0" applyNumberFormat="1" applyFont="1" applyFill="1" applyBorder="1" applyAlignment="1" applyProtection="1">
      <alignment horizontal="center"/>
    </xf>
    <xf numFmtId="49" fontId="18" fillId="21" borderId="8" xfId="0" applyNumberFormat="1" applyFont="1" applyFill="1" applyBorder="1" applyAlignment="1" applyProtection="1">
      <alignment horizontal="left"/>
    </xf>
    <xf numFmtId="49" fontId="3" fillId="21" borderId="22" xfId="0" applyNumberFormat="1" applyFont="1" applyFill="1" applyBorder="1" applyAlignment="1" applyProtection="1">
      <alignment horizontal="center"/>
    </xf>
    <xf numFmtId="49" fontId="3" fillId="21" borderId="130" xfId="0" applyNumberFormat="1" applyFont="1" applyFill="1" applyBorder="1" applyAlignment="1" applyProtection="1">
      <alignment horizontal="center"/>
    </xf>
    <xf numFmtId="49" fontId="3" fillId="21" borderId="24" xfId="0" applyNumberFormat="1" applyFont="1" applyFill="1" applyBorder="1" applyAlignment="1" applyProtection="1">
      <alignment horizontal="center"/>
    </xf>
    <xf numFmtId="49" fontId="65" fillId="21" borderId="66" xfId="0" applyNumberFormat="1" applyFont="1" applyFill="1" applyBorder="1" applyAlignment="1" applyProtection="1">
      <alignment horizontal="center"/>
    </xf>
    <xf numFmtId="49" fontId="8" fillId="21" borderId="135" xfId="0" applyNumberFormat="1" applyFont="1" applyFill="1" applyBorder="1" applyAlignment="1" applyProtection="1">
      <alignment horizontal="center"/>
    </xf>
    <xf numFmtId="0" fontId="16" fillId="21" borderId="136" xfId="0" applyFont="1" applyFill="1" applyBorder="1" applyAlignment="1" applyProtection="1">
      <alignment wrapText="1"/>
    </xf>
    <xf numFmtId="0" fontId="3" fillId="21" borderId="2" xfId="0" applyFont="1" applyFill="1" applyBorder="1" applyAlignment="1" applyProtection="1">
      <alignment wrapText="1"/>
    </xf>
    <xf numFmtId="49" fontId="3" fillId="21" borderId="131" xfId="0" applyNumberFormat="1" applyFont="1" applyFill="1" applyBorder="1" applyAlignment="1" applyProtection="1">
      <alignment horizontal="center"/>
    </xf>
    <xf numFmtId="0" fontId="5" fillId="21" borderId="42" xfId="0" applyFont="1" applyFill="1" applyBorder="1" applyProtection="1"/>
    <xf numFmtId="49" fontId="8" fillId="21" borderId="125" xfId="0" applyNumberFormat="1" applyFont="1" applyFill="1" applyBorder="1" applyAlignment="1" applyProtection="1">
      <alignment horizontal="center"/>
    </xf>
    <xf numFmtId="0" fontId="16" fillId="21" borderId="42" xfId="0" applyFont="1" applyFill="1" applyBorder="1" applyProtection="1"/>
    <xf numFmtId="0" fontId="5" fillId="21" borderId="2" xfId="0" applyFont="1" applyFill="1" applyBorder="1" applyAlignment="1" applyProtection="1">
      <alignment wrapText="1"/>
    </xf>
    <xf numFmtId="49" fontId="8" fillId="21" borderId="22" xfId="0" applyNumberFormat="1" applyFont="1" applyFill="1" applyBorder="1" applyAlignment="1" applyProtection="1">
      <alignment horizontal="center"/>
    </xf>
    <xf numFmtId="0" fontId="3" fillId="21" borderId="5" xfId="0" applyFont="1" applyFill="1" applyBorder="1" applyAlignment="1" applyProtection="1">
      <alignment wrapText="1"/>
    </xf>
    <xf numFmtId="0" fontId="5" fillId="21" borderId="120" xfId="0" applyFont="1" applyFill="1" applyBorder="1" applyAlignment="1" applyProtection="1">
      <alignment horizontal="right"/>
    </xf>
    <xf numFmtId="0" fontId="3" fillId="21" borderId="98" xfId="0" applyFont="1" applyFill="1" applyBorder="1" applyAlignment="1" applyProtection="1">
      <alignment horizontal="left"/>
    </xf>
    <xf numFmtId="0" fontId="5" fillId="21" borderId="118" xfId="0" applyFont="1" applyFill="1" applyBorder="1" applyAlignment="1" applyProtection="1">
      <alignment horizontal="right"/>
    </xf>
    <xf numFmtId="0" fontId="3" fillId="21" borderId="127" xfId="0" applyFont="1" applyFill="1" applyBorder="1" applyAlignment="1" applyProtection="1">
      <alignment horizontal="left"/>
    </xf>
    <xf numFmtId="0" fontId="5" fillId="21" borderId="15" xfId="0" applyFont="1" applyFill="1" applyBorder="1" applyAlignment="1" applyProtection="1">
      <alignment horizontal="right"/>
    </xf>
    <xf numFmtId="0" fontId="5" fillId="21" borderId="2" xfId="0" applyFont="1" applyFill="1" applyBorder="1" applyAlignment="1" applyProtection="1">
      <alignment horizontal="left"/>
    </xf>
    <xf numFmtId="0" fontId="3" fillId="21" borderId="2" xfId="0" applyFont="1" applyFill="1" applyBorder="1" applyAlignment="1" applyProtection="1">
      <alignment horizontal="left"/>
    </xf>
    <xf numFmtId="0" fontId="5" fillId="21" borderId="13" xfId="0" applyFont="1" applyFill="1" applyBorder="1" applyAlignment="1" applyProtection="1">
      <alignment horizontal="left"/>
    </xf>
    <xf numFmtId="49" fontId="3" fillId="21" borderId="23" xfId="0" applyNumberFormat="1" applyFont="1" applyFill="1" applyBorder="1" applyAlignment="1" applyProtection="1">
      <alignment horizontal="center"/>
    </xf>
    <xf numFmtId="0" fontId="3" fillId="21" borderId="9" xfId="0" applyFont="1" applyFill="1" applyBorder="1" applyAlignment="1" applyProtection="1">
      <alignment horizontal="left"/>
    </xf>
    <xf numFmtId="0" fontId="3" fillId="21" borderId="5" xfId="0" applyFont="1" applyFill="1" applyBorder="1" applyAlignment="1" applyProtection="1">
      <alignment horizontal="left"/>
    </xf>
    <xf numFmtId="0" fontId="5" fillId="21" borderId="15" xfId="0" applyFont="1" applyFill="1" applyBorder="1" applyAlignment="1" applyProtection="1">
      <alignment horizontal="left"/>
    </xf>
    <xf numFmtId="0" fontId="5" fillId="21" borderId="118" xfId="0" applyFont="1" applyFill="1" applyBorder="1" applyAlignment="1" applyProtection="1">
      <alignment horizontal="left"/>
    </xf>
    <xf numFmtId="0" fontId="5" fillId="21" borderId="121" xfId="0" applyFont="1" applyFill="1" applyBorder="1" applyAlignment="1" applyProtection="1">
      <alignment horizontal="left"/>
    </xf>
    <xf numFmtId="0" fontId="3" fillId="21" borderId="15" xfId="0" applyFont="1" applyFill="1" applyBorder="1" applyAlignment="1" applyProtection="1">
      <alignment horizontal="left"/>
    </xf>
    <xf numFmtId="0" fontId="3" fillId="21" borderId="57" xfId="0" applyFont="1" applyFill="1" applyBorder="1" applyAlignment="1" applyProtection="1">
      <alignment horizontal="left"/>
    </xf>
    <xf numFmtId="0" fontId="5" fillId="21" borderId="57" xfId="0" applyFont="1" applyFill="1" applyBorder="1" applyAlignment="1" applyProtection="1">
      <alignment horizontal="right"/>
    </xf>
    <xf numFmtId="0" fontId="3" fillId="21" borderId="54" xfId="0" applyFont="1" applyFill="1" applyBorder="1" applyAlignment="1" applyProtection="1">
      <alignment horizontal="left"/>
    </xf>
    <xf numFmtId="0" fontId="5" fillId="21" borderId="127" xfId="0" applyFont="1" applyFill="1" applyBorder="1" applyAlignment="1" applyProtection="1">
      <alignment horizontal="left" vertical="top"/>
    </xf>
    <xf numFmtId="0" fontId="5" fillId="21" borderId="57" xfId="0" applyFont="1" applyFill="1" applyBorder="1" applyAlignment="1" applyProtection="1">
      <alignment horizontal="left" vertical="top"/>
    </xf>
    <xf numFmtId="0" fontId="5" fillId="21" borderId="21" xfId="0" applyFont="1" applyFill="1" applyBorder="1" applyAlignment="1" applyProtection="1">
      <alignment horizontal="right"/>
    </xf>
    <xf numFmtId="0" fontId="5" fillId="21" borderId="53" xfId="0" applyFont="1" applyFill="1" applyBorder="1" applyAlignment="1" applyProtection="1">
      <alignment horizontal="right"/>
    </xf>
    <xf numFmtId="3" fontId="45" fillId="22" borderId="22" xfId="0" applyNumberFormat="1" applyFont="1" applyFill="1" applyBorder="1" applyProtection="1"/>
    <xf numFmtId="3" fontId="45" fillId="22" borderId="19" xfId="0" applyNumberFormat="1" applyFont="1" applyFill="1" applyBorder="1" applyProtection="1"/>
    <xf numFmtId="3" fontId="45" fillId="22" borderId="22" xfId="0" applyNumberFormat="1" applyFont="1" applyFill="1" applyBorder="1" applyAlignment="1" applyProtection="1">
      <alignment horizontal="right"/>
    </xf>
    <xf numFmtId="3" fontId="45" fillId="22" borderId="24" xfId="0" applyNumberFormat="1" applyFont="1" applyFill="1" applyBorder="1" applyProtection="1"/>
    <xf numFmtId="3" fontId="45" fillId="22" borderId="23" xfId="0" applyNumberFormat="1" applyFont="1" applyFill="1" applyBorder="1" applyProtection="1"/>
    <xf numFmtId="3" fontId="45" fillId="22" borderId="41" xfId="0" applyNumberFormat="1" applyFont="1" applyFill="1" applyBorder="1" applyProtection="1"/>
    <xf numFmtId="3" fontId="45" fillId="22" borderId="53" xfId="0" applyNumberFormat="1" applyFont="1" applyFill="1" applyBorder="1" applyProtection="1"/>
    <xf numFmtId="3" fontId="45" fillId="22" borderId="52" xfId="0" applyNumberFormat="1" applyFont="1" applyFill="1" applyBorder="1" applyProtection="1"/>
    <xf numFmtId="3" fontId="45" fillId="23" borderId="22" xfId="0" applyNumberFormat="1" applyFont="1" applyFill="1" applyBorder="1" applyProtection="1"/>
    <xf numFmtId="3" fontId="45" fillId="23" borderId="52" xfId="0" applyNumberFormat="1" applyFont="1" applyFill="1" applyBorder="1" applyProtection="1"/>
    <xf numFmtId="3" fontId="45" fillId="22" borderId="80" xfId="0" applyNumberFormat="1" applyFont="1" applyFill="1" applyBorder="1" applyProtection="1"/>
    <xf numFmtId="0" fontId="5" fillId="21" borderId="137" xfId="0" applyFont="1" applyFill="1" applyBorder="1" applyAlignment="1" applyProtection="1">
      <alignment horizontal="center" vertical="center" wrapText="1"/>
    </xf>
    <xf numFmtId="3" fontId="45" fillId="22" borderId="138" xfId="0" applyNumberFormat="1" applyFont="1" applyFill="1" applyBorder="1" applyProtection="1"/>
    <xf numFmtId="3" fontId="45" fillId="23" borderId="139" xfId="0" applyNumberFormat="1" applyFont="1" applyFill="1" applyBorder="1" applyProtection="1"/>
    <xf numFmtId="3" fontId="45" fillId="23" borderId="140" xfId="0" applyNumberFormat="1" applyFont="1" applyFill="1" applyBorder="1" applyProtection="1"/>
    <xf numFmtId="3" fontId="45" fillId="23" borderId="122" xfId="0" applyNumberFormat="1" applyFont="1" applyFill="1" applyBorder="1" applyProtection="1"/>
    <xf numFmtId="3" fontId="45" fillId="22" borderId="141" xfId="0" applyNumberFormat="1" applyFont="1" applyFill="1" applyBorder="1" applyProtection="1"/>
    <xf numFmtId="0" fontId="5" fillId="21" borderId="36" xfId="0" applyFont="1" applyFill="1" applyBorder="1" applyProtection="1"/>
    <xf numFmtId="167" fontId="4" fillId="21" borderId="121" xfId="0" applyNumberFormat="1" applyFont="1" applyFill="1" applyBorder="1" applyProtection="1"/>
    <xf numFmtId="0" fontId="5" fillId="21" borderId="142" xfId="0" applyFont="1" applyFill="1" applyBorder="1" applyProtection="1"/>
    <xf numFmtId="167" fontId="6" fillId="21" borderId="143" xfId="0" applyNumberFormat="1" applyFont="1" applyFill="1" applyBorder="1" applyProtection="1"/>
    <xf numFmtId="0" fontId="5" fillId="21" borderId="21" xfId="0" applyFont="1" applyFill="1" applyBorder="1" applyAlignment="1" applyProtection="1">
      <alignment horizontal="left" vertical="top"/>
    </xf>
    <xf numFmtId="0" fontId="5" fillId="21" borderId="53" xfId="0" applyFont="1" applyFill="1" applyBorder="1" applyAlignment="1" applyProtection="1">
      <alignment horizontal="left" vertical="top"/>
    </xf>
    <xf numFmtId="3" fontId="45" fillId="22" borderId="19" xfId="0" applyNumberFormat="1" applyFont="1" applyFill="1" applyBorder="1" applyAlignment="1" applyProtection="1">
      <alignment horizontal="right"/>
    </xf>
    <xf numFmtId="0" fontId="3" fillId="21" borderId="131" xfId="0" applyFont="1" applyFill="1" applyBorder="1" applyProtection="1"/>
    <xf numFmtId="167" fontId="6" fillId="21" borderId="53" xfId="0" applyNumberFormat="1" applyFont="1" applyFill="1" applyBorder="1" applyProtection="1"/>
    <xf numFmtId="0" fontId="3" fillId="21" borderId="50" xfId="0" applyFont="1" applyFill="1" applyBorder="1" applyProtection="1"/>
    <xf numFmtId="167" fontId="6" fillId="21" borderId="52" xfId="0" applyNumberFormat="1" applyFont="1" applyFill="1" applyBorder="1" applyProtection="1"/>
    <xf numFmtId="3" fontId="45" fillId="23" borderId="69" xfId="0" applyNumberFormat="1" applyFont="1" applyFill="1" applyBorder="1" applyProtection="1"/>
    <xf numFmtId="3" fontId="45" fillId="23" borderId="60" xfId="0" applyNumberFormat="1" applyFont="1" applyFill="1" applyBorder="1" applyProtection="1"/>
    <xf numFmtId="0" fontId="3" fillId="21" borderId="144" xfId="0" applyFont="1" applyFill="1" applyBorder="1" applyProtection="1"/>
    <xf numFmtId="3" fontId="45" fillId="22" borderId="24" xfId="0" applyNumberFormat="1" applyFont="1" applyFill="1" applyBorder="1" applyAlignment="1" applyProtection="1">
      <alignment horizontal="right"/>
    </xf>
    <xf numFmtId="3" fontId="45" fillId="23" borderId="85" xfId="0" applyNumberFormat="1" applyFont="1" applyFill="1" applyBorder="1" applyProtection="1"/>
    <xf numFmtId="49" fontId="3" fillId="21" borderId="36" xfId="0" applyNumberFormat="1" applyFont="1" applyFill="1" applyBorder="1" applyAlignment="1" applyProtection="1">
      <alignment horizontal="left"/>
    </xf>
    <xf numFmtId="0" fontId="5" fillId="21" borderId="118" xfId="0" applyFont="1" applyFill="1" applyBorder="1" applyAlignment="1" applyProtection="1"/>
    <xf numFmtId="49" fontId="3" fillId="21" borderId="58" xfId="0" applyNumberFormat="1" applyFont="1" applyFill="1" applyBorder="1" applyAlignment="1" applyProtection="1">
      <alignment horizontal="left"/>
    </xf>
    <xf numFmtId="0" fontId="27" fillId="21" borderId="15" xfId="0" applyFont="1" applyFill="1" applyBorder="1" applyProtection="1"/>
    <xf numFmtId="49" fontId="3" fillId="21" borderId="142" xfId="0" applyNumberFormat="1" applyFont="1" applyFill="1" applyBorder="1" applyAlignment="1" applyProtection="1">
      <alignment horizontal="left"/>
    </xf>
    <xf numFmtId="0" fontId="27" fillId="21" borderId="42" xfId="0" applyFont="1" applyFill="1" applyBorder="1" applyProtection="1"/>
    <xf numFmtId="49" fontId="3" fillId="21" borderId="127" xfId="0" applyNumberFormat="1" applyFont="1" applyFill="1" applyBorder="1" applyProtection="1"/>
    <xf numFmtId="166" fontId="3" fillId="21" borderId="15" xfId="0" applyNumberFormat="1" applyFont="1" applyFill="1" applyBorder="1" applyProtection="1"/>
    <xf numFmtId="0" fontId="26" fillId="21" borderId="145" xfId="0" applyFont="1" applyFill="1" applyBorder="1" applyProtection="1"/>
    <xf numFmtId="0" fontId="26" fillId="21" borderId="15" xfId="0" applyFont="1" applyFill="1" applyBorder="1" applyProtection="1"/>
    <xf numFmtId="0" fontId="5" fillId="21" borderId="2" xfId="0" applyNumberFormat="1" applyFont="1" applyFill="1" applyBorder="1" applyAlignment="1" applyProtection="1">
      <alignment horizontal="center"/>
    </xf>
    <xf numFmtId="0" fontId="16" fillId="21" borderId="2" xfId="0" applyFont="1" applyFill="1" applyBorder="1" applyProtection="1"/>
    <xf numFmtId="49" fontId="3" fillId="21" borderId="2" xfId="0" applyNumberFormat="1" applyFont="1" applyFill="1" applyBorder="1" applyAlignment="1" applyProtection="1">
      <alignment horizontal="center"/>
    </xf>
    <xf numFmtId="0" fontId="3" fillId="21" borderId="5" xfId="0" applyFont="1" applyFill="1" applyBorder="1" applyAlignment="1" applyProtection="1">
      <alignment horizontal="center"/>
    </xf>
    <xf numFmtId="49" fontId="8" fillId="21" borderId="2" xfId="0" applyNumberFormat="1" applyFont="1" applyFill="1" applyBorder="1" applyAlignment="1" applyProtection="1">
      <alignment horizontal="center"/>
    </xf>
    <xf numFmtId="0" fontId="26" fillId="21" borderId="118" xfId="0" applyFont="1" applyFill="1" applyBorder="1" applyProtection="1"/>
    <xf numFmtId="49" fontId="5" fillId="21" borderId="13" xfId="0" applyNumberFormat="1" applyFont="1" applyFill="1" applyBorder="1" applyAlignment="1" applyProtection="1">
      <alignment horizontal="center"/>
    </xf>
    <xf numFmtId="49" fontId="5" fillId="21" borderId="84" xfId="0" applyNumberFormat="1" applyFont="1" applyFill="1" applyBorder="1" applyAlignment="1" applyProtection="1">
      <alignment horizontal="center"/>
    </xf>
    <xf numFmtId="0" fontId="16" fillId="21" borderId="84" xfId="0" applyFont="1" applyFill="1" applyBorder="1" applyProtection="1"/>
    <xf numFmtId="3" fontId="5" fillId="21" borderId="95" xfId="0" applyNumberFormat="1" applyFont="1" applyFill="1" applyBorder="1" applyProtection="1"/>
    <xf numFmtId="3" fontId="5" fillId="21" borderId="88" xfId="0" applyNumberFormat="1" applyFont="1" applyFill="1" applyBorder="1" applyProtection="1"/>
    <xf numFmtId="167" fontId="28" fillId="21" borderId="56" xfId="0" applyNumberFormat="1" applyFont="1" applyFill="1" applyBorder="1" applyAlignment="1" applyProtection="1">
      <alignment horizontal="center"/>
    </xf>
    <xf numFmtId="167" fontId="28" fillId="21" borderId="60" xfId="0" applyNumberFormat="1" applyFont="1" applyFill="1" applyBorder="1" applyAlignment="1" applyProtection="1">
      <alignment horizontal="center"/>
    </xf>
    <xf numFmtId="167" fontId="29" fillId="21" borderId="147" xfId="0" applyNumberFormat="1" applyFont="1" applyFill="1" applyBorder="1" applyProtection="1"/>
    <xf numFmtId="167" fontId="29" fillId="21" borderId="90" xfId="0" applyNumberFormat="1" applyFont="1" applyFill="1" applyBorder="1" applyProtection="1"/>
    <xf numFmtId="167" fontId="6" fillId="21" borderId="148" xfId="0" applyNumberFormat="1" applyFont="1" applyFill="1" applyBorder="1" applyProtection="1"/>
    <xf numFmtId="167" fontId="6" fillId="21" borderId="149" xfId="0" applyNumberFormat="1" applyFont="1" applyFill="1" applyBorder="1" applyProtection="1"/>
    <xf numFmtId="167" fontId="6" fillId="21" borderId="54" xfId="0" applyNumberFormat="1" applyFont="1" applyFill="1" applyBorder="1" applyProtection="1"/>
    <xf numFmtId="167" fontId="6" fillId="21" borderId="18" xfId="0" applyNumberFormat="1" applyFont="1" applyFill="1" applyBorder="1" applyProtection="1"/>
    <xf numFmtId="0" fontId="7" fillId="21" borderId="19" xfId="0" applyFont="1" applyFill="1" applyBorder="1" applyProtection="1"/>
    <xf numFmtId="0" fontId="5" fillId="21" borderId="58" xfId="0" applyFont="1" applyFill="1" applyBorder="1" applyAlignment="1" applyProtection="1">
      <alignment horizontal="center"/>
    </xf>
    <xf numFmtId="0" fontId="5" fillId="21" borderId="57" xfId="0" applyFont="1" applyFill="1" applyBorder="1" applyAlignment="1" applyProtection="1"/>
    <xf numFmtId="0" fontId="5" fillId="21" borderId="142" xfId="0" applyFont="1" applyFill="1" applyBorder="1" applyAlignment="1" applyProtection="1">
      <alignment horizontal="right"/>
    </xf>
    <xf numFmtId="0" fontId="5" fillId="21" borderId="143" xfId="0" applyFont="1" applyFill="1" applyBorder="1" applyAlignment="1" applyProtection="1">
      <alignment horizontal="right"/>
    </xf>
    <xf numFmtId="3" fontId="2" fillId="23" borderId="58" xfId="0" applyNumberFormat="1" applyFont="1" applyFill="1" applyBorder="1" applyAlignment="1" applyProtection="1">
      <alignment horizontal="right"/>
    </xf>
    <xf numFmtId="3" fontId="2" fillId="23" borderId="57" xfId="0" applyNumberFormat="1" applyFont="1" applyFill="1" applyBorder="1" applyAlignment="1" applyProtection="1">
      <alignment horizontal="right"/>
    </xf>
    <xf numFmtId="3" fontId="2" fillId="23" borderId="58" xfId="0" applyNumberFormat="1" applyFont="1" applyFill="1" applyBorder="1" applyProtection="1"/>
    <xf numFmtId="3" fontId="2" fillId="23" borderId="57" xfId="0" applyNumberFormat="1" applyFont="1" applyFill="1" applyBorder="1" applyProtection="1"/>
    <xf numFmtId="3" fontId="2" fillId="22" borderId="58" xfId="0" applyNumberFormat="1" applyFont="1" applyFill="1" applyBorder="1" applyProtection="1"/>
    <xf numFmtId="3" fontId="2" fillId="22" borderId="57" xfId="0" applyNumberFormat="1" applyFont="1" applyFill="1" applyBorder="1" applyProtection="1"/>
    <xf numFmtId="3" fontId="45" fillId="23" borderId="58" xfId="0" applyNumberFormat="1" applyFont="1" applyFill="1" applyBorder="1" applyProtection="1"/>
    <xf numFmtId="3" fontId="45" fillId="23" borderId="57" xfId="0" applyNumberFormat="1" applyFont="1" applyFill="1" applyBorder="1" applyProtection="1"/>
    <xf numFmtId="3" fontId="45" fillId="22" borderId="58" xfId="0" applyNumberFormat="1" applyFont="1" applyFill="1" applyBorder="1" applyProtection="1"/>
    <xf numFmtId="3" fontId="45" fillId="22" borderId="57" xfId="0" applyNumberFormat="1" applyFont="1" applyFill="1" applyBorder="1" applyProtection="1"/>
    <xf numFmtId="0" fontId="99" fillId="21" borderId="58" xfId="0" applyFont="1" applyFill="1" applyBorder="1" applyProtection="1"/>
    <xf numFmtId="0" fontId="99" fillId="21" borderId="57" xfId="0" applyFont="1" applyFill="1" applyBorder="1" applyProtection="1"/>
    <xf numFmtId="49" fontId="8" fillId="21" borderId="132"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center"/>
    </xf>
    <xf numFmtId="49" fontId="8" fillId="21" borderId="133" xfId="0" applyNumberFormat="1" applyFont="1" applyFill="1" applyBorder="1" applyAlignment="1" applyProtection="1">
      <alignment horizontal="left"/>
    </xf>
    <xf numFmtId="49" fontId="8" fillId="21" borderId="34" xfId="0" applyNumberFormat="1" applyFont="1" applyFill="1" applyBorder="1" applyAlignment="1" applyProtection="1">
      <alignment horizontal="center"/>
    </xf>
    <xf numFmtId="49" fontId="8" fillId="21" borderId="35" xfId="0" applyNumberFormat="1" applyFont="1" applyFill="1" applyBorder="1" applyAlignment="1" applyProtection="1">
      <alignment horizontal="center"/>
    </xf>
    <xf numFmtId="49" fontId="8" fillId="21" borderId="35" xfId="0" applyNumberFormat="1" applyFont="1" applyFill="1" applyBorder="1" applyAlignment="1" applyProtection="1">
      <alignment horizontal="left"/>
    </xf>
    <xf numFmtId="49" fontId="8" fillId="21" borderId="7" xfId="0" applyNumberFormat="1" applyFont="1" applyFill="1" applyBorder="1" applyAlignment="1" applyProtection="1">
      <alignment horizontal="center"/>
    </xf>
    <xf numFmtId="49" fontId="8" fillId="21" borderId="5" xfId="0" applyNumberFormat="1" applyFont="1" applyFill="1" applyBorder="1" applyAlignment="1" applyProtection="1">
      <alignment horizontal="center"/>
    </xf>
    <xf numFmtId="49" fontId="8" fillId="21" borderId="150" xfId="0" applyNumberFormat="1" applyFont="1" applyFill="1" applyBorder="1" applyAlignment="1" applyProtection="1">
      <alignment horizontal="center"/>
    </xf>
    <xf numFmtId="49" fontId="8" fillId="21" borderId="42" xfId="0" applyNumberFormat="1" applyFont="1" applyFill="1" applyBorder="1" applyAlignment="1" applyProtection="1">
      <alignment horizontal="left"/>
    </xf>
    <xf numFmtId="167" fontId="6" fillId="21" borderId="9" xfId="0" applyNumberFormat="1" applyFont="1" applyFill="1" applyBorder="1" applyProtection="1"/>
    <xf numFmtId="3" fontId="9" fillId="24" borderId="20" xfId="0" applyNumberFormat="1" applyFont="1" applyFill="1" applyBorder="1" applyProtection="1"/>
    <xf numFmtId="0" fontId="5" fillId="21" borderId="124" xfId="0" applyFont="1" applyFill="1" applyBorder="1" applyAlignment="1" applyProtection="1">
      <alignment horizontal="left"/>
    </xf>
    <xf numFmtId="1" fontId="5" fillId="21" borderId="42" xfId="0" applyNumberFormat="1" applyFont="1" applyFill="1" applyBorder="1" applyAlignment="1" applyProtection="1">
      <alignment horizontal="left"/>
    </xf>
    <xf numFmtId="0" fontId="5" fillId="21" borderId="1" xfId="0" applyFont="1" applyFill="1" applyBorder="1" applyProtection="1"/>
    <xf numFmtId="3" fontId="17" fillId="21" borderId="147" xfId="0" applyNumberFormat="1" applyFont="1" applyFill="1" applyBorder="1" applyProtection="1"/>
    <xf numFmtId="3" fontId="17" fillId="21" borderId="90" xfId="0" applyNumberFormat="1" applyFont="1" applyFill="1" applyBorder="1" applyProtection="1"/>
    <xf numFmtId="3" fontId="2" fillId="21" borderId="18" xfId="0" applyNumberFormat="1" applyFont="1" applyFill="1" applyBorder="1" applyProtection="1"/>
    <xf numFmtId="49" fontId="3" fillId="21" borderId="5" xfId="0" applyNumberFormat="1" applyFont="1" applyFill="1" applyBorder="1" applyAlignment="1" applyProtection="1">
      <alignment horizontal="center"/>
    </xf>
    <xf numFmtId="167" fontId="3" fillId="21" borderId="2" xfId="0" applyNumberFormat="1" applyFont="1" applyFill="1" applyBorder="1" applyAlignment="1" applyProtection="1">
      <alignment horizontal="left"/>
    </xf>
    <xf numFmtId="49" fontId="5" fillId="21" borderId="25" xfId="0" applyNumberFormat="1" applyFont="1" applyFill="1" applyBorder="1" applyAlignment="1" applyProtection="1">
      <alignment horizontal="center"/>
    </xf>
    <xf numFmtId="0" fontId="3" fillId="21" borderId="2" xfId="0" applyFont="1" applyFill="1" applyBorder="1" applyAlignment="1" applyProtection="1">
      <alignment horizontal="center"/>
    </xf>
    <xf numFmtId="49" fontId="5" fillId="21" borderId="5" xfId="0" applyNumberFormat="1" applyFont="1" applyFill="1" applyBorder="1" applyAlignment="1" applyProtection="1">
      <alignment horizontal="center"/>
    </xf>
    <xf numFmtId="0" fontId="5" fillId="21" borderId="5" xfId="0" applyFont="1" applyFill="1" applyBorder="1" applyProtection="1"/>
    <xf numFmtId="3" fontId="8" fillId="21" borderId="146" xfId="0" applyNumberFormat="1" applyFont="1" applyFill="1" applyBorder="1" applyAlignment="1" applyProtection="1">
      <alignment horizontal="center"/>
    </xf>
    <xf numFmtId="3" fontId="5" fillId="21" borderId="151" xfId="0" applyNumberFormat="1" applyFont="1" applyFill="1" applyBorder="1" applyAlignment="1" applyProtection="1">
      <alignment horizontal="center"/>
    </xf>
    <xf numFmtId="3" fontId="5" fillId="21" borderId="151" xfId="0" applyNumberFormat="1" applyFont="1" applyFill="1" applyBorder="1" applyProtection="1"/>
    <xf numFmtId="3" fontId="2" fillId="22" borderId="18" xfId="0" applyNumberFormat="1" applyFont="1" applyFill="1" applyBorder="1" applyProtection="1"/>
    <xf numFmtId="3" fontId="2" fillId="22" borderId="60" xfId="0" applyNumberFormat="1" applyFont="1" applyFill="1" applyBorder="1" applyProtection="1"/>
    <xf numFmtId="3" fontId="2" fillId="22" borderId="19" xfId="0" applyNumberFormat="1" applyFont="1" applyFill="1" applyBorder="1" applyProtection="1"/>
    <xf numFmtId="3" fontId="5" fillId="21" borderId="142" xfId="0" applyNumberFormat="1" applyFont="1" applyFill="1" applyBorder="1" applyProtection="1"/>
    <xf numFmtId="3" fontId="5" fillId="21" borderId="143" xfId="0" applyNumberFormat="1" applyFont="1" applyFill="1" applyBorder="1" applyProtection="1"/>
    <xf numFmtId="3" fontId="2" fillId="21" borderId="58" xfId="0" applyNumberFormat="1" applyFont="1" applyFill="1" applyBorder="1" applyProtection="1"/>
    <xf numFmtId="3" fontId="2" fillId="21" borderId="57" xfId="0" applyNumberFormat="1" applyFont="1" applyFill="1" applyBorder="1" applyProtection="1"/>
    <xf numFmtId="3" fontId="45" fillId="22" borderId="50" xfId="0" applyNumberFormat="1" applyFont="1" applyFill="1" applyBorder="1" applyProtection="1"/>
    <xf numFmtId="3" fontId="45" fillId="21" borderId="58" xfId="0" applyNumberFormat="1" applyFont="1" applyFill="1" applyBorder="1" applyProtection="1"/>
    <xf numFmtId="3" fontId="45" fillId="21" borderId="57" xfId="0" applyNumberFormat="1" applyFont="1" applyFill="1" applyBorder="1" applyProtection="1"/>
    <xf numFmtId="3" fontId="45" fillId="21" borderId="60" xfId="0" applyNumberFormat="1" applyFont="1" applyFill="1" applyBorder="1" applyProtection="1"/>
    <xf numFmtId="3" fontId="45" fillId="21" borderId="131" xfId="0" applyNumberFormat="1" applyFont="1" applyFill="1" applyBorder="1" applyProtection="1"/>
    <xf numFmtId="3" fontId="45" fillId="22" borderId="51" xfId="0" applyNumberFormat="1" applyFont="1" applyFill="1" applyBorder="1" applyProtection="1"/>
    <xf numFmtId="3" fontId="45" fillId="22" borderId="26" xfId="0" applyNumberFormat="1" applyFont="1" applyFill="1" applyBorder="1" applyProtection="1"/>
    <xf numFmtId="3" fontId="2" fillId="22" borderId="88" xfId="0" applyNumberFormat="1" applyFont="1" applyFill="1" applyBorder="1" applyProtection="1"/>
    <xf numFmtId="0" fontId="3" fillId="21" borderId="73" xfId="0" applyFont="1" applyFill="1" applyBorder="1" applyProtection="1"/>
    <xf numFmtId="0" fontId="0" fillId="21" borderId="74" xfId="0" applyFill="1" applyBorder="1" applyProtection="1"/>
    <xf numFmtId="0" fontId="0" fillId="21" borderId="64" xfId="0" applyFill="1" applyBorder="1" applyProtection="1"/>
    <xf numFmtId="0" fontId="3" fillId="21" borderId="75" xfId="0" applyFont="1" applyFill="1" applyBorder="1" applyProtection="1"/>
    <xf numFmtId="0" fontId="0" fillId="21" borderId="76" xfId="0" applyFill="1" applyBorder="1" applyProtection="1"/>
    <xf numFmtId="0" fontId="0" fillId="21" borderId="92" xfId="0" applyFill="1" applyBorder="1" applyProtection="1"/>
    <xf numFmtId="0" fontId="3" fillId="21" borderId="75" xfId="0" applyFont="1" applyFill="1" applyBorder="1" applyAlignment="1" applyProtection="1">
      <alignment horizontal="left"/>
    </xf>
    <xf numFmtId="0" fontId="0" fillId="21" borderId="76" xfId="0" applyFill="1" applyBorder="1" applyAlignment="1" applyProtection="1">
      <alignment horizontal="left"/>
    </xf>
    <xf numFmtId="3" fontId="5" fillId="21" borderId="137" xfId="0" applyNumberFormat="1" applyFont="1" applyFill="1" applyBorder="1" applyAlignment="1" applyProtection="1">
      <alignment horizontal="center" vertical="center" wrapText="1"/>
    </xf>
    <xf numFmtId="9" fontId="45" fillId="21" borderId="140" xfId="0" applyNumberFormat="1" applyFont="1" applyFill="1" applyBorder="1" applyProtection="1"/>
    <xf numFmtId="3" fontId="45" fillId="22" borderId="140" xfId="0" applyNumberFormat="1" applyFont="1" applyFill="1" applyBorder="1" applyProtection="1"/>
    <xf numFmtId="9" fontId="45" fillId="21" borderId="138" xfId="0" applyNumberFormat="1" applyFont="1" applyFill="1" applyBorder="1" applyProtection="1"/>
    <xf numFmtId="9" fontId="45" fillId="21" borderId="152" xfId="0" applyNumberFormat="1" applyFont="1" applyFill="1" applyBorder="1" applyProtection="1"/>
    <xf numFmtId="49" fontId="3" fillId="21" borderId="35" xfId="0" applyNumberFormat="1" applyFont="1" applyFill="1" applyBorder="1" applyAlignment="1" applyProtection="1">
      <alignment horizontal="left"/>
    </xf>
    <xf numFmtId="3" fontId="2" fillId="21" borderId="35" xfId="0" applyNumberFormat="1" applyFont="1" applyFill="1" applyBorder="1" applyProtection="1"/>
    <xf numFmtId="49" fontId="3" fillId="21" borderId="2" xfId="0" applyNumberFormat="1" applyFont="1" applyFill="1" applyBorder="1" applyAlignment="1" applyProtection="1">
      <alignment horizontal="left"/>
    </xf>
    <xf numFmtId="3" fontId="2" fillId="21" borderId="5" xfId="0" applyNumberFormat="1" applyFont="1" applyFill="1" applyBorder="1" applyProtection="1"/>
    <xf numFmtId="49" fontId="5" fillId="21" borderId="25" xfId="0" applyNumberFormat="1" applyFont="1" applyFill="1" applyBorder="1" applyAlignment="1" applyProtection="1">
      <alignment horizontal="left"/>
    </xf>
    <xf numFmtId="0" fontId="8" fillId="21" borderId="25" xfId="0" applyFont="1" applyFill="1" applyBorder="1" applyProtection="1"/>
    <xf numFmtId="3" fontId="2" fillId="21" borderId="25" xfId="0" applyNumberFormat="1" applyFont="1" applyFill="1" applyBorder="1" applyProtection="1"/>
    <xf numFmtId="0" fontId="3" fillId="21" borderId="127" xfId="0" applyFont="1" applyFill="1" applyBorder="1" applyAlignment="1" applyProtection="1">
      <alignment horizontal="left" vertical="top"/>
    </xf>
    <xf numFmtId="0" fontId="3" fillId="21" borderId="15" xfId="0" applyFont="1" applyFill="1" applyBorder="1" applyAlignment="1" applyProtection="1">
      <alignment horizontal="right"/>
    </xf>
    <xf numFmtId="0" fontId="5" fillId="21" borderId="153" xfId="0" applyFont="1" applyFill="1" applyBorder="1" applyAlignment="1" applyProtection="1">
      <alignment horizontal="right"/>
    </xf>
    <xf numFmtId="0" fontId="5" fillId="21" borderId="116" xfId="0" applyFont="1" applyFill="1" applyBorder="1" applyAlignment="1" applyProtection="1">
      <alignment horizontal="left"/>
    </xf>
    <xf numFmtId="0" fontId="5" fillId="21" borderId="89" xfId="0" applyFont="1" applyFill="1" applyBorder="1" applyAlignment="1" applyProtection="1">
      <alignment horizontal="right"/>
    </xf>
    <xf numFmtId="0" fontId="3" fillId="21" borderId="13" xfId="0" applyFont="1" applyFill="1" applyBorder="1" applyAlignment="1" applyProtection="1">
      <alignment horizontal="center"/>
    </xf>
    <xf numFmtId="0" fontId="8" fillId="21" borderId="21" xfId="0" applyFont="1" applyFill="1" applyBorder="1" applyAlignment="1" applyProtection="1">
      <alignment horizontal="center"/>
    </xf>
    <xf numFmtId="0" fontId="8" fillId="21" borderId="9" xfId="0" applyFont="1" applyFill="1" applyBorder="1" applyAlignment="1" applyProtection="1">
      <alignment horizontal="center"/>
    </xf>
    <xf numFmtId="0" fontId="8" fillId="21" borderId="82" xfId="0" applyFont="1" applyFill="1" applyBorder="1" applyAlignment="1" applyProtection="1">
      <alignment horizontal="left"/>
    </xf>
    <xf numFmtId="0" fontId="8" fillId="21" borderId="22" xfId="0" applyFont="1" applyFill="1" applyBorder="1" applyAlignment="1" applyProtection="1">
      <alignment horizontal="center"/>
    </xf>
    <xf numFmtId="0" fontId="8" fillId="21" borderId="24" xfId="0" applyFont="1" applyFill="1" applyBorder="1" applyAlignment="1" applyProtection="1">
      <alignment horizontal="center"/>
    </xf>
    <xf numFmtId="0" fontId="16" fillId="21" borderId="66" xfId="0" applyFont="1" applyFill="1" applyBorder="1" applyAlignment="1" applyProtection="1">
      <alignment horizontal="left"/>
    </xf>
    <xf numFmtId="0" fontId="3" fillId="21" borderId="82" xfId="0" applyFont="1" applyFill="1" applyBorder="1" applyAlignment="1" applyProtection="1">
      <alignment horizontal="left"/>
    </xf>
    <xf numFmtId="0" fontId="5" fillId="21" borderId="154" xfId="0" applyFont="1" applyFill="1" applyBorder="1" applyAlignment="1" applyProtection="1">
      <alignment horizontal="left"/>
    </xf>
    <xf numFmtId="0" fontId="5" fillId="21" borderId="121" xfId="0" applyFont="1" applyFill="1" applyBorder="1" applyAlignment="1" applyProtection="1">
      <alignment horizontal="center"/>
    </xf>
    <xf numFmtId="0" fontId="5" fillId="21" borderId="57" xfId="0" applyFont="1" applyFill="1" applyBorder="1" applyAlignment="1" applyProtection="1">
      <alignment horizontal="center"/>
    </xf>
    <xf numFmtId="0" fontId="3" fillId="21" borderId="2" xfId="0" applyFont="1" applyFill="1" applyBorder="1" applyAlignment="1" applyProtection="1">
      <alignment horizontal="right"/>
    </xf>
    <xf numFmtId="0" fontId="3" fillId="21" borderId="146" xfId="0" applyFont="1" applyFill="1" applyBorder="1" applyAlignment="1" applyProtection="1">
      <alignment horizontal="center"/>
    </xf>
    <xf numFmtId="0" fontId="5" fillId="21" borderId="118" xfId="0" applyFont="1" applyFill="1" applyBorder="1" applyProtection="1"/>
    <xf numFmtId="0" fontId="3" fillId="21" borderId="127" xfId="0" applyFont="1" applyFill="1" applyBorder="1" applyAlignment="1" applyProtection="1">
      <alignment vertical="top"/>
    </xf>
    <xf numFmtId="1" fontId="3" fillId="21" borderId="15" xfId="0" applyNumberFormat="1" applyFont="1" applyFill="1" applyBorder="1" applyAlignment="1" applyProtection="1">
      <alignment horizontal="left"/>
    </xf>
    <xf numFmtId="0" fontId="5" fillId="21" borderId="15" xfId="0" applyFont="1" applyFill="1" applyBorder="1" applyProtection="1"/>
    <xf numFmtId="0" fontId="8" fillId="21" borderId="1" xfId="0" applyFont="1" applyFill="1" applyBorder="1" applyProtection="1"/>
    <xf numFmtId="0" fontId="3" fillId="21" borderId="127" xfId="0" applyFont="1" applyFill="1" applyBorder="1" applyAlignment="1" applyProtection="1">
      <alignment horizontal="center"/>
    </xf>
    <xf numFmtId="0" fontId="3" fillId="21" borderId="9" xfId="0" applyFont="1" applyFill="1" applyBorder="1" applyProtection="1"/>
    <xf numFmtId="0" fontId="3" fillId="21" borderId="157" xfId="0" applyFont="1" applyFill="1" applyBorder="1" applyAlignment="1" applyProtection="1">
      <alignment horizontal="left" vertical="top"/>
    </xf>
    <xf numFmtId="0" fontId="5" fillId="21" borderId="158" xfId="0" applyFont="1" applyFill="1" applyBorder="1" applyAlignment="1" applyProtection="1">
      <alignment horizontal="center"/>
    </xf>
    <xf numFmtId="49" fontId="8" fillId="21" borderId="14" xfId="0" applyNumberFormat="1" applyFont="1" applyFill="1" applyBorder="1" applyAlignment="1" applyProtection="1">
      <alignment horizontal="center"/>
    </xf>
    <xf numFmtId="49" fontId="8" fillId="21" borderId="9" xfId="0" applyNumberFormat="1" applyFont="1" applyFill="1" applyBorder="1" applyAlignment="1" applyProtection="1">
      <alignment horizontal="center"/>
    </xf>
    <xf numFmtId="1" fontId="8" fillId="21" borderId="133" xfId="0" applyNumberFormat="1" applyFont="1" applyFill="1" applyBorder="1" applyAlignment="1" applyProtection="1">
      <alignment horizontal="center"/>
    </xf>
    <xf numFmtId="1" fontId="8" fillId="21" borderId="133" xfId="0" applyNumberFormat="1" applyFont="1" applyFill="1" applyBorder="1" applyAlignment="1" applyProtection="1">
      <alignment horizontal="left"/>
    </xf>
    <xf numFmtId="1" fontId="8" fillId="21" borderId="42" xfId="0" applyNumberFormat="1" applyFont="1" applyFill="1" applyBorder="1" applyAlignment="1" applyProtection="1">
      <alignment horizontal="center"/>
    </xf>
    <xf numFmtId="49" fontId="8" fillId="21" borderId="160" xfId="0" applyNumberFormat="1" applyFont="1" applyFill="1" applyBorder="1" applyAlignment="1" applyProtection="1">
      <alignment horizontal="center"/>
    </xf>
    <xf numFmtId="0" fontId="16" fillId="21" borderId="118" xfId="0" applyFont="1" applyFill="1" applyBorder="1" applyAlignment="1" applyProtection="1">
      <alignment horizontal="left"/>
    </xf>
    <xf numFmtId="0" fontId="16" fillId="21" borderId="15" xfId="0" applyFont="1" applyFill="1" applyBorder="1" applyAlignment="1" applyProtection="1">
      <alignment horizontal="left"/>
    </xf>
    <xf numFmtId="0" fontId="5" fillId="21" borderId="42" xfId="0" applyFont="1" applyFill="1" applyBorder="1" applyAlignment="1" applyProtection="1">
      <alignment horizontal="left"/>
    </xf>
    <xf numFmtId="1" fontId="8" fillId="21" borderId="5" xfId="0" applyNumberFormat="1" applyFont="1" applyFill="1" applyBorder="1" applyAlignment="1" applyProtection="1">
      <alignment horizontal="center"/>
    </xf>
    <xf numFmtId="0" fontId="8" fillId="21" borderId="5" xfId="0" applyFont="1" applyFill="1" applyBorder="1" applyProtection="1"/>
    <xf numFmtId="167" fontId="16" fillId="21" borderId="60" xfId="0" applyNumberFormat="1" applyFont="1" applyFill="1" applyBorder="1" applyAlignment="1" applyProtection="1">
      <alignment horizontal="left"/>
    </xf>
    <xf numFmtId="167" fontId="16" fillId="21" borderId="88" xfId="0" applyNumberFormat="1" applyFont="1" applyFill="1" applyBorder="1" applyAlignment="1" applyProtection="1">
      <alignment horizontal="left"/>
    </xf>
    <xf numFmtId="167" fontId="22" fillId="21" borderId="90" xfId="0" applyNumberFormat="1" applyFont="1" applyFill="1" applyBorder="1" applyAlignment="1" applyProtection="1">
      <alignment horizontal="left"/>
    </xf>
    <xf numFmtId="0" fontId="16" fillId="21" borderId="116" xfId="0" applyFont="1" applyFill="1" applyBorder="1" applyProtection="1"/>
    <xf numFmtId="0" fontId="16" fillId="21" borderId="90" xfId="0" applyFont="1" applyFill="1" applyBorder="1" applyProtection="1"/>
    <xf numFmtId="167" fontId="4" fillId="21" borderId="60" xfId="0" applyNumberFormat="1" applyFont="1" applyFill="1" applyBorder="1" applyAlignment="1" applyProtection="1">
      <alignment horizontal="left"/>
    </xf>
    <xf numFmtId="167" fontId="22" fillId="21" borderId="90" xfId="0" applyNumberFormat="1" applyFont="1" applyFill="1" applyBorder="1" applyProtection="1"/>
    <xf numFmtId="1" fontId="3" fillId="21" borderId="153" xfId="0" applyNumberFormat="1" applyFont="1" applyFill="1" applyBorder="1" applyAlignment="1" applyProtection="1">
      <alignment horizontal="left"/>
    </xf>
    <xf numFmtId="0" fontId="12" fillId="21" borderId="116" xfId="0" applyFont="1" applyFill="1" applyBorder="1" applyAlignment="1" applyProtection="1">
      <alignment horizontal="left"/>
    </xf>
    <xf numFmtId="0" fontId="5" fillId="21" borderId="1" xfId="0" applyFont="1" applyFill="1" applyBorder="1" applyAlignment="1" applyProtection="1">
      <alignment horizontal="left"/>
    </xf>
    <xf numFmtId="167" fontId="5" fillId="21" borderId="90" xfId="0" applyNumberFormat="1" applyFont="1" applyFill="1" applyBorder="1" applyAlignment="1" applyProtection="1">
      <alignment horizontal="left"/>
    </xf>
    <xf numFmtId="1" fontId="16" fillId="21" borderId="25" xfId="0" applyNumberFormat="1" applyFont="1" applyFill="1" applyBorder="1" applyAlignment="1" applyProtection="1">
      <alignment horizontal="center"/>
    </xf>
    <xf numFmtId="1" fontId="3" fillId="21" borderId="84" xfId="0" applyNumberFormat="1" applyFont="1" applyFill="1" applyBorder="1" applyAlignment="1" applyProtection="1">
      <alignment horizontal="center"/>
    </xf>
    <xf numFmtId="0" fontId="3" fillId="21" borderId="98" xfId="0" applyFont="1" applyFill="1" applyBorder="1" applyAlignment="1" applyProtection="1">
      <alignment horizontal="left" vertical="top" wrapText="1"/>
    </xf>
    <xf numFmtId="0" fontId="60" fillId="21" borderId="120" xfId="0" applyFont="1" applyFill="1" applyBorder="1" applyProtection="1"/>
    <xf numFmtId="0" fontId="4" fillId="21" borderId="89" xfId="0" applyFont="1" applyFill="1" applyBorder="1" applyAlignment="1" applyProtection="1"/>
    <xf numFmtId="0" fontId="89" fillId="21" borderId="89" xfId="0" applyFont="1" applyFill="1" applyBorder="1" applyAlignment="1"/>
    <xf numFmtId="1" fontId="3" fillId="21" borderId="98" xfId="0" applyNumberFormat="1" applyFont="1" applyFill="1" applyBorder="1" applyAlignment="1" applyProtection="1">
      <alignment horizontal="left"/>
    </xf>
    <xf numFmtId="0" fontId="3" fillId="21" borderId="118" xfId="0" applyFont="1" applyFill="1" applyBorder="1" applyAlignment="1" applyProtection="1">
      <alignment horizontal="left"/>
    </xf>
    <xf numFmtId="3" fontId="3" fillId="21" borderId="162" xfId="0" applyNumberFormat="1" applyFont="1" applyFill="1" applyBorder="1" applyAlignment="1" applyProtection="1">
      <alignment horizontal="left"/>
    </xf>
    <xf numFmtId="3" fontId="3" fillId="21" borderId="163" xfId="0" applyNumberFormat="1" applyFont="1" applyFill="1" applyBorder="1" applyProtection="1"/>
    <xf numFmtId="1" fontId="3" fillId="21" borderId="127"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xf>
    <xf numFmtId="0" fontId="3" fillId="21" borderId="0" xfId="0" applyFont="1" applyFill="1" applyBorder="1" applyProtection="1"/>
    <xf numFmtId="3" fontId="3" fillId="21" borderId="15" xfId="0" applyNumberFormat="1" applyFont="1" applyFill="1" applyBorder="1" applyProtection="1"/>
    <xf numFmtId="0" fontId="7" fillId="21" borderId="116" xfId="0" applyFont="1" applyFill="1" applyBorder="1" applyProtection="1"/>
    <xf numFmtId="0" fontId="3" fillId="21" borderId="1" xfId="0" applyFont="1" applyFill="1" applyBorder="1" applyProtection="1"/>
    <xf numFmtId="0" fontId="3" fillId="21" borderId="42" xfId="0" applyFont="1" applyFill="1" applyBorder="1" applyProtection="1"/>
    <xf numFmtId="49" fontId="3" fillId="21" borderId="135" xfId="0" applyNumberFormat="1" applyFont="1" applyFill="1" applyBorder="1" applyAlignment="1" applyProtection="1">
      <alignment horizontal="left"/>
    </xf>
    <xf numFmtId="171" fontId="3" fillId="21" borderId="35" xfId="0" applyNumberFormat="1" applyFont="1" applyFill="1" applyBorder="1" applyAlignment="1" applyProtection="1">
      <alignment horizontal="left"/>
    </xf>
    <xf numFmtId="49" fontId="8" fillId="21" borderId="134" xfId="0" applyNumberFormat="1" applyFont="1" applyFill="1" applyBorder="1" applyAlignment="1" applyProtection="1">
      <alignment horizontal="center"/>
    </xf>
    <xf numFmtId="49" fontId="3" fillId="21" borderId="125" xfId="0" applyNumberFormat="1" applyFont="1" applyFill="1" applyBorder="1" applyAlignment="1" applyProtection="1">
      <alignment horizontal="center"/>
    </xf>
    <xf numFmtId="3" fontId="2" fillId="21" borderId="35" xfId="0" applyNumberFormat="1" applyFont="1" applyFill="1" applyBorder="1" applyAlignment="1" applyProtection="1">
      <alignment horizontal="right"/>
    </xf>
    <xf numFmtId="0" fontId="5" fillId="21" borderId="70" xfId="0" applyFont="1" applyFill="1" applyBorder="1" applyProtection="1"/>
    <xf numFmtId="49" fontId="8" fillId="21" borderId="131" xfId="0" applyNumberFormat="1" applyFont="1" applyFill="1" applyBorder="1" applyAlignment="1" applyProtection="1">
      <alignment horizontal="center"/>
    </xf>
    <xf numFmtId="0" fontId="16" fillId="21" borderId="42" xfId="0" applyFont="1" applyFill="1" applyBorder="1" applyAlignment="1" applyProtection="1">
      <alignment horizontal="left"/>
    </xf>
    <xf numFmtId="0" fontId="5" fillId="21" borderId="2" xfId="0" applyFont="1" applyFill="1" applyBorder="1" applyAlignment="1" applyProtection="1">
      <alignment horizontal="left" wrapText="1"/>
    </xf>
    <xf numFmtId="0" fontId="8" fillId="21" borderId="2" xfId="0" applyFont="1" applyFill="1" applyBorder="1" applyAlignment="1" applyProtection="1">
      <alignment horizontal="left"/>
    </xf>
    <xf numFmtId="49" fontId="8" fillId="21" borderId="144" xfId="0" applyNumberFormat="1" applyFont="1" applyFill="1" applyBorder="1" applyAlignment="1" applyProtection="1">
      <alignment horizontal="center"/>
    </xf>
    <xf numFmtId="0" fontId="8" fillId="21" borderId="13" xfId="0" applyFont="1" applyFill="1" applyBorder="1" applyProtection="1"/>
    <xf numFmtId="49" fontId="8" fillId="21" borderId="100" xfId="0" applyNumberFormat="1" applyFont="1" applyFill="1" applyBorder="1" applyAlignment="1" applyProtection="1">
      <alignment horizontal="center"/>
    </xf>
    <xf numFmtId="1" fontId="3" fillId="21" borderId="23" xfId="0" applyNumberFormat="1" applyFont="1" applyFill="1" applyBorder="1" applyAlignment="1" applyProtection="1">
      <alignment horizontal="left" vertical="top" wrapText="1"/>
    </xf>
    <xf numFmtId="0" fontId="3" fillId="21" borderId="164" xfId="0" applyFont="1" applyFill="1" applyBorder="1" applyAlignment="1" applyProtection="1">
      <alignment vertical="top"/>
    </xf>
    <xf numFmtId="0" fontId="8" fillId="21" borderId="165" xfId="0" applyFont="1" applyFill="1" applyBorder="1" applyProtection="1"/>
    <xf numFmtId="0" fontId="11" fillId="21" borderId="127" xfId="0" applyFont="1" applyFill="1" applyBorder="1" applyProtection="1"/>
    <xf numFmtId="0" fontId="8" fillId="21" borderId="44" xfId="0" applyFont="1" applyFill="1" applyBorder="1" applyProtection="1"/>
    <xf numFmtId="0" fontId="0" fillId="21" borderId="127" xfId="0" applyFill="1" applyBorder="1" applyProtection="1"/>
    <xf numFmtId="0" fontId="12" fillId="25" borderId="116" xfId="0" applyFont="1" applyFill="1" applyBorder="1" applyProtection="1"/>
    <xf numFmtId="49" fontId="11" fillId="25" borderId="58" xfId="0" applyNumberFormat="1" applyFont="1" applyFill="1" applyBorder="1" applyProtection="1"/>
    <xf numFmtId="0" fontId="21" fillId="21" borderId="166" xfId="0" applyFont="1" applyFill="1" applyBorder="1" applyProtection="1"/>
    <xf numFmtId="49" fontId="13" fillId="21" borderId="127" xfId="0" applyNumberFormat="1" applyFont="1" applyFill="1" applyBorder="1" applyAlignment="1" applyProtection="1">
      <alignment horizontal="left"/>
    </xf>
    <xf numFmtId="0" fontId="16" fillId="21" borderId="167" xfId="0" applyFont="1" applyFill="1" applyBorder="1" applyAlignment="1" applyProtection="1">
      <alignment wrapText="1"/>
    </xf>
    <xf numFmtId="0" fontId="8" fillId="21" borderId="3" xfId="0" applyFont="1" applyFill="1" applyBorder="1" applyAlignment="1" applyProtection="1"/>
    <xf numFmtId="0" fontId="8" fillId="21" borderId="6" xfId="0" applyFont="1" applyFill="1" applyBorder="1" applyProtection="1"/>
    <xf numFmtId="0" fontId="16" fillId="21" borderId="117" xfId="0" applyFont="1" applyFill="1" applyBorder="1" applyProtection="1"/>
    <xf numFmtId="0" fontId="8" fillId="21" borderId="3" xfId="0" applyFont="1" applyFill="1" applyBorder="1" applyProtection="1"/>
    <xf numFmtId="0" fontId="16" fillId="21" borderId="96" xfId="0" applyFont="1" applyFill="1" applyBorder="1" applyProtection="1"/>
    <xf numFmtId="0" fontId="16" fillId="21" borderId="44" xfId="0" applyFont="1" applyFill="1" applyBorder="1" applyProtection="1"/>
    <xf numFmtId="0" fontId="8" fillId="21" borderId="72" xfId="0" applyFont="1" applyFill="1" applyBorder="1" applyProtection="1"/>
    <xf numFmtId="0" fontId="16" fillId="21" borderId="167" xfId="0" applyFont="1" applyFill="1" applyBorder="1" applyProtection="1"/>
    <xf numFmtId="0" fontId="5" fillId="21" borderId="167" xfId="0" applyFont="1" applyFill="1" applyBorder="1" applyAlignment="1" applyProtection="1">
      <alignment wrapText="1"/>
    </xf>
    <xf numFmtId="0" fontId="3" fillId="21" borderId="6" xfId="0" applyFont="1" applyFill="1" applyBorder="1" applyProtection="1"/>
    <xf numFmtId="0" fontId="16" fillId="21" borderId="94" xfId="0" applyFont="1" applyFill="1" applyBorder="1" applyProtection="1"/>
    <xf numFmtId="49" fontId="3" fillId="21" borderId="3" xfId="0" applyNumberFormat="1" applyFont="1" applyFill="1" applyBorder="1" applyAlignment="1" applyProtection="1">
      <alignment horizontal="left"/>
    </xf>
    <xf numFmtId="49" fontId="3" fillId="21" borderId="92" xfId="0" applyNumberFormat="1" applyFont="1" applyFill="1" applyBorder="1" applyAlignment="1" applyProtection="1">
      <alignment horizontal="left"/>
    </xf>
    <xf numFmtId="0" fontId="3" fillId="21" borderId="3" xfId="0" applyFont="1" applyFill="1" applyBorder="1" applyAlignment="1" applyProtection="1">
      <alignment wrapText="1"/>
    </xf>
    <xf numFmtId="0" fontId="16" fillId="21" borderId="94" xfId="0" applyFont="1" applyFill="1" applyBorder="1" applyAlignment="1" applyProtection="1"/>
    <xf numFmtId="0" fontId="3" fillId="21" borderId="3" xfId="0" applyFont="1" applyFill="1" applyBorder="1" applyProtection="1"/>
    <xf numFmtId="0" fontId="105" fillId="21" borderId="3" xfId="0" applyFont="1" applyFill="1" applyBorder="1" applyProtection="1"/>
    <xf numFmtId="0" fontId="8" fillId="21" borderId="10" xfId="0" applyFont="1" applyFill="1" applyBorder="1" applyProtection="1"/>
    <xf numFmtId="0" fontId="8" fillId="21" borderId="99" xfId="0" applyFont="1" applyFill="1" applyBorder="1" applyProtection="1"/>
    <xf numFmtId="3" fontId="3" fillId="21" borderId="128" xfId="0" applyNumberFormat="1" applyFont="1" applyFill="1" applyBorder="1" applyAlignment="1" applyProtection="1">
      <alignment horizontal="left" vertical="top" wrapText="1"/>
    </xf>
    <xf numFmtId="3" fontId="3" fillId="21" borderId="15" xfId="0" applyNumberFormat="1" applyFont="1" applyFill="1" applyBorder="1" applyAlignment="1" applyProtection="1">
      <alignment horizontal="left" vertical="top"/>
    </xf>
    <xf numFmtId="3" fontId="3" fillId="21" borderId="68" xfId="0" applyNumberFormat="1" applyFont="1" applyFill="1" applyBorder="1" applyAlignment="1" applyProtection="1">
      <alignment horizontal="left" vertical="top" wrapText="1"/>
    </xf>
    <xf numFmtId="3" fontId="3" fillId="21" borderId="16" xfId="0" applyNumberFormat="1" applyFont="1" applyFill="1" applyBorder="1" applyAlignment="1" applyProtection="1">
      <alignment horizontal="left" vertical="top" wrapText="1"/>
    </xf>
    <xf numFmtId="3" fontId="3" fillId="21" borderId="153" xfId="0" applyNumberFormat="1" applyFont="1" applyFill="1" applyBorder="1" applyProtection="1"/>
    <xf numFmtId="0" fontId="3" fillId="21" borderId="153" xfId="0" applyFont="1" applyFill="1" applyBorder="1" applyAlignment="1" applyProtection="1">
      <alignment horizontal="left" vertical="top" wrapText="1"/>
    </xf>
    <xf numFmtId="0" fontId="3" fillId="21" borderId="153" xfId="0" applyFont="1" applyFill="1" applyBorder="1" applyProtection="1"/>
    <xf numFmtId="3" fontId="8" fillId="21" borderId="16" xfId="0" applyNumberFormat="1" applyFont="1" applyFill="1" applyBorder="1" applyProtection="1"/>
    <xf numFmtId="0" fontId="8" fillId="21" borderId="150" xfId="0" applyFont="1" applyFill="1" applyBorder="1" applyProtection="1"/>
    <xf numFmtId="49" fontId="11" fillId="21" borderId="168" xfId="0" applyNumberFormat="1" applyFont="1" applyFill="1" applyBorder="1" applyProtection="1"/>
    <xf numFmtId="49" fontId="11" fillId="21" borderId="166" xfId="0" applyNumberFormat="1" applyFont="1" applyFill="1" applyBorder="1" applyProtection="1"/>
    <xf numFmtId="49" fontId="11" fillId="21" borderId="136" xfId="0" applyNumberFormat="1" applyFont="1" applyFill="1" applyBorder="1" applyProtection="1"/>
    <xf numFmtId="49" fontId="11" fillId="21" borderId="113" xfId="0" applyNumberFormat="1" applyFont="1" applyFill="1" applyBorder="1" applyProtection="1"/>
    <xf numFmtId="49" fontId="11" fillId="21" borderId="126" xfId="0" applyNumberFormat="1" applyFont="1" applyFill="1" applyBorder="1" applyProtection="1"/>
    <xf numFmtId="49" fontId="11" fillId="21" borderId="169" xfId="0" applyNumberFormat="1" applyFont="1" applyFill="1" applyBorder="1" applyProtection="1"/>
    <xf numFmtId="49" fontId="11" fillId="21" borderId="4" xfId="0" applyNumberFormat="1" applyFont="1" applyFill="1" applyBorder="1" applyProtection="1"/>
    <xf numFmtId="49" fontId="11" fillId="21" borderId="3" xfId="0" applyNumberFormat="1" applyFont="1" applyFill="1" applyBorder="1" applyProtection="1"/>
    <xf numFmtId="49" fontId="11" fillId="21" borderId="2" xfId="0" applyNumberFormat="1" applyFont="1" applyFill="1" applyBorder="1" applyProtection="1"/>
    <xf numFmtId="49" fontId="11" fillId="21" borderId="82" xfId="0" applyNumberFormat="1" applyFont="1" applyFill="1" applyBorder="1" applyProtection="1"/>
    <xf numFmtId="49" fontId="11" fillId="21" borderId="65" xfId="0" applyNumberFormat="1" applyFont="1" applyFill="1" applyBorder="1" applyProtection="1"/>
    <xf numFmtId="49" fontId="11" fillId="21" borderId="53" xfId="0" applyNumberFormat="1" applyFont="1" applyFill="1" applyBorder="1" applyProtection="1"/>
    <xf numFmtId="3" fontId="13" fillId="21" borderId="14" xfId="0" applyNumberFormat="1" applyFont="1" applyFill="1" applyBorder="1" applyAlignment="1" applyProtection="1">
      <alignment horizontal="right"/>
    </xf>
    <xf numFmtId="3" fontId="13" fillId="21" borderId="10" xfId="0" applyNumberFormat="1" applyFont="1" applyFill="1" applyBorder="1" applyAlignment="1" applyProtection="1">
      <alignment horizontal="right"/>
    </xf>
    <xf numFmtId="3" fontId="13" fillId="21" borderId="9" xfId="0" applyNumberFormat="1" applyFont="1" applyFill="1" applyBorder="1" applyAlignment="1" applyProtection="1">
      <alignment horizontal="right"/>
    </xf>
    <xf numFmtId="3" fontId="13" fillId="21" borderId="20" xfId="0" applyNumberFormat="1" applyFont="1" applyFill="1" applyBorder="1" applyAlignment="1" applyProtection="1">
      <alignment horizontal="right"/>
    </xf>
    <xf numFmtId="3" fontId="13" fillId="21" borderId="101" xfId="0" applyNumberFormat="1" applyFont="1" applyFill="1" applyBorder="1" applyAlignment="1" applyProtection="1">
      <alignment horizontal="right"/>
    </xf>
    <xf numFmtId="3" fontId="13" fillId="21" borderId="117" xfId="0" applyNumberFormat="1" applyFont="1" applyFill="1" applyBorder="1" applyAlignment="1" applyProtection="1">
      <alignment horizontal="right"/>
    </xf>
    <xf numFmtId="3" fontId="13" fillId="21" borderId="124" xfId="0" applyNumberFormat="1" applyFont="1" applyFill="1" applyBorder="1" applyAlignment="1" applyProtection="1">
      <alignment horizontal="right"/>
    </xf>
    <xf numFmtId="3" fontId="13" fillId="21" borderId="95" xfId="0" applyNumberFormat="1" applyFont="1" applyFill="1" applyBorder="1" applyAlignment="1" applyProtection="1">
      <alignment horizontal="right"/>
    </xf>
    <xf numFmtId="3" fontId="13" fillId="21" borderId="118" xfId="0" applyNumberFormat="1" applyFont="1" applyFill="1" applyBorder="1" applyAlignment="1" applyProtection="1">
      <alignment horizontal="right"/>
    </xf>
    <xf numFmtId="3" fontId="13" fillId="21" borderId="96" xfId="0" applyNumberFormat="1" applyFont="1" applyFill="1" applyBorder="1" applyAlignment="1" applyProtection="1">
      <alignment horizontal="right"/>
    </xf>
    <xf numFmtId="3" fontId="13" fillId="21" borderId="88" xfId="0" applyNumberFormat="1" applyFont="1" applyFill="1" applyBorder="1" applyAlignment="1" applyProtection="1">
      <alignment horizontal="right"/>
    </xf>
    <xf numFmtId="3" fontId="13" fillId="21" borderId="4" xfId="0" applyNumberFormat="1" applyFont="1" applyFill="1" applyBorder="1" applyAlignment="1" applyProtection="1">
      <alignment horizontal="right"/>
    </xf>
    <xf numFmtId="3" fontId="13" fillId="21" borderId="3" xfId="0" applyNumberFormat="1" applyFont="1" applyFill="1" applyBorder="1" applyAlignment="1" applyProtection="1">
      <alignment horizontal="right"/>
    </xf>
    <xf numFmtId="3" fontId="13" fillId="21" borderId="55" xfId="0" applyNumberFormat="1" applyFont="1" applyFill="1" applyBorder="1" applyAlignment="1" applyProtection="1">
      <alignment horizontal="right"/>
    </xf>
    <xf numFmtId="3" fontId="13" fillId="21" borderId="54" xfId="0" applyNumberFormat="1" applyFont="1" applyFill="1" applyBorder="1" applyAlignment="1" applyProtection="1">
      <alignment horizontal="right"/>
    </xf>
    <xf numFmtId="3" fontId="13" fillId="21" borderId="2" xfId="0" applyNumberFormat="1" applyFont="1" applyFill="1" applyBorder="1" applyAlignment="1" applyProtection="1">
      <alignment horizontal="right"/>
    </xf>
    <xf numFmtId="3" fontId="13" fillId="21" borderId="65" xfId="0" applyNumberFormat="1" applyFont="1" applyFill="1" applyBorder="1" applyAlignment="1" applyProtection="1">
      <alignment horizontal="right"/>
    </xf>
    <xf numFmtId="3" fontId="13" fillId="21" borderId="18" xfId="0" applyNumberFormat="1" applyFont="1" applyFill="1" applyBorder="1" applyAlignment="1" applyProtection="1">
      <alignment horizontal="right"/>
    </xf>
    <xf numFmtId="3" fontId="13" fillId="21" borderId="7" xfId="0" applyNumberFormat="1" applyFont="1" applyFill="1" applyBorder="1" applyAlignment="1" applyProtection="1">
      <alignment horizontal="right"/>
    </xf>
    <xf numFmtId="3" fontId="13" fillId="21" borderId="6" xfId="0" applyNumberFormat="1" applyFont="1" applyFill="1" applyBorder="1" applyAlignment="1" applyProtection="1">
      <alignment horizontal="right"/>
    </xf>
    <xf numFmtId="3" fontId="13" fillId="21" borderId="5" xfId="0" applyNumberFormat="1" applyFont="1" applyFill="1" applyBorder="1" applyAlignment="1" applyProtection="1">
      <alignment horizontal="right"/>
    </xf>
    <xf numFmtId="3" fontId="13" fillId="21" borderId="19" xfId="0" applyNumberFormat="1" applyFont="1" applyFill="1" applyBorder="1" applyAlignment="1" applyProtection="1">
      <alignment horizontal="right"/>
    </xf>
    <xf numFmtId="3" fontId="5" fillId="21" borderId="119" xfId="0" applyNumberFormat="1" applyFont="1" applyFill="1" applyBorder="1" applyAlignment="1" applyProtection="1">
      <alignment horizontal="left" vertical="top" wrapText="1"/>
    </xf>
    <xf numFmtId="3" fontId="5" fillId="21" borderId="159" xfId="0" applyNumberFormat="1" applyFont="1" applyFill="1" applyBorder="1" applyAlignment="1" applyProtection="1">
      <alignment vertical="top" wrapText="1"/>
    </xf>
    <xf numFmtId="3" fontId="8" fillId="21" borderId="127" xfId="0" applyNumberFormat="1" applyFont="1" applyFill="1" applyBorder="1" applyProtection="1"/>
    <xf numFmtId="3" fontId="8" fillId="21" borderId="159" xfId="0" applyNumberFormat="1" applyFont="1" applyFill="1" applyBorder="1" applyProtection="1"/>
    <xf numFmtId="0" fontId="8" fillId="21" borderId="127" xfId="0" applyFont="1" applyFill="1" applyBorder="1" applyProtection="1"/>
    <xf numFmtId="0" fontId="8" fillId="21" borderId="116" xfId="0" applyFont="1" applyFill="1" applyBorder="1" applyProtection="1"/>
    <xf numFmtId="0" fontId="11" fillId="21" borderId="171" xfId="0" applyFont="1" applyFill="1" applyBorder="1" applyProtection="1"/>
    <xf numFmtId="49" fontId="11" fillId="21" borderId="135" xfId="0" applyNumberFormat="1" applyFont="1" applyFill="1" applyBorder="1" applyProtection="1"/>
    <xf numFmtId="49" fontId="11" fillId="21" borderId="172" xfId="0" applyNumberFormat="1" applyFont="1" applyFill="1" applyBorder="1" applyProtection="1"/>
    <xf numFmtId="49" fontId="11" fillId="21" borderId="21" xfId="0" applyNumberFormat="1" applyFont="1" applyFill="1" applyBorder="1" applyProtection="1"/>
    <xf numFmtId="49" fontId="11" fillId="21" borderId="108" xfId="0" applyNumberFormat="1" applyFont="1" applyFill="1" applyBorder="1" applyProtection="1"/>
    <xf numFmtId="3" fontId="13" fillId="21" borderId="23" xfId="0" applyNumberFormat="1" applyFont="1" applyFill="1" applyBorder="1" applyAlignment="1" applyProtection="1">
      <alignment horizontal="right"/>
    </xf>
    <xf numFmtId="3" fontId="13" fillId="21" borderId="98" xfId="0" applyNumberFormat="1" applyFont="1" applyFill="1" applyBorder="1" applyAlignment="1" applyProtection="1">
      <alignment horizontal="right"/>
    </xf>
    <xf numFmtId="3" fontId="13" fillId="21" borderId="21" xfId="0" applyNumberFormat="1" applyFont="1" applyFill="1" applyBorder="1" applyAlignment="1" applyProtection="1">
      <alignment horizontal="right"/>
    </xf>
    <xf numFmtId="3" fontId="13" fillId="21" borderId="22" xfId="0" applyNumberFormat="1" applyFont="1" applyFill="1" applyBorder="1" applyAlignment="1" applyProtection="1">
      <alignment horizontal="right"/>
    </xf>
    <xf numFmtId="3" fontId="3" fillId="21" borderId="130" xfId="0" applyNumberFormat="1" applyFont="1" applyFill="1" applyBorder="1" applyAlignment="1" applyProtection="1">
      <alignment horizontal="left" vertical="top" wrapText="1"/>
    </xf>
    <xf numFmtId="3" fontId="3" fillId="21" borderId="69" xfId="0" applyNumberFormat="1" applyFont="1" applyFill="1" applyBorder="1" applyAlignment="1" applyProtection="1">
      <alignment horizontal="left" vertical="top" wrapText="1"/>
    </xf>
    <xf numFmtId="3" fontId="5" fillId="21" borderId="119" xfId="0" applyNumberFormat="1" applyFont="1" applyFill="1" applyBorder="1" applyAlignment="1" applyProtection="1">
      <alignment horizontal="left" vertical="top"/>
    </xf>
    <xf numFmtId="3" fontId="5" fillId="21" borderId="159" xfId="0" applyNumberFormat="1" applyFont="1" applyFill="1" applyBorder="1" applyAlignment="1" applyProtection="1">
      <alignment horizontal="left" vertical="top" wrapText="1"/>
    </xf>
    <xf numFmtId="0" fontId="8" fillId="21" borderId="159" xfId="0" applyFont="1" applyFill="1" applyBorder="1" applyProtection="1"/>
    <xf numFmtId="0" fontId="8" fillId="21" borderId="171" xfId="0" applyFont="1" applyFill="1" applyBorder="1" applyProtection="1"/>
    <xf numFmtId="49" fontId="11" fillId="21" borderId="173" xfId="0" applyNumberFormat="1" applyFont="1" applyFill="1" applyBorder="1" applyProtection="1"/>
    <xf numFmtId="49" fontId="11" fillId="21" borderId="174" xfId="0" applyNumberFormat="1" applyFont="1" applyFill="1" applyBorder="1" applyProtection="1"/>
    <xf numFmtId="49" fontId="11" fillId="21" borderId="28" xfId="0" applyNumberFormat="1" applyFont="1" applyFill="1" applyBorder="1" applyProtection="1"/>
    <xf numFmtId="49" fontId="11" fillId="21" borderId="103" xfId="0" applyNumberFormat="1" applyFont="1" applyFill="1" applyBorder="1" applyProtection="1"/>
    <xf numFmtId="3" fontId="13" fillId="21" borderId="30" xfId="0" applyNumberFormat="1" applyFont="1" applyFill="1" applyBorder="1" applyAlignment="1" applyProtection="1">
      <alignment horizontal="right"/>
    </xf>
    <xf numFmtId="3" fontId="13" fillId="21" borderId="31" xfId="0" applyNumberFormat="1" applyFont="1" applyFill="1" applyBorder="1" applyAlignment="1" applyProtection="1">
      <alignment horizontal="right"/>
    </xf>
    <xf numFmtId="3" fontId="13" fillId="21" borderId="47" xfId="0" applyNumberFormat="1" applyFont="1" applyFill="1" applyBorder="1" applyAlignment="1" applyProtection="1">
      <alignment horizontal="right"/>
    </xf>
    <xf numFmtId="3" fontId="13" fillId="21" borderId="119" xfId="0" applyNumberFormat="1" applyFont="1" applyFill="1" applyBorder="1" applyAlignment="1" applyProtection="1">
      <alignment horizontal="right"/>
    </xf>
    <xf numFmtId="3" fontId="13" fillId="21" borderId="28" xfId="0" applyNumberFormat="1" applyFont="1" applyFill="1" applyBorder="1" applyAlignment="1" applyProtection="1">
      <alignment horizontal="right"/>
    </xf>
    <xf numFmtId="3" fontId="13" fillId="21" borderId="103" xfId="0" applyNumberFormat="1" applyFont="1" applyFill="1" applyBorder="1" applyAlignment="1" applyProtection="1">
      <alignment horizontal="right"/>
    </xf>
    <xf numFmtId="3" fontId="13" fillId="21" borderId="29" xfId="0" applyNumberFormat="1" applyFont="1" applyFill="1" applyBorder="1" applyAlignment="1" applyProtection="1">
      <alignment horizontal="right"/>
    </xf>
    <xf numFmtId="3" fontId="13" fillId="21" borderId="32" xfId="0" applyNumberFormat="1" applyFont="1" applyFill="1" applyBorder="1" applyAlignment="1" applyProtection="1">
      <alignment horizontal="right"/>
    </xf>
    <xf numFmtId="0" fontId="8" fillId="21" borderId="153" xfId="0" applyFont="1" applyFill="1" applyBorder="1" applyAlignment="1" applyProtection="1">
      <alignment horizontal="left"/>
    </xf>
    <xf numFmtId="0" fontId="3" fillId="21" borderId="153" xfId="0" applyFont="1" applyFill="1" applyBorder="1" applyAlignment="1" applyProtection="1">
      <alignment horizontal="left"/>
    </xf>
    <xf numFmtId="0" fontId="8" fillId="21" borderId="15" xfId="0" applyFont="1" applyFill="1" applyBorder="1" applyAlignment="1" applyProtection="1">
      <alignment horizontal="left"/>
    </xf>
    <xf numFmtId="0" fontId="8" fillId="21" borderId="153" xfId="0" applyFont="1" applyFill="1" applyBorder="1" applyProtection="1"/>
    <xf numFmtId="0" fontId="8" fillId="21" borderId="153" xfId="0" applyFont="1" applyFill="1" applyBorder="1" applyAlignment="1" applyProtection="1">
      <alignment horizontal="center"/>
    </xf>
    <xf numFmtId="0" fontId="24" fillId="21" borderId="153" xfId="0" applyFont="1" applyFill="1" applyBorder="1" applyProtection="1"/>
    <xf numFmtId="0" fontId="35" fillId="21" borderId="153" xfId="0" applyFont="1" applyFill="1" applyBorder="1" applyProtection="1"/>
    <xf numFmtId="3" fontId="18" fillId="21" borderId="153" xfId="0" applyNumberFormat="1" applyFont="1" applyFill="1" applyBorder="1" applyProtection="1"/>
    <xf numFmtId="3" fontId="44" fillId="21" borderId="153" xfId="0" applyNumberFormat="1" applyFont="1" applyFill="1" applyBorder="1" applyProtection="1"/>
    <xf numFmtId="3" fontId="91" fillId="21" borderId="153" xfId="0" applyNumberFormat="1" applyFont="1" applyFill="1" applyBorder="1" applyProtection="1"/>
    <xf numFmtId="3" fontId="42" fillId="21" borderId="157" xfId="0" applyNumberFormat="1" applyFont="1" applyFill="1" applyBorder="1" applyProtection="1"/>
    <xf numFmtId="3" fontId="42" fillId="21" borderId="28" xfId="0" applyNumberFormat="1" applyFont="1" applyFill="1" applyBorder="1" applyAlignment="1" applyProtection="1">
      <alignment horizontal="right"/>
    </xf>
    <xf numFmtId="3" fontId="2" fillId="21" borderId="29" xfId="0" applyNumberFormat="1" applyFont="1" applyFill="1" applyBorder="1" applyAlignment="1" applyProtection="1">
      <alignment horizontal="right"/>
    </xf>
    <xf numFmtId="3" fontId="45" fillId="21" borderId="66" xfId="0" applyNumberFormat="1" applyFont="1" applyFill="1" applyBorder="1" applyProtection="1"/>
    <xf numFmtId="3" fontId="45" fillId="21" borderId="5" xfId="0" applyNumberFormat="1" applyFont="1" applyFill="1" applyBorder="1" applyProtection="1"/>
    <xf numFmtId="3" fontId="45" fillId="21" borderId="4" xfId="0" applyNumberFormat="1" applyFont="1" applyFill="1" applyBorder="1" applyProtection="1"/>
    <xf numFmtId="3" fontId="45" fillId="21" borderId="82" xfId="0" applyNumberFormat="1" applyFont="1" applyFill="1" applyBorder="1" applyProtection="1"/>
    <xf numFmtId="3" fontId="43" fillId="21" borderId="91" xfId="0" applyNumberFormat="1" applyFont="1" applyFill="1" applyBorder="1" applyProtection="1"/>
    <xf numFmtId="3" fontId="44" fillId="21" borderId="154" xfId="0" applyNumberFormat="1" applyFont="1" applyFill="1" applyBorder="1" applyProtection="1"/>
    <xf numFmtId="3" fontId="91" fillId="21" borderId="154" xfId="0" applyNumberFormat="1" applyFont="1" applyFill="1" applyBorder="1" applyProtection="1"/>
    <xf numFmtId="3" fontId="13" fillId="26" borderId="103" xfId="0" applyNumberFormat="1" applyFont="1" applyFill="1" applyBorder="1" applyAlignment="1" applyProtection="1">
      <alignment horizontal="right"/>
    </xf>
    <xf numFmtId="0" fontId="25" fillId="21" borderId="101" xfId="0" applyFont="1" applyFill="1" applyBorder="1" applyProtection="1"/>
    <xf numFmtId="0" fontId="25" fillId="21" borderId="96" xfId="0" applyFont="1" applyFill="1" applyBorder="1" applyProtection="1"/>
    <xf numFmtId="0" fontId="25" fillId="21" borderId="120" xfId="0" applyFont="1" applyFill="1" applyBorder="1" applyProtection="1"/>
    <xf numFmtId="0" fontId="25" fillId="21" borderId="121" xfId="0" applyFont="1" applyFill="1" applyBorder="1" applyProtection="1"/>
    <xf numFmtId="0" fontId="25" fillId="21" borderId="4" xfId="0" applyFont="1" applyFill="1" applyBorder="1" applyProtection="1"/>
    <xf numFmtId="0" fontId="25" fillId="21" borderId="65" xfId="0" applyFont="1" applyFill="1" applyBorder="1" applyProtection="1"/>
    <xf numFmtId="0" fontId="25" fillId="21" borderId="82" xfId="0" applyFont="1" applyFill="1" applyBorder="1" applyProtection="1"/>
    <xf numFmtId="0" fontId="25" fillId="21" borderId="53" xfId="0" applyFont="1" applyFill="1" applyBorder="1" applyProtection="1"/>
    <xf numFmtId="3" fontId="2" fillId="21" borderId="15" xfId="0" applyNumberFormat="1" applyFont="1" applyFill="1" applyBorder="1" applyProtection="1"/>
    <xf numFmtId="3" fontId="45" fillId="21" borderId="2" xfId="0" applyNumberFormat="1" applyFont="1" applyFill="1" applyBorder="1" applyProtection="1"/>
    <xf numFmtId="3" fontId="36" fillId="21" borderId="0" xfId="0" applyNumberFormat="1" applyFont="1" applyFill="1" applyBorder="1" applyAlignment="1" applyProtection="1"/>
    <xf numFmtId="3" fontId="2" fillId="21" borderId="28" xfId="0" applyNumberFormat="1" applyFont="1" applyFill="1" applyBorder="1" applyAlignment="1" applyProtection="1">
      <alignment horizontal="right"/>
    </xf>
    <xf numFmtId="3" fontId="45" fillId="21" borderId="153" xfId="0" applyNumberFormat="1" applyFont="1" applyFill="1" applyBorder="1" applyProtection="1"/>
    <xf numFmtId="3" fontId="2" fillId="22" borderId="28" xfId="0" applyNumberFormat="1" applyFont="1" applyFill="1" applyBorder="1" applyAlignment="1" applyProtection="1">
      <alignment horizontal="right"/>
    </xf>
    <xf numFmtId="3" fontId="44" fillId="21" borderId="4" xfId="0" applyNumberFormat="1" applyFont="1" applyFill="1" applyBorder="1" applyProtection="1"/>
    <xf numFmtId="3" fontId="44" fillId="21" borderId="82" xfId="0" applyNumberFormat="1" applyFont="1" applyFill="1" applyBorder="1" applyProtection="1"/>
    <xf numFmtId="3" fontId="91" fillId="21" borderId="82" xfId="0" applyNumberFormat="1" applyFont="1" applyFill="1" applyBorder="1" applyProtection="1"/>
    <xf numFmtId="3" fontId="48" fillId="21" borderId="2" xfId="0" applyNumberFormat="1" applyFont="1" applyFill="1" applyBorder="1" applyAlignment="1" applyProtection="1">
      <alignment horizontal="right"/>
    </xf>
    <xf numFmtId="3" fontId="2" fillId="21" borderId="45" xfId="0" applyNumberFormat="1" applyFont="1" applyFill="1" applyBorder="1" applyAlignment="1" applyProtection="1">
      <alignment horizontal="right"/>
    </xf>
    <xf numFmtId="3" fontId="45" fillId="21" borderId="91" xfId="0" applyNumberFormat="1" applyFont="1" applyFill="1" applyBorder="1" applyProtection="1"/>
    <xf numFmtId="3" fontId="45" fillId="21" borderId="154" xfId="0" applyNumberFormat="1" applyFont="1" applyFill="1" applyBorder="1" applyProtection="1"/>
    <xf numFmtId="3" fontId="104" fillId="21" borderId="4" xfId="0" applyNumberFormat="1" applyFont="1" applyFill="1" applyBorder="1" applyProtection="1"/>
    <xf numFmtId="3" fontId="104" fillId="21" borderId="82" xfId="0" applyNumberFormat="1" applyFont="1" applyFill="1" applyBorder="1" applyProtection="1"/>
    <xf numFmtId="3" fontId="49" fillId="21" borderId="4" xfId="0" applyNumberFormat="1" applyFont="1" applyFill="1" applyBorder="1" applyProtection="1"/>
    <xf numFmtId="3" fontId="42" fillId="21" borderId="30" xfId="0" applyNumberFormat="1" applyFont="1" applyFill="1" applyBorder="1" applyAlignment="1" applyProtection="1">
      <alignment horizontal="right"/>
    </xf>
    <xf numFmtId="3" fontId="44" fillId="21" borderId="91" xfId="0" applyNumberFormat="1" applyFont="1" applyFill="1" applyBorder="1" applyProtection="1"/>
    <xf numFmtId="3" fontId="42" fillId="21" borderId="105" xfId="0" applyNumberFormat="1" applyFont="1" applyFill="1" applyBorder="1" applyAlignment="1" applyProtection="1">
      <alignment horizontal="right"/>
    </xf>
    <xf numFmtId="3" fontId="44" fillId="21" borderId="178" xfId="0" applyNumberFormat="1" applyFont="1" applyFill="1" applyBorder="1" applyProtection="1"/>
    <xf numFmtId="3" fontId="44" fillId="21" borderId="39" xfId="0" applyNumberFormat="1" applyFont="1" applyFill="1" applyBorder="1" applyProtection="1"/>
    <xf numFmtId="3" fontId="91" fillId="21" borderId="39" xfId="0" applyNumberFormat="1" applyFont="1" applyFill="1" applyBorder="1" applyProtection="1"/>
    <xf numFmtId="3" fontId="3" fillId="21" borderId="30" xfId="0" applyNumberFormat="1" applyFont="1" applyFill="1" applyBorder="1" applyAlignment="1" applyProtection="1">
      <alignment horizontal="center"/>
    </xf>
    <xf numFmtId="3" fontId="3" fillId="21" borderId="49" xfId="0" applyNumberFormat="1" applyFont="1" applyFill="1" applyBorder="1" applyAlignment="1" applyProtection="1"/>
    <xf numFmtId="3" fontId="8" fillId="21" borderId="48" xfId="0" applyNumberFormat="1" applyFont="1" applyFill="1" applyBorder="1" applyAlignment="1" applyProtection="1">
      <alignment horizontal="left" vertical="top" wrapText="1"/>
    </xf>
    <xf numFmtId="3" fontId="8" fillId="21" borderId="164" xfId="0" applyNumberFormat="1" applyFont="1" applyFill="1" applyBorder="1" applyAlignment="1" applyProtection="1">
      <alignment horizontal="left" vertical="top" wrapText="1"/>
    </xf>
    <xf numFmtId="3" fontId="3" fillId="21" borderId="180" xfId="0" applyNumberFormat="1" applyFont="1" applyFill="1" applyBorder="1" applyAlignment="1" applyProtection="1">
      <alignment horizontal="center"/>
    </xf>
    <xf numFmtId="3" fontId="3" fillId="21" borderId="29" xfId="0" applyNumberFormat="1" applyFont="1" applyFill="1" applyBorder="1" applyAlignment="1" applyProtection="1">
      <alignment horizontal="center"/>
    </xf>
    <xf numFmtId="3" fontId="3" fillId="21" borderId="181" xfId="0" applyNumberFormat="1" applyFont="1" applyFill="1" applyBorder="1" applyAlignment="1" applyProtection="1"/>
    <xf numFmtId="3" fontId="8" fillId="21" borderId="182" xfId="0" applyNumberFormat="1" applyFont="1" applyFill="1" applyBorder="1" applyAlignment="1" applyProtection="1"/>
    <xf numFmtId="3" fontId="8" fillId="21" borderId="183" xfId="0" applyNumberFormat="1" applyFont="1" applyFill="1" applyBorder="1" applyAlignment="1" applyProtection="1"/>
    <xf numFmtId="3" fontId="3" fillId="21" borderId="45" xfId="0" applyNumberFormat="1" applyFont="1" applyFill="1" applyBorder="1" applyAlignment="1" applyProtection="1">
      <alignment horizontal="center"/>
    </xf>
    <xf numFmtId="3" fontId="5" fillId="21" borderId="77" xfId="0" applyNumberFormat="1" applyFont="1" applyFill="1" applyBorder="1" applyAlignment="1" applyProtection="1"/>
    <xf numFmtId="3" fontId="8" fillId="21" borderId="78" xfId="0" applyNumberFormat="1" applyFont="1" applyFill="1" applyBorder="1" applyAlignment="1" applyProtection="1"/>
    <xf numFmtId="3" fontId="8" fillId="21" borderId="177" xfId="0" applyNumberFormat="1" applyFont="1" applyFill="1" applyBorder="1" applyAlignment="1" applyProtection="1"/>
    <xf numFmtId="3" fontId="3" fillId="21" borderId="184" xfId="0" applyNumberFormat="1" applyFont="1" applyFill="1" applyBorder="1" applyAlignment="1" applyProtection="1">
      <alignment vertical="center"/>
    </xf>
    <xf numFmtId="3" fontId="8" fillId="21" borderId="184" xfId="0" applyNumberFormat="1" applyFont="1" applyFill="1" applyBorder="1" applyProtection="1"/>
    <xf numFmtId="3" fontId="3" fillId="21" borderId="109" xfId="0" applyNumberFormat="1" applyFont="1" applyFill="1" applyBorder="1" applyAlignment="1" applyProtection="1">
      <alignment vertical="center"/>
    </xf>
    <xf numFmtId="3" fontId="8" fillId="21" borderId="75" xfId="0" applyNumberFormat="1" applyFont="1" applyFill="1" applyBorder="1" applyProtection="1"/>
    <xf numFmtId="3" fontId="8" fillId="21" borderId="92" xfId="0" applyNumberFormat="1" applyFont="1" applyFill="1" applyBorder="1" applyProtection="1"/>
    <xf numFmtId="3" fontId="3" fillId="21" borderId="185" xfId="0" applyNumberFormat="1" applyFont="1" applyFill="1" applyBorder="1" applyAlignment="1" applyProtection="1"/>
    <xf numFmtId="3" fontId="3" fillId="21" borderId="109" xfId="0" applyNumberFormat="1" applyFont="1" applyFill="1" applyBorder="1" applyProtection="1"/>
    <xf numFmtId="3" fontId="8" fillId="21" borderId="109" xfId="0" applyNumberFormat="1" applyFont="1" applyFill="1" applyBorder="1" applyProtection="1"/>
    <xf numFmtId="3" fontId="8" fillId="21" borderId="78" xfId="0" applyNumberFormat="1" applyFont="1" applyFill="1" applyBorder="1" applyProtection="1"/>
    <xf numFmtId="3" fontId="8" fillId="21" borderId="177" xfId="0" applyNumberFormat="1" applyFont="1" applyFill="1" applyBorder="1" applyProtection="1"/>
    <xf numFmtId="0" fontId="3" fillId="21" borderId="60" xfId="0" applyFont="1" applyFill="1" applyBorder="1" applyAlignment="1" applyProtection="1">
      <alignment horizontal="left"/>
    </xf>
    <xf numFmtId="0" fontId="3" fillId="21" borderId="124" xfId="0" applyFont="1" applyFill="1" applyBorder="1" applyProtection="1"/>
    <xf numFmtId="0" fontId="3" fillId="21" borderId="186" xfId="0" applyFont="1" applyFill="1" applyBorder="1" applyAlignment="1" applyProtection="1">
      <alignment vertical="top" wrapText="1"/>
    </xf>
    <xf numFmtId="0" fontId="3" fillId="21" borderId="113" xfId="0" applyFont="1" applyFill="1" applyBorder="1" applyAlignment="1" applyProtection="1">
      <alignment horizontal="left" vertical="top" wrapText="1"/>
    </xf>
    <xf numFmtId="0" fontId="3" fillId="21" borderId="136" xfId="0" applyFont="1" applyFill="1" applyBorder="1" applyAlignment="1" applyProtection="1">
      <alignment horizontal="left" vertical="top" wrapText="1"/>
    </xf>
    <xf numFmtId="0" fontId="3" fillId="21" borderId="186" xfId="0" applyFont="1" applyFill="1" applyBorder="1" applyAlignment="1" applyProtection="1">
      <alignment horizontal="left" vertical="top" wrapText="1"/>
    </xf>
    <xf numFmtId="0" fontId="3" fillId="21" borderId="60" xfId="0" applyFont="1" applyFill="1" applyBorder="1" applyProtection="1"/>
    <xf numFmtId="0" fontId="7" fillId="21" borderId="90" xfId="0" applyFont="1" applyFill="1" applyBorder="1" applyProtection="1"/>
    <xf numFmtId="0" fontId="3" fillId="21" borderId="44" xfId="0" applyFont="1" applyFill="1" applyBorder="1" applyProtection="1"/>
    <xf numFmtId="0" fontId="3" fillId="21" borderId="168" xfId="0" applyFont="1" applyFill="1" applyBorder="1" applyAlignment="1" applyProtection="1">
      <alignment horizontal="left" vertical="top" wrapText="1"/>
    </xf>
    <xf numFmtId="0" fontId="3" fillId="21" borderId="127" xfId="0" applyFont="1" applyFill="1" applyBorder="1" applyProtection="1"/>
    <xf numFmtId="0" fontId="5" fillId="21" borderId="127" xfId="0" applyFont="1" applyFill="1" applyBorder="1" applyProtection="1"/>
    <xf numFmtId="0" fontId="3" fillId="21" borderId="16" xfId="0" applyFont="1" applyFill="1" applyBorder="1" applyProtection="1"/>
    <xf numFmtId="0" fontId="3" fillId="21" borderId="64" xfId="0" applyFont="1" applyFill="1" applyBorder="1" applyProtection="1"/>
    <xf numFmtId="0" fontId="3" fillId="21" borderId="68" xfId="0" applyFont="1" applyFill="1" applyBorder="1" applyProtection="1"/>
    <xf numFmtId="0" fontId="3" fillId="21" borderId="147" xfId="0" applyFont="1" applyFill="1" applyBorder="1" applyProtection="1"/>
    <xf numFmtId="0" fontId="3" fillId="21" borderId="114" xfId="0" applyFont="1" applyFill="1" applyBorder="1" applyProtection="1"/>
    <xf numFmtId="0" fontId="46" fillId="21" borderId="176" xfId="0" applyFont="1" applyFill="1" applyBorder="1" applyProtection="1"/>
    <xf numFmtId="0" fontId="5" fillId="21" borderId="101" xfId="0" applyFont="1" applyFill="1" applyBorder="1" applyProtection="1"/>
    <xf numFmtId="0" fontId="5" fillId="21" borderId="16" xfId="0" applyFont="1" applyFill="1" applyBorder="1" applyProtection="1"/>
    <xf numFmtId="49" fontId="7" fillId="21" borderId="127" xfId="0" applyNumberFormat="1" applyFont="1" applyFill="1" applyBorder="1" applyAlignment="1" applyProtection="1">
      <alignment horizontal="left"/>
    </xf>
    <xf numFmtId="3" fontId="37" fillId="21" borderId="15" xfId="0" applyNumberFormat="1" applyFont="1" applyFill="1" applyBorder="1" applyAlignment="1" applyProtection="1"/>
    <xf numFmtId="3" fontId="37" fillId="21" borderId="56" xfId="0" applyNumberFormat="1" applyFont="1" applyFill="1" applyBorder="1" applyAlignment="1" applyProtection="1"/>
    <xf numFmtId="49" fontId="5" fillId="21" borderId="153" xfId="0" applyNumberFormat="1" applyFont="1" applyFill="1" applyBorder="1" applyAlignment="1" applyProtection="1"/>
    <xf numFmtId="49" fontId="5" fillId="21" borderId="0" xfId="0" applyNumberFormat="1" applyFont="1" applyFill="1" applyBorder="1" applyAlignment="1" applyProtection="1"/>
    <xf numFmtId="49" fontId="5" fillId="21" borderId="123" xfId="0" applyNumberFormat="1" applyFont="1" applyFill="1" applyBorder="1" applyAlignment="1" applyProtection="1"/>
    <xf numFmtId="49" fontId="5" fillId="21" borderId="27" xfId="0" applyNumberFormat="1" applyFont="1" applyFill="1" applyBorder="1" applyAlignment="1" applyProtection="1"/>
    <xf numFmtId="3" fontId="2" fillId="21" borderId="15" xfId="0" applyNumberFormat="1" applyFont="1" applyFill="1" applyBorder="1" applyAlignment="1" applyProtection="1">
      <alignment horizontal="right"/>
    </xf>
    <xf numFmtId="3" fontId="10" fillId="21" borderId="15" xfId="0" applyNumberFormat="1" applyFont="1" applyFill="1" applyBorder="1" applyProtection="1"/>
    <xf numFmtId="3" fontId="10" fillId="21" borderId="56" xfId="0" applyNumberFormat="1" applyFont="1" applyFill="1" applyBorder="1" applyProtection="1"/>
    <xf numFmtId="3" fontId="10" fillId="21" borderId="0" xfId="0" applyNumberFormat="1" applyFont="1" applyFill="1" applyBorder="1" applyProtection="1"/>
    <xf numFmtId="49" fontId="3" fillId="21" borderId="39" xfId="0" applyNumberFormat="1" applyFont="1" applyFill="1" applyBorder="1" applyAlignment="1" applyProtection="1"/>
    <xf numFmtId="49" fontId="5" fillId="21" borderId="11" xfId="0" applyNumberFormat="1" applyFont="1" applyFill="1" applyBorder="1" applyAlignment="1" applyProtection="1"/>
    <xf numFmtId="3" fontId="37" fillId="21" borderId="60" xfId="0" applyNumberFormat="1" applyFont="1" applyFill="1" applyBorder="1" applyAlignment="1" applyProtection="1"/>
    <xf numFmtId="49" fontId="5" fillId="21" borderId="57" xfId="0" applyNumberFormat="1" applyFont="1" applyFill="1" applyBorder="1" applyAlignment="1" applyProtection="1"/>
    <xf numFmtId="3" fontId="37" fillId="21" borderId="0" xfId="0" applyNumberFormat="1" applyFont="1" applyFill="1" applyBorder="1" applyAlignment="1" applyProtection="1"/>
    <xf numFmtId="3" fontId="2" fillId="21" borderId="68" xfId="0" applyNumberFormat="1" applyFont="1" applyFill="1" applyBorder="1" applyAlignment="1" applyProtection="1">
      <alignment horizontal="right"/>
    </xf>
    <xf numFmtId="3" fontId="37" fillId="21" borderId="57" xfId="0" applyNumberFormat="1" applyFont="1" applyFill="1" applyBorder="1" applyAlignment="1" applyProtection="1"/>
    <xf numFmtId="3" fontId="37" fillId="21" borderId="15" xfId="0" applyNumberFormat="1" applyFont="1" applyFill="1" applyBorder="1" applyProtection="1"/>
    <xf numFmtId="49" fontId="5" fillId="21" borderId="15" xfId="0" applyNumberFormat="1" applyFont="1" applyFill="1" applyBorder="1" applyAlignment="1" applyProtection="1"/>
    <xf numFmtId="3" fontId="2" fillId="27" borderId="17" xfId="0" applyNumberFormat="1" applyFont="1" applyFill="1" applyBorder="1" applyAlignment="1" applyProtection="1">
      <alignment horizontal="right"/>
    </xf>
    <xf numFmtId="49" fontId="3" fillId="21" borderId="134" xfId="0" applyNumberFormat="1" applyFont="1" applyFill="1" applyBorder="1" applyAlignment="1" applyProtection="1">
      <alignment horizontal="left"/>
    </xf>
    <xf numFmtId="0" fontId="5" fillId="21" borderId="64" xfId="0" applyFont="1" applyFill="1" applyBorder="1" applyProtection="1"/>
    <xf numFmtId="49" fontId="3" fillId="21" borderId="22" xfId="0" applyNumberFormat="1" applyFont="1" applyFill="1" applyBorder="1" applyAlignment="1" applyProtection="1">
      <alignment horizontal="left"/>
    </xf>
    <xf numFmtId="49" fontId="3" fillId="21" borderId="92" xfId="0" applyNumberFormat="1" applyFont="1" applyFill="1" applyBorder="1" applyProtection="1"/>
    <xf numFmtId="49" fontId="3" fillId="21" borderId="92" xfId="0" applyNumberFormat="1" applyFont="1" applyFill="1" applyBorder="1" applyAlignment="1" applyProtection="1">
      <alignment wrapText="1"/>
    </xf>
    <xf numFmtId="49" fontId="3" fillId="21" borderId="21" xfId="0" applyNumberFormat="1" applyFont="1" applyFill="1" applyBorder="1" applyAlignment="1" applyProtection="1">
      <alignment horizontal="left"/>
    </xf>
    <xf numFmtId="49" fontId="3" fillId="21" borderId="55" xfId="0" applyNumberFormat="1" applyFont="1" applyFill="1" applyBorder="1" applyAlignment="1" applyProtection="1">
      <alignment wrapText="1"/>
    </xf>
    <xf numFmtId="49" fontId="3" fillId="21" borderId="23" xfId="0" applyNumberFormat="1" applyFont="1" applyFill="1" applyBorder="1" applyAlignment="1" applyProtection="1">
      <alignment horizontal="left"/>
    </xf>
    <xf numFmtId="0" fontId="5" fillId="21" borderId="48" xfId="0" applyFont="1" applyFill="1" applyBorder="1" applyProtection="1"/>
    <xf numFmtId="49" fontId="3" fillId="21" borderId="76" xfId="0" applyNumberFormat="1" applyFont="1" applyFill="1" applyBorder="1" applyProtection="1"/>
    <xf numFmtId="49" fontId="3" fillId="21" borderId="65" xfId="0" applyNumberFormat="1" applyFont="1" applyFill="1" applyBorder="1" applyAlignment="1" applyProtection="1">
      <alignment wrapText="1"/>
    </xf>
    <xf numFmtId="0" fontId="5" fillId="21" borderId="164" xfId="0" applyFont="1" applyFill="1" applyBorder="1" applyProtection="1"/>
    <xf numFmtId="49" fontId="3" fillId="21" borderId="55" xfId="0" applyNumberFormat="1" applyFont="1" applyFill="1" applyBorder="1" applyProtection="1"/>
    <xf numFmtId="49" fontId="3" fillId="21" borderId="6" xfId="0" applyNumberFormat="1" applyFont="1" applyFill="1" applyBorder="1" applyAlignment="1" applyProtection="1">
      <alignment wrapText="1"/>
    </xf>
    <xf numFmtId="49" fontId="3" fillId="21" borderId="3" xfId="0" applyNumberFormat="1" applyFont="1" applyFill="1" applyBorder="1" applyAlignment="1" applyProtection="1">
      <alignment wrapText="1"/>
    </xf>
    <xf numFmtId="49" fontId="3" fillId="21" borderId="176" xfId="0" applyNumberFormat="1" applyFont="1" applyFill="1" applyBorder="1" applyAlignment="1" applyProtection="1">
      <alignment wrapText="1"/>
    </xf>
    <xf numFmtId="0" fontId="5" fillId="21" borderId="187" xfId="0" applyFont="1" applyFill="1" applyBorder="1" applyProtection="1"/>
    <xf numFmtId="49" fontId="3" fillId="21" borderId="12" xfId="0" applyNumberFormat="1" applyFont="1" applyFill="1" applyBorder="1" applyProtection="1"/>
    <xf numFmtId="49" fontId="3" fillId="21" borderId="54" xfId="0" applyNumberFormat="1" applyFont="1" applyFill="1" applyBorder="1" applyProtection="1"/>
    <xf numFmtId="49" fontId="3" fillId="21" borderId="54" xfId="0" applyNumberFormat="1" applyFont="1" applyFill="1" applyBorder="1" applyAlignment="1" applyProtection="1">
      <alignment wrapText="1"/>
    </xf>
    <xf numFmtId="49" fontId="3" fillId="21" borderId="6" xfId="11" applyNumberFormat="1" applyFont="1" applyFill="1" applyBorder="1" applyAlignment="1" applyProtection="1"/>
    <xf numFmtId="49" fontId="3" fillId="21" borderId="130" xfId="0" applyNumberFormat="1" applyFont="1" applyFill="1" applyBorder="1" applyAlignment="1" applyProtection="1">
      <alignment horizontal="left"/>
    </xf>
    <xf numFmtId="49" fontId="3" fillId="21" borderId="170" xfId="11" applyNumberFormat="1" applyFont="1" applyFill="1" applyBorder="1" applyAlignment="1" applyProtection="1"/>
    <xf numFmtId="49" fontId="3" fillId="21" borderId="127" xfId="0" applyNumberFormat="1" applyFont="1" applyFill="1" applyBorder="1" applyAlignment="1" applyProtection="1">
      <alignment horizontal="left"/>
    </xf>
    <xf numFmtId="49" fontId="3" fillId="21" borderId="56" xfId="11" applyNumberFormat="1" applyFont="1" applyFill="1" applyBorder="1" applyAlignment="1" applyProtection="1"/>
    <xf numFmtId="49" fontId="3" fillId="21" borderId="167" xfId="11" applyNumberFormat="1" applyFont="1" applyFill="1" applyBorder="1" applyAlignment="1" applyProtection="1"/>
    <xf numFmtId="49" fontId="3" fillId="21" borderId="176" xfId="11" applyNumberFormat="1" applyFont="1" applyFill="1" applyBorder="1" applyAlignment="1" applyProtection="1"/>
    <xf numFmtId="49" fontId="3" fillId="21" borderId="6" xfId="0" applyNumberFormat="1" applyFont="1" applyFill="1" applyBorder="1" applyProtection="1"/>
    <xf numFmtId="49" fontId="3" fillId="21" borderId="92" xfId="11" applyNumberFormat="1" applyFont="1" applyFill="1" applyBorder="1" applyAlignment="1" applyProtection="1"/>
    <xf numFmtId="49" fontId="3" fillId="21" borderId="24" xfId="0" applyNumberFormat="1" applyFont="1" applyFill="1" applyBorder="1" applyAlignment="1" applyProtection="1">
      <alignment horizontal="left"/>
    </xf>
    <xf numFmtId="49" fontId="3" fillId="21" borderId="72" xfId="11" applyNumberFormat="1" applyFont="1" applyFill="1" applyBorder="1" applyAlignment="1" applyProtection="1"/>
    <xf numFmtId="49" fontId="3" fillId="21" borderId="12" xfId="11" applyNumberFormat="1" applyFont="1" applyFill="1" applyBorder="1" applyAlignment="1" applyProtection="1"/>
    <xf numFmtId="0" fontId="3" fillId="21" borderId="0" xfId="0" applyFont="1" applyFill="1" applyBorder="1" applyAlignment="1" applyProtection="1">
      <alignment horizontal="center"/>
    </xf>
    <xf numFmtId="0" fontId="2" fillId="21" borderId="39" xfId="0" applyFont="1" applyFill="1" applyBorder="1" applyProtection="1"/>
    <xf numFmtId="0" fontId="3" fillId="21" borderId="58" xfId="0" applyFont="1" applyFill="1" applyBorder="1" applyProtection="1"/>
    <xf numFmtId="0" fontId="9" fillId="21" borderId="39" xfId="0" applyFont="1" applyFill="1" applyBorder="1" applyProtection="1"/>
    <xf numFmtId="0" fontId="2" fillId="21" borderId="0" xfId="0" applyFont="1" applyFill="1" applyBorder="1" applyProtection="1"/>
    <xf numFmtId="0" fontId="9" fillId="21" borderId="144" xfId="0" applyFont="1" applyFill="1" applyBorder="1" applyProtection="1"/>
    <xf numFmtId="0" fontId="7" fillId="21" borderId="124" xfId="0" applyFont="1" applyFill="1" applyBorder="1" applyProtection="1"/>
    <xf numFmtId="0" fontId="2" fillId="21" borderId="124" xfId="0" applyFont="1" applyFill="1" applyBorder="1" applyProtection="1"/>
    <xf numFmtId="0" fontId="7" fillId="21" borderId="0" xfId="0" applyFont="1" applyFill="1" applyBorder="1" applyProtection="1"/>
    <xf numFmtId="0" fontId="7" fillId="21" borderId="0" xfId="0" applyFont="1" applyFill="1" applyBorder="1" applyAlignment="1" applyProtection="1">
      <alignment horizontal="left" vertical="top" wrapText="1"/>
    </xf>
    <xf numFmtId="0" fontId="2" fillId="21" borderId="0" xfId="0" applyFont="1" applyFill="1" applyBorder="1" applyAlignment="1" applyProtection="1">
      <alignment horizontal="left" vertical="top" wrapText="1"/>
    </xf>
    <xf numFmtId="49" fontId="3" fillId="21" borderId="36" xfId="5" applyNumberFormat="1" applyFont="1" applyFill="1" applyBorder="1" applyAlignment="1" applyProtection="1">
      <alignment horizontal="left"/>
    </xf>
    <xf numFmtId="0" fontId="3" fillId="21" borderId="118" xfId="5" applyFont="1" applyFill="1" applyBorder="1" applyAlignment="1" applyProtection="1"/>
    <xf numFmtId="0" fontId="3" fillId="21" borderId="120" xfId="5" applyFont="1" applyFill="1" applyBorder="1" applyProtection="1"/>
    <xf numFmtId="0" fontId="3" fillId="21" borderId="124" xfId="5" applyFont="1" applyFill="1" applyBorder="1" applyProtection="1"/>
    <xf numFmtId="0" fontId="3" fillId="21" borderId="95" xfId="5" applyFont="1" applyFill="1" applyBorder="1" applyProtection="1"/>
    <xf numFmtId="49" fontId="3" fillId="21" borderId="58" xfId="5" applyNumberFormat="1" applyFont="1" applyFill="1" applyBorder="1" applyAlignment="1" applyProtection="1">
      <alignment horizontal="left" vertical="top"/>
    </xf>
    <xf numFmtId="0" fontId="3" fillId="21" borderId="15" xfId="5" applyFont="1" applyFill="1" applyBorder="1" applyProtection="1"/>
    <xf numFmtId="0" fontId="24" fillId="21" borderId="160" xfId="5" applyFont="1" applyFill="1" applyBorder="1" applyProtection="1"/>
    <xf numFmtId="0" fontId="24" fillId="21" borderId="68" xfId="5" applyFont="1" applyFill="1" applyBorder="1" applyProtection="1"/>
    <xf numFmtId="3" fontId="3" fillId="21" borderId="165" xfId="5" applyNumberFormat="1" applyFont="1" applyFill="1" applyBorder="1" applyAlignment="1" applyProtection="1">
      <alignment wrapText="1"/>
    </xf>
    <xf numFmtId="3" fontId="3" fillId="21" borderId="158" xfId="5" applyNumberFormat="1" applyFont="1" applyFill="1" applyBorder="1" applyProtection="1"/>
    <xf numFmtId="0" fontId="3" fillId="21" borderId="158" xfId="5" applyFont="1" applyFill="1" applyBorder="1" applyProtection="1"/>
    <xf numFmtId="49" fontId="3" fillId="21" borderId="58" xfId="5" applyNumberFormat="1" applyFont="1" applyFill="1" applyBorder="1" applyAlignment="1" applyProtection="1">
      <alignment horizontal="left"/>
    </xf>
    <xf numFmtId="0" fontId="3" fillId="21" borderId="56" xfId="5" applyFont="1" applyFill="1" applyBorder="1" applyProtection="1"/>
    <xf numFmtId="3" fontId="3" fillId="21" borderId="16" xfId="5" applyNumberFormat="1" applyFont="1" applyFill="1" applyBorder="1" applyProtection="1"/>
    <xf numFmtId="49" fontId="7" fillId="21" borderId="58" xfId="5" applyNumberFormat="1" applyFont="1" applyFill="1" applyBorder="1" applyAlignment="1" applyProtection="1">
      <alignment horizontal="left"/>
    </xf>
    <xf numFmtId="0" fontId="3" fillId="21" borderId="167" xfId="5" applyFont="1" applyFill="1" applyBorder="1" applyProtection="1"/>
    <xf numFmtId="0" fontId="3" fillId="21" borderId="158" xfId="5" applyFont="1" applyFill="1" applyBorder="1" applyAlignment="1" applyProtection="1">
      <alignment horizontal="left"/>
    </xf>
    <xf numFmtId="0" fontId="3" fillId="21" borderId="0" xfId="5" applyFont="1" applyFill="1" applyBorder="1" applyProtection="1"/>
    <xf numFmtId="0" fontId="5" fillId="21" borderId="167" xfId="5" applyFont="1" applyFill="1" applyBorder="1" applyProtection="1"/>
    <xf numFmtId="49" fontId="5" fillId="21" borderId="58" xfId="5" applyNumberFormat="1" applyFont="1" applyFill="1" applyBorder="1" applyAlignment="1" applyProtection="1">
      <alignment horizontal="left"/>
    </xf>
    <xf numFmtId="0" fontId="7" fillId="21" borderId="175" xfId="5" applyFont="1" applyFill="1" applyBorder="1" applyProtection="1"/>
    <xf numFmtId="0" fontId="3" fillId="21" borderId="190" xfId="5" applyFont="1" applyFill="1" applyBorder="1" applyProtection="1"/>
    <xf numFmtId="0" fontId="3" fillId="21" borderId="175" xfId="5" applyFont="1" applyFill="1" applyBorder="1" applyProtection="1"/>
    <xf numFmtId="0" fontId="5" fillId="21" borderId="35" xfId="5" applyFont="1" applyFill="1" applyBorder="1" applyAlignment="1" applyProtection="1">
      <alignment horizontal="left"/>
    </xf>
    <xf numFmtId="0" fontId="5" fillId="21" borderId="35" xfId="5" applyFont="1" applyFill="1" applyBorder="1" applyProtection="1"/>
    <xf numFmtId="0" fontId="3" fillId="21" borderId="2" xfId="5" applyFont="1" applyFill="1" applyBorder="1" applyAlignment="1" applyProtection="1">
      <alignment horizontal="left"/>
    </xf>
    <xf numFmtId="0" fontId="3" fillId="21" borderId="2" xfId="5" applyFont="1" applyFill="1" applyBorder="1" applyProtection="1"/>
    <xf numFmtId="0" fontId="3" fillId="21" borderId="5" xfId="5" applyFont="1" applyFill="1" applyBorder="1" applyProtection="1"/>
    <xf numFmtId="1" fontId="5" fillId="21" borderId="50" xfId="5" applyNumberFormat="1" applyFont="1" applyFill="1" applyBorder="1" applyAlignment="1" applyProtection="1">
      <alignment horizontal="left"/>
    </xf>
    <xf numFmtId="0" fontId="5" fillId="21" borderId="5" xfId="5" applyFont="1" applyFill="1" applyBorder="1" applyProtection="1"/>
    <xf numFmtId="1" fontId="3" fillId="21" borderId="51" xfId="5" applyNumberFormat="1" applyFont="1" applyFill="1" applyBorder="1" applyAlignment="1" applyProtection="1">
      <alignment horizontal="left"/>
    </xf>
    <xf numFmtId="0" fontId="5" fillId="21" borderId="2" xfId="5" applyFont="1" applyFill="1" applyBorder="1" applyAlignment="1" applyProtection="1">
      <alignment horizontal="left"/>
    </xf>
    <xf numFmtId="0" fontId="5" fillId="21" borderId="2" xfId="5" applyFont="1" applyFill="1" applyBorder="1" applyAlignment="1" applyProtection="1">
      <alignment wrapText="1"/>
    </xf>
    <xf numFmtId="0" fontId="5" fillId="21" borderId="5" xfId="5" applyFont="1" applyFill="1" applyBorder="1" applyAlignment="1" applyProtection="1">
      <alignment wrapText="1"/>
    </xf>
    <xf numFmtId="1" fontId="3" fillId="21" borderId="51" xfId="5" applyNumberFormat="1" applyFont="1" applyFill="1" applyBorder="1" applyProtection="1"/>
    <xf numFmtId="1" fontId="5" fillId="21" borderId="191" xfId="5" applyNumberFormat="1" applyFont="1" applyFill="1" applyBorder="1" applyAlignment="1" applyProtection="1">
      <alignment horizontal="left"/>
    </xf>
    <xf numFmtId="0" fontId="5" fillId="21" borderId="9" xfId="5" applyFont="1" applyFill="1" applyBorder="1" applyProtection="1"/>
    <xf numFmtId="1" fontId="3" fillId="21" borderId="50" xfId="5" applyNumberFormat="1" applyFont="1" applyFill="1" applyBorder="1" applyAlignment="1" applyProtection="1">
      <alignment horizontal="left"/>
    </xf>
    <xf numFmtId="49" fontId="3" fillId="21" borderId="5" xfId="5" applyNumberFormat="1" applyFont="1" applyFill="1" applyBorder="1" applyAlignment="1" applyProtection="1">
      <alignment horizontal="left"/>
    </xf>
    <xf numFmtId="0" fontId="3" fillId="21" borderId="6" xfId="5" applyFont="1" applyFill="1" applyBorder="1" applyAlignment="1" applyProtection="1">
      <alignment wrapText="1"/>
    </xf>
    <xf numFmtId="3" fontId="2" fillId="21" borderId="5" xfId="5" applyNumberFormat="1" applyFont="1" applyFill="1" applyBorder="1" applyProtection="1"/>
    <xf numFmtId="3" fontId="45" fillId="21" borderId="5" xfId="5" applyNumberFormat="1" applyFont="1" applyFill="1" applyBorder="1" applyAlignment="1" applyProtection="1">
      <alignment horizontal="right"/>
    </xf>
    <xf numFmtId="3" fontId="45" fillId="21" borderId="2" xfId="5" applyNumberFormat="1" applyFont="1" applyFill="1" applyBorder="1" applyAlignment="1" applyProtection="1">
      <alignment horizontal="right"/>
    </xf>
    <xf numFmtId="3" fontId="45" fillId="21" borderId="15" xfId="5" applyNumberFormat="1" applyFont="1" applyFill="1" applyBorder="1" applyAlignment="1" applyProtection="1">
      <alignment horizontal="right"/>
    </xf>
    <xf numFmtId="3" fontId="42" fillId="21" borderId="11" xfId="5" applyNumberFormat="1" applyFont="1" applyFill="1" applyBorder="1" applyAlignment="1" applyProtection="1">
      <alignment horizontal="right"/>
    </xf>
    <xf numFmtId="3" fontId="42" fillId="21" borderId="170" xfId="5" applyNumberFormat="1" applyFont="1" applyFill="1" applyBorder="1" applyAlignment="1" applyProtection="1">
      <alignment horizontal="right"/>
    </xf>
    <xf numFmtId="3" fontId="42" fillId="21" borderId="0" xfId="5" applyNumberFormat="1" applyFont="1" applyFill="1" applyBorder="1" applyAlignment="1" applyProtection="1">
      <alignment horizontal="right"/>
    </xf>
    <xf numFmtId="3" fontId="42" fillId="21" borderId="86" xfId="5" applyNumberFormat="1" applyFont="1" applyFill="1" applyBorder="1" applyAlignment="1" applyProtection="1">
      <alignment horizontal="right"/>
    </xf>
    <xf numFmtId="3" fontId="42" fillId="21" borderId="39" xfId="5" applyNumberFormat="1" applyFont="1" applyFill="1" applyBorder="1" applyAlignment="1" applyProtection="1">
      <alignment horizontal="right"/>
    </xf>
    <xf numFmtId="3" fontId="2" fillId="21" borderId="9" xfId="5" applyNumberFormat="1" applyFont="1" applyFill="1" applyBorder="1" applyProtection="1"/>
    <xf numFmtId="3" fontId="45" fillId="21" borderId="9" xfId="5" applyNumberFormat="1" applyFont="1" applyFill="1" applyBorder="1" applyProtection="1"/>
    <xf numFmtId="3" fontId="2" fillId="21" borderId="2" xfId="5" applyNumberFormat="1" applyFont="1" applyFill="1" applyBorder="1" applyAlignment="1" applyProtection="1">
      <alignment horizontal="right"/>
    </xf>
    <xf numFmtId="3" fontId="2" fillId="21" borderId="5" xfId="5" applyNumberFormat="1" applyFont="1" applyFill="1" applyBorder="1" applyAlignment="1" applyProtection="1">
      <alignment horizontal="right"/>
    </xf>
    <xf numFmtId="3" fontId="2" fillId="21" borderId="9" xfId="5" applyNumberFormat="1" applyFont="1" applyFill="1" applyBorder="1" applyAlignment="1" applyProtection="1">
      <alignment horizontal="right"/>
    </xf>
    <xf numFmtId="0" fontId="2" fillId="21" borderId="0" xfId="5" applyFont="1" applyFill="1" applyProtection="1"/>
    <xf numFmtId="0" fontId="24" fillId="21" borderId="0" xfId="5" applyFill="1" applyProtection="1"/>
    <xf numFmtId="3" fontId="37" fillId="21" borderId="0" xfId="5" applyNumberFormat="1" applyFont="1" applyFill="1" applyBorder="1" applyProtection="1"/>
    <xf numFmtId="0" fontId="24" fillId="21" borderId="0" xfId="5" applyFont="1" applyFill="1" applyProtection="1"/>
    <xf numFmtId="0" fontId="2" fillId="21" borderId="0" xfId="5" applyFont="1" applyFill="1" applyBorder="1" applyProtection="1"/>
    <xf numFmtId="0" fontId="3" fillId="21" borderId="118" xfId="5" applyFont="1" applyFill="1" applyBorder="1" applyProtection="1"/>
    <xf numFmtId="0" fontId="3" fillId="21" borderId="121" xfId="5" applyFont="1" applyFill="1" applyBorder="1" applyProtection="1"/>
    <xf numFmtId="0" fontId="3" fillId="21" borderId="153" xfId="5" applyFont="1" applyFill="1" applyBorder="1" applyProtection="1"/>
    <xf numFmtId="0" fontId="3" fillId="21" borderId="57" xfId="5" applyFont="1" applyFill="1" applyBorder="1" applyProtection="1"/>
    <xf numFmtId="1" fontId="5" fillId="21" borderId="192" xfId="5" applyNumberFormat="1" applyFont="1" applyFill="1" applyBorder="1" applyAlignment="1" applyProtection="1">
      <alignment horizontal="left"/>
    </xf>
    <xf numFmtId="0" fontId="5" fillId="21" borderId="166" xfId="5" applyFont="1" applyFill="1" applyBorder="1" applyProtection="1"/>
    <xf numFmtId="0" fontId="3" fillId="21" borderId="3" xfId="5" applyFont="1" applyFill="1" applyBorder="1" applyProtection="1"/>
    <xf numFmtId="0" fontId="3" fillId="21" borderId="6" xfId="5" applyFont="1" applyFill="1" applyBorder="1" applyProtection="1"/>
    <xf numFmtId="1" fontId="3" fillId="21" borderId="142" xfId="5" applyNumberFormat="1" applyFont="1" applyFill="1" applyBorder="1" applyAlignment="1" applyProtection="1">
      <alignment horizontal="left"/>
    </xf>
    <xf numFmtId="1" fontId="5" fillId="21" borderId="58" xfId="5" applyNumberFormat="1" applyFont="1" applyFill="1" applyBorder="1" applyAlignment="1" applyProtection="1">
      <alignment horizontal="left"/>
    </xf>
    <xf numFmtId="1" fontId="3" fillId="21" borderId="58" xfId="5" applyNumberFormat="1" applyFont="1" applyFill="1" applyBorder="1" applyAlignment="1" applyProtection="1">
      <alignment horizontal="left"/>
    </xf>
    <xf numFmtId="1" fontId="5" fillId="21" borderId="125" xfId="5" applyNumberFormat="1" applyFont="1" applyFill="1" applyBorder="1" applyAlignment="1" applyProtection="1">
      <alignment horizontal="left"/>
    </xf>
    <xf numFmtId="0" fontId="5" fillId="21" borderId="114" xfId="5" applyFont="1" applyFill="1" applyBorder="1" applyProtection="1"/>
    <xf numFmtId="0" fontId="3" fillId="21" borderId="72" xfId="5" applyFont="1" applyFill="1" applyBorder="1" applyProtection="1"/>
    <xf numFmtId="3" fontId="3" fillId="21" borderId="56" xfId="0" applyNumberFormat="1" applyFont="1" applyFill="1" applyBorder="1" applyProtection="1"/>
    <xf numFmtId="49" fontId="7" fillId="21" borderId="58" xfId="0" applyNumberFormat="1" applyFont="1" applyFill="1" applyBorder="1" applyAlignment="1" applyProtection="1">
      <alignment horizontal="left"/>
    </xf>
    <xf numFmtId="49" fontId="12" fillId="21" borderId="58" xfId="0" applyNumberFormat="1" applyFont="1" applyFill="1" applyBorder="1" applyAlignment="1" applyProtection="1">
      <alignment horizontal="left"/>
    </xf>
    <xf numFmtId="1" fontId="5" fillId="21" borderId="134" xfId="0" applyNumberFormat="1" applyFont="1" applyFill="1" applyBorder="1" applyAlignment="1" applyProtection="1">
      <alignment horizontal="left"/>
    </xf>
    <xf numFmtId="1" fontId="3" fillId="21" borderId="22" xfId="0" applyNumberFormat="1" applyFont="1" applyFill="1" applyBorder="1" applyAlignment="1" applyProtection="1">
      <alignment horizontal="left"/>
    </xf>
    <xf numFmtId="1" fontId="5" fillId="21" borderId="22" xfId="0" applyNumberFormat="1" applyFont="1" applyFill="1" applyBorder="1" applyAlignment="1" applyProtection="1">
      <alignment horizontal="left"/>
    </xf>
    <xf numFmtId="1" fontId="5" fillId="21" borderId="130" xfId="0" applyNumberFormat="1" applyFont="1" applyFill="1" applyBorder="1" applyAlignment="1" applyProtection="1">
      <alignment horizontal="left"/>
    </xf>
    <xf numFmtId="3" fontId="3" fillId="21" borderId="189" xfId="0" applyNumberFormat="1" applyFont="1" applyFill="1" applyBorder="1" applyAlignment="1" applyProtection="1">
      <alignment wrapText="1"/>
    </xf>
    <xf numFmtId="3" fontId="3" fillId="21" borderId="44" xfId="0" applyNumberFormat="1" applyFont="1" applyFill="1" applyBorder="1" applyProtection="1"/>
    <xf numFmtId="3" fontId="3" fillId="21" borderId="0" xfId="0" applyNumberFormat="1" applyFont="1" applyFill="1" applyBorder="1" applyProtection="1"/>
    <xf numFmtId="0" fontId="9" fillId="21" borderId="175" xfId="0" applyFont="1" applyFill="1" applyBorder="1" applyAlignment="1" applyProtection="1">
      <alignment horizontal="left" wrapText="1"/>
    </xf>
    <xf numFmtId="0" fontId="9" fillId="21" borderId="175" xfId="0" applyFont="1" applyFill="1" applyBorder="1" applyAlignment="1" applyProtection="1">
      <alignment horizontal="left"/>
    </xf>
    <xf numFmtId="3" fontId="2" fillId="21" borderId="136" xfId="0" applyNumberFormat="1" applyFont="1" applyFill="1" applyBorder="1" applyAlignment="1" applyProtection="1">
      <alignment horizontal="right"/>
    </xf>
    <xf numFmtId="3" fontId="45" fillId="21" borderId="35" xfId="0" quotePrefix="1" applyNumberFormat="1" applyFont="1" applyFill="1" applyBorder="1" applyAlignment="1" applyProtection="1">
      <alignment horizontal="right"/>
    </xf>
    <xf numFmtId="3" fontId="2" fillId="21" borderId="5" xfId="0" applyNumberFormat="1" applyFont="1" applyFill="1" applyBorder="1" applyAlignment="1" applyProtection="1">
      <alignment horizontal="right"/>
    </xf>
    <xf numFmtId="3" fontId="45" fillId="21" borderId="2" xfId="0" applyNumberFormat="1" applyFont="1" applyFill="1" applyBorder="1" applyAlignment="1" applyProtection="1">
      <alignment horizontal="right"/>
    </xf>
    <xf numFmtId="3" fontId="45" fillId="21" borderId="5" xfId="0" applyNumberFormat="1" applyFont="1" applyFill="1" applyBorder="1" applyAlignment="1" applyProtection="1">
      <alignment horizontal="right"/>
    </xf>
    <xf numFmtId="3" fontId="2" fillId="21" borderId="170" xfId="0" applyNumberFormat="1" applyFont="1" applyFill="1" applyBorder="1" applyAlignment="1" applyProtection="1">
      <alignment horizontal="right"/>
    </xf>
    <xf numFmtId="3" fontId="45" fillId="21" borderId="11" xfId="0" applyNumberFormat="1" applyFont="1" applyFill="1" applyBorder="1" applyAlignment="1" applyProtection="1">
      <alignment horizontal="right"/>
    </xf>
    <xf numFmtId="3" fontId="2" fillId="21" borderId="86" xfId="0" applyNumberFormat="1" applyFont="1" applyFill="1" applyBorder="1" applyAlignment="1" applyProtection="1">
      <alignment horizontal="right"/>
    </xf>
    <xf numFmtId="3" fontId="2" fillId="21" borderId="2" xfId="0" applyNumberFormat="1" applyFont="1" applyFill="1" applyBorder="1" applyAlignment="1" applyProtection="1">
      <alignment horizontal="right"/>
    </xf>
    <xf numFmtId="3" fontId="2" fillId="21" borderId="25" xfId="0" applyNumberFormat="1" applyFont="1" applyFill="1" applyBorder="1" applyAlignment="1" applyProtection="1">
      <alignment horizontal="right"/>
    </xf>
    <xf numFmtId="3" fontId="45" fillId="21" borderId="13" xfId="0" quotePrefix="1" applyNumberFormat="1" applyFont="1" applyFill="1" applyBorder="1" applyAlignment="1" applyProtection="1">
      <alignment horizontal="right"/>
    </xf>
    <xf numFmtId="3" fontId="2" fillId="9" borderId="20" xfId="0" applyNumberFormat="1" applyFont="1" applyFill="1" applyBorder="1" applyProtection="1"/>
    <xf numFmtId="3" fontId="2" fillId="9" borderId="19" xfId="0" applyNumberFormat="1" applyFont="1" applyFill="1" applyBorder="1" applyProtection="1"/>
    <xf numFmtId="173" fontId="36" fillId="0" borderId="0" xfId="0" applyNumberFormat="1" applyFont="1" applyFill="1" applyBorder="1" applyAlignment="1" applyProtection="1">
      <alignment horizontal="left" vertical="justify" wrapText="1"/>
    </xf>
    <xf numFmtId="0" fontId="3" fillId="21" borderId="118" xfId="0" applyFont="1" applyFill="1" applyBorder="1" applyAlignment="1" applyProtection="1">
      <alignment horizontal="right"/>
    </xf>
    <xf numFmtId="9" fontId="3" fillId="21" borderId="13" xfId="0" applyNumberFormat="1" applyFont="1" applyFill="1" applyBorder="1" applyAlignment="1" applyProtection="1">
      <alignment horizontal="right"/>
    </xf>
    <xf numFmtId="0" fontId="8" fillId="21" borderId="98" xfId="0" applyFont="1" applyFill="1" applyBorder="1" applyAlignment="1" applyProtection="1">
      <alignment horizontal="center"/>
    </xf>
    <xf numFmtId="0" fontId="8" fillId="21" borderId="127" xfId="0" applyFont="1" applyFill="1" applyBorder="1" applyAlignment="1" applyProtection="1">
      <alignment horizontal="center"/>
    </xf>
    <xf numFmtId="0" fontId="8" fillId="21" borderId="130" xfId="0" applyFont="1" applyFill="1" applyBorder="1" applyAlignment="1" applyProtection="1">
      <alignment horizontal="center"/>
    </xf>
    <xf numFmtId="0" fontId="3" fillId="21" borderId="98" xfId="0" applyFont="1" applyFill="1" applyBorder="1" applyAlignment="1" applyProtection="1">
      <alignment horizontal="center"/>
    </xf>
    <xf numFmtId="0" fontId="8" fillId="0" borderId="124" xfId="0" applyFont="1" applyFill="1" applyBorder="1" applyAlignment="1" applyProtection="1">
      <alignment horizontal="center"/>
    </xf>
    <xf numFmtId="0" fontId="3" fillId="0" borderId="124" xfId="0" applyFont="1" applyFill="1" applyBorder="1" applyAlignment="1" applyProtection="1">
      <alignment horizontal="right"/>
    </xf>
    <xf numFmtId="0" fontId="36" fillId="0" borderId="0" xfId="0" applyFont="1" applyFill="1" applyAlignment="1" applyProtection="1">
      <alignment horizontal="right"/>
    </xf>
    <xf numFmtId="49" fontId="24" fillId="2" borderId="124" xfId="0" applyNumberFormat="1" applyFont="1" applyFill="1" applyBorder="1" applyProtection="1"/>
    <xf numFmtId="0" fontId="24" fillId="2" borderId="124" xfId="0" applyFont="1" applyFill="1" applyBorder="1" applyProtection="1"/>
    <xf numFmtId="0" fontId="8" fillId="2" borderId="124" xfId="0" applyFont="1" applyFill="1" applyBorder="1" applyProtection="1"/>
    <xf numFmtId="0" fontId="2" fillId="0" borderId="0" xfId="0" applyFont="1" applyFill="1" applyBorder="1" applyAlignment="1" applyProtection="1">
      <alignment vertical="top"/>
    </xf>
    <xf numFmtId="0" fontId="2" fillId="0" borderId="0" xfId="0" applyFont="1" applyFill="1" applyBorder="1" applyAlignment="1" applyProtection="1"/>
    <xf numFmtId="0" fontId="24" fillId="2" borderId="0" xfId="0" applyFont="1" applyFill="1" applyBorder="1" applyAlignment="1" applyProtection="1">
      <alignment vertical="top"/>
    </xf>
    <xf numFmtId="0" fontId="0" fillId="0" borderId="0" xfId="0" applyBorder="1" applyAlignment="1">
      <alignment vertical="top"/>
    </xf>
    <xf numFmtId="0" fontId="2" fillId="0" borderId="67" xfId="0" applyFont="1" applyFill="1" applyBorder="1" applyAlignment="1" applyProtection="1">
      <alignment vertical="top"/>
    </xf>
    <xf numFmtId="0" fontId="2" fillId="0" borderId="1" xfId="0" applyFont="1" applyFill="1" applyBorder="1" applyAlignment="1" applyProtection="1">
      <alignment vertical="top"/>
    </xf>
    <xf numFmtId="0" fontId="2"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7" fillId="0" borderId="58" xfId="0" applyFont="1" applyFill="1" applyBorder="1" applyProtection="1"/>
    <xf numFmtId="0" fontId="37" fillId="0" borderId="0" xfId="0" applyFont="1" applyFill="1" applyProtection="1"/>
    <xf numFmtId="0" fontId="112" fillId="0" borderId="0" xfId="0" applyFont="1" applyFill="1" applyProtection="1"/>
    <xf numFmtId="0" fontId="5" fillId="21" borderId="42" xfId="0" applyFont="1" applyFill="1" applyBorder="1" applyAlignment="1" applyProtection="1">
      <alignment wrapText="1"/>
    </xf>
    <xf numFmtId="3" fontId="2" fillId="28" borderId="18" xfId="0" applyNumberFormat="1" applyFont="1" applyFill="1" applyBorder="1" applyAlignment="1" applyProtection="1">
      <alignment horizontal="right"/>
    </xf>
    <xf numFmtId="3" fontId="2" fillId="21" borderId="118" xfId="0" applyNumberFormat="1" applyFont="1" applyFill="1" applyBorder="1" applyAlignment="1" applyProtection="1">
      <alignment horizontal="right"/>
    </xf>
    <xf numFmtId="3" fontId="2" fillId="21" borderId="13" xfId="0" applyNumberFormat="1" applyFont="1" applyFill="1" applyBorder="1" applyAlignment="1" applyProtection="1">
      <alignment horizontal="right"/>
    </xf>
    <xf numFmtId="3" fontId="10" fillId="28" borderId="7" xfId="0" applyNumberFormat="1" applyFont="1" applyFill="1" applyBorder="1" applyProtection="1"/>
    <xf numFmtId="3" fontId="10" fillId="28" borderId="5" xfId="0" applyNumberFormat="1" applyFont="1" applyFill="1" applyBorder="1" applyProtection="1"/>
    <xf numFmtId="3" fontId="10" fillId="28" borderId="19" xfId="0" applyNumberFormat="1" applyFont="1" applyFill="1" applyBorder="1" applyProtection="1"/>
    <xf numFmtId="0" fontId="36" fillId="21" borderId="0" xfId="0" applyFont="1" applyFill="1" applyBorder="1" applyAlignment="1" applyProtection="1"/>
    <xf numFmtId="0" fontId="36" fillId="21" borderId="39" xfId="0" applyFont="1" applyFill="1" applyBorder="1" applyAlignment="1" applyProtection="1"/>
    <xf numFmtId="49" fontId="2" fillId="10" borderId="139" xfId="0" applyNumberFormat="1" applyFont="1" applyFill="1" applyBorder="1" applyAlignment="1" applyProtection="1"/>
    <xf numFmtId="0" fontId="36" fillId="21" borderId="58" xfId="0" applyFont="1" applyFill="1" applyBorder="1" applyProtection="1"/>
    <xf numFmtId="0" fontId="116" fillId="7" borderId="0" xfId="0" applyFont="1" applyFill="1" applyProtection="1"/>
    <xf numFmtId="1" fontId="3" fillId="21" borderId="193" xfId="0" applyNumberFormat="1" applyFont="1" applyFill="1" applyBorder="1" applyAlignment="1" applyProtection="1">
      <alignment horizontal="center" wrapText="1"/>
    </xf>
    <xf numFmtId="3" fontId="112" fillId="0" borderId="0" xfId="0" quotePrefix="1" applyNumberFormat="1" applyFont="1" applyFill="1" applyBorder="1" applyAlignment="1" applyProtection="1">
      <alignment horizontal="left"/>
    </xf>
    <xf numFmtId="49" fontId="3" fillId="0" borderId="0" xfId="0" applyNumberFormat="1" applyFont="1" applyFill="1" applyBorder="1" applyAlignment="1" applyProtection="1">
      <alignment horizontal="left"/>
    </xf>
    <xf numFmtId="1" fontId="5" fillId="0" borderId="0" xfId="0" applyNumberFormat="1" applyFont="1" applyFill="1" applyBorder="1" applyAlignment="1" applyProtection="1">
      <alignment horizontal="left"/>
    </xf>
    <xf numFmtId="0" fontId="92" fillId="0" borderId="0" xfId="0" applyFont="1" applyFill="1" applyProtection="1"/>
    <xf numFmtId="0" fontId="112" fillId="2" borderId="0" xfId="0" applyFont="1" applyFill="1" applyProtection="1"/>
    <xf numFmtId="0" fontId="5" fillId="21" borderId="70" xfId="0" applyFont="1" applyFill="1" applyBorder="1" applyAlignment="1" applyProtection="1">
      <alignment horizontal="left"/>
    </xf>
    <xf numFmtId="167" fontId="45" fillId="21" borderId="0" xfId="0" applyNumberFormat="1" applyFont="1" applyFill="1" applyBorder="1" applyProtection="1"/>
    <xf numFmtId="3" fontId="45" fillId="22" borderId="0" xfId="0" applyNumberFormat="1" applyFont="1" applyFill="1" applyBorder="1" applyAlignment="1" applyProtection="1">
      <alignment horizontal="right"/>
    </xf>
    <xf numFmtId="3" fontId="45" fillId="23" borderId="0" xfId="0" applyNumberFormat="1" applyFont="1" applyFill="1" applyBorder="1" applyProtection="1"/>
    <xf numFmtId="167" fontId="45" fillId="0" borderId="0" xfId="0" applyNumberFormat="1" applyFont="1" applyFill="1" applyBorder="1" applyProtection="1"/>
    <xf numFmtId="3" fontId="45" fillId="0" borderId="0" xfId="0" applyNumberFormat="1" applyFont="1" applyFill="1" applyBorder="1" applyAlignment="1" applyProtection="1">
      <alignment horizontal="right"/>
    </xf>
    <xf numFmtId="3" fontId="45" fillId="0" borderId="0" xfId="0" applyNumberFormat="1" applyFont="1" applyFill="1" applyBorder="1" applyProtection="1"/>
    <xf numFmtId="3" fontId="45" fillId="22" borderId="122" xfId="0" applyNumberFormat="1" applyFont="1" applyFill="1" applyBorder="1" applyProtection="1"/>
    <xf numFmtId="3" fontId="10" fillId="0" borderId="10" xfId="0" applyNumberFormat="1" applyFont="1" applyFill="1" applyBorder="1" applyAlignment="1" applyProtection="1">
      <alignment horizontal="right"/>
      <protection locked="0"/>
    </xf>
    <xf numFmtId="3" fontId="13" fillId="0" borderId="72" xfId="0" applyNumberFormat="1" applyFont="1" applyFill="1" applyBorder="1" applyAlignment="1" applyProtection="1">
      <alignment horizontal="right"/>
      <protection locked="0"/>
    </xf>
    <xf numFmtId="49" fontId="8" fillId="21" borderId="194" xfId="0" applyNumberFormat="1" applyFont="1" applyFill="1" applyBorder="1" applyAlignment="1" applyProtection="1">
      <alignment horizontal="center"/>
    </xf>
    <xf numFmtId="1" fontId="8" fillId="21" borderId="195" xfId="0" applyNumberFormat="1" applyFont="1" applyFill="1" applyBorder="1" applyAlignment="1" applyProtection="1">
      <alignment horizontal="center"/>
    </xf>
    <xf numFmtId="1" fontId="8" fillId="21" borderId="195" xfId="0" applyNumberFormat="1" applyFont="1" applyFill="1" applyBorder="1" applyAlignment="1" applyProtection="1">
      <alignment horizontal="left"/>
    </xf>
    <xf numFmtId="3" fontId="13" fillId="2" borderId="196" xfId="0" applyNumberFormat="1" applyFont="1" applyFill="1" applyBorder="1" applyAlignment="1" applyProtection="1">
      <alignment horizontal="right"/>
      <protection locked="0"/>
    </xf>
    <xf numFmtId="0" fontId="24" fillId="21" borderId="157" xfId="0" applyFont="1" applyFill="1" applyBorder="1" applyAlignment="1" applyProtection="1">
      <alignment horizontal="left" wrapText="1"/>
    </xf>
    <xf numFmtId="0" fontId="3" fillId="21" borderId="156" xfId="0" applyFont="1" applyFill="1" applyBorder="1" applyAlignment="1" applyProtection="1">
      <alignment vertical="top" wrapText="1"/>
    </xf>
    <xf numFmtId="0" fontId="3" fillId="21" borderId="136" xfId="0" applyFont="1" applyFill="1" applyBorder="1" applyAlignment="1" applyProtection="1">
      <alignment horizontal="left" vertical="top" wrapText="1"/>
    </xf>
    <xf numFmtId="49" fontId="3" fillId="21" borderId="133" xfId="0" applyNumberFormat="1" applyFont="1" applyFill="1" applyBorder="1" applyAlignment="1" applyProtection="1">
      <alignment horizontal="left"/>
    </xf>
    <xf numFmtId="0" fontId="8" fillId="0" borderId="0" xfId="0" applyFont="1" applyFill="1" applyBorder="1" applyAlignment="1" applyProtection="1">
      <alignment horizontal="center"/>
    </xf>
    <xf numFmtId="3" fontId="2" fillId="3" borderId="40" xfId="0" applyNumberFormat="1" applyFont="1" applyFill="1" applyBorder="1" applyProtection="1"/>
    <xf numFmtId="3" fontId="3" fillId="21" borderId="160" xfId="0" applyNumberFormat="1" applyFont="1" applyFill="1" applyBorder="1" applyAlignment="1" applyProtection="1">
      <alignment horizontal="left" vertical="top" wrapText="1"/>
    </xf>
    <xf numFmtId="0" fontId="3" fillId="21" borderId="56" xfId="0" applyFont="1" applyFill="1" applyBorder="1" applyAlignment="1" applyProtection="1">
      <alignment vertical="top" wrapText="1"/>
    </xf>
    <xf numFmtId="0" fontId="3" fillId="21" borderId="62" xfId="0" applyFont="1" applyFill="1" applyBorder="1" applyProtection="1"/>
    <xf numFmtId="3" fontId="3" fillId="21" borderId="157" xfId="0" applyNumberFormat="1" applyFont="1" applyFill="1" applyBorder="1" applyAlignment="1" applyProtection="1">
      <alignment vertical="top" wrapText="1"/>
    </xf>
    <xf numFmtId="3" fontId="3" fillId="21" borderId="16" xfId="0" applyNumberFormat="1" applyFont="1" applyFill="1" applyBorder="1" applyAlignment="1" applyProtection="1">
      <alignment vertical="top" wrapText="1"/>
    </xf>
    <xf numFmtId="0" fontId="3" fillId="21" borderId="98" xfId="0" applyFont="1" applyFill="1" applyBorder="1" applyAlignment="1" applyProtection="1">
      <alignment vertical="top"/>
    </xf>
    <xf numFmtId="0" fontId="3" fillId="21" borderId="124" xfId="0" applyFont="1" applyFill="1" applyBorder="1" applyAlignment="1" applyProtection="1">
      <alignment vertical="top"/>
    </xf>
    <xf numFmtId="0" fontId="3" fillId="21" borderId="102" xfId="0" applyFont="1" applyFill="1" applyBorder="1" applyAlignment="1" applyProtection="1">
      <alignment vertical="top"/>
    </xf>
    <xf numFmtId="0" fontId="3" fillId="21" borderId="96" xfId="0" applyFont="1" applyFill="1" applyBorder="1" applyAlignment="1" applyProtection="1">
      <alignment vertical="top"/>
    </xf>
    <xf numFmtId="0" fontId="5" fillId="21" borderId="163" xfId="0" applyFont="1" applyFill="1" applyBorder="1" applyAlignment="1" applyProtection="1">
      <alignment vertical="top"/>
    </xf>
    <xf numFmtId="0" fontId="3" fillId="21" borderId="163" xfId="0" applyFont="1" applyFill="1" applyBorder="1" applyAlignment="1" applyProtection="1">
      <alignment vertical="top"/>
    </xf>
    <xf numFmtId="0" fontId="3" fillId="21" borderId="197" xfId="0" applyFont="1" applyFill="1" applyBorder="1" applyAlignment="1" applyProtection="1">
      <alignment vertical="top"/>
    </xf>
    <xf numFmtId="0" fontId="7" fillId="0" borderId="0" xfId="0" applyFont="1" applyFill="1" applyBorder="1" applyAlignment="1" applyProtection="1">
      <alignment vertical="top"/>
    </xf>
    <xf numFmtId="0" fontId="5" fillId="21" borderId="189" xfId="0" applyFont="1" applyFill="1" applyBorder="1" applyAlignment="1" applyProtection="1">
      <alignment vertical="center"/>
    </xf>
    <xf numFmtId="0" fontId="5" fillId="21" borderId="198" xfId="0" applyFont="1" applyFill="1" applyBorder="1" applyAlignment="1" applyProtection="1">
      <alignment vertical="center"/>
    </xf>
    <xf numFmtId="1" fontId="8" fillId="21" borderId="130" xfId="0" applyNumberFormat="1" applyFont="1" applyFill="1" applyBorder="1" applyAlignment="1" applyProtection="1">
      <alignment horizontal="left"/>
    </xf>
    <xf numFmtId="1" fontId="8" fillId="21" borderId="94" xfId="0" applyNumberFormat="1" applyFont="1" applyFill="1" applyBorder="1" applyAlignment="1" applyProtection="1">
      <alignment horizontal="left"/>
    </xf>
    <xf numFmtId="3" fontId="8" fillId="21" borderId="7" xfId="0" applyNumberFormat="1" applyFont="1" applyFill="1" applyBorder="1" applyProtection="1"/>
    <xf numFmtId="0" fontId="3" fillId="21" borderId="101" xfId="5" applyFont="1" applyFill="1" applyBorder="1" applyAlignment="1" applyProtection="1">
      <alignment horizontal="left" wrapText="1"/>
    </xf>
    <xf numFmtId="0" fontId="3" fillId="21" borderId="56" xfId="5" applyFont="1" applyFill="1" applyBorder="1" applyAlignment="1" applyProtection="1">
      <alignment horizontal="right"/>
    </xf>
    <xf numFmtId="3" fontId="2" fillId="0" borderId="0" xfId="0" applyNumberFormat="1" applyFont="1" applyFill="1" applyBorder="1" applyProtection="1"/>
    <xf numFmtId="3" fontId="13" fillId="2" borderId="183" xfId="0" applyNumberFormat="1" applyFont="1" applyFill="1" applyBorder="1" applyAlignment="1" applyProtection="1">
      <alignment horizontal="right"/>
      <protection locked="0"/>
    </xf>
    <xf numFmtId="0" fontId="3" fillId="21" borderId="88" xfId="0" applyFont="1" applyFill="1" applyBorder="1" applyAlignment="1" applyProtection="1">
      <alignment vertical="top" wrapText="1"/>
    </xf>
    <xf numFmtId="0" fontId="3" fillId="21" borderId="118" xfId="0" applyFont="1" applyFill="1" applyBorder="1" applyAlignment="1" applyProtection="1">
      <alignment vertical="top" wrapText="1"/>
    </xf>
    <xf numFmtId="3" fontId="3" fillId="21" borderId="44" xfId="5" applyNumberFormat="1" applyFont="1" applyFill="1" applyBorder="1" applyAlignment="1" applyProtection="1">
      <alignment vertical="center"/>
    </xf>
    <xf numFmtId="3" fontId="5" fillId="21" borderId="158" xfId="5" applyNumberFormat="1" applyFont="1" applyFill="1" applyBorder="1" applyAlignment="1" applyProtection="1">
      <alignment vertical="top"/>
    </xf>
    <xf numFmtId="3" fontId="106" fillId="21" borderId="15" xfId="0" applyNumberFormat="1" applyFont="1" applyFill="1" applyBorder="1" applyAlignment="1" applyProtection="1">
      <alignment vertical="center"/>
    </xf>
    <xf numFmtId="0" fontId="5" fillId="21" borderId="124" xfId="0" applyFont="1" applyFill="1" applyBorder="1" applyProtection="1"/>
    <xf numFmtId="49" fontId="5" fillId="21" borderId="98" xfId="0" applyNumberFormat="1" applyFont="1" applyFill="1" applyBorder="1" applyAlignment="1" applyProtection="1">
      <alignment horizontal="left"/>
    </xf>
    <xf numFmtId="49" fontId="5" fillId="21" borderId="127" xfId="0" applyNumberFormat="1" applyFont="1" applyFill="1" applyBorder="1" applyAlignment="1" applyProtection="1">
      <alignment horizontal="left" vertical="top"/>
    </xf>
    <xf numFmtId="49" fontId="2" fillId="10" borderId="157" xfId="0" applyNumberFormat="1" applyFont="1" applyFill="1" applyBorder="1" applyAlignment="1" applyProtection="1"/>
    <xf numFmtId="3" fontId="46" fillId="18" borderId="39" xfId="0" applyNumberFormat="1" applyFont="1" applyFill="1" applyBorder="1" applyAlignment="1" applyProtection="1">
      <alignment horizontal="right"/>
    </xf>
    <xf numFmtId="0" fontId="0" fillId="0" borderId="0" xfId="0" applyFill="1" applyAlignment="1" applyProtection="1">
      <alignment vertical="top"/>
    </xf>
    <xf numFmtId="0" fontId="112" fillId="0" borderId="0" xfId="0" applyFont="1" applyFill="1" applyBorder="1" applyAlignment="1" applyProtection="1">
      <alignment horizontal="right"/>
    </xf>
    <xf numFmtId="0" fontId="95" fillId="0" borderId="0" xfId="0" applyFont="1" applyFill="1" applyProtection="1"/>
    <xf numFmtId="0" fontId="5" fillId="0" borderId="0" xfId="0" applyFont="1" applyFill="1" applyBorder="1" applyAlignment="1" applyProtection="1">
      <alignment horizontal="center"/>
    </xf>
    <xf numFmtId="0" fontId="112" fillId="0" borderId="0" xfId="0" applyFont="1" applyFill="1" applyBorder="1" applyAlignment="1" applyProtection="1">
      <alignment horizontal="left"/>
    </xf>
    <xf numFmtId="9" fontId="112" fillId="0" borderId="0" xfId="0" applyNumberFormat="1" applyFont="1" applyFill="1" applyBorder="1" applyAlignment="1" applyProtection="1">
      <alignment horizontal="right"/>
    </xf>
    <xf numFmtId="0" fontId="3" fillId="0" borderId="0" xfId="0" applyFont="1" applyFill="1" applyBorder="1" applyAlignment="1" applyProtection="1">
      <alignment horizontal="center"/>
    </xf>
    <xf numFmtId="1"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99" fillId="0" borderId="0" xfId="0" applyFont="1" applyFill="1" applyBorder="1" applyProtection="1"/>
    <xf numFmtId="0" fontId="7" fillId="0" borderId="0" xfId="0" applyFont="1" applyFill="1" applyBorder="1" applyAlignment="1" applyProtection="1"/>
    <xf numFmtId="3" fontId="5" fillId="0" borderId="0" xfId="0" applyNumberFormat="1" applyFont="1" applyFill="1" applyBorder="1" applyProtection="1"/>
    <xf numFmtId="3" fontId="5" fillId="0" borderId="0" xfId="0" applyNumberFormat="1" applyFont="1" applyFill="1" applyBorder="1" applyAlignment="1" applyProtection="1">
      <alignment horizontal="center" vertical="center" wrapText="1"/>
    </xf>
    <xf numFmtId="49" fontId="3" fillId="21" borderId="9" xfId="0" applyNumberFormat="1" applyFont="1" applyFill="1" applyBorder="1" applyAlignment="1" applyProtection="1">
      <alignment horizontal="left"/>
    </xf>
    <xf numFmtId="1"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xf>
    <xf numFmtId="3" fontId="3" fillId="21" borderId="75" xfId="0" applyNumberFormat="1" applyFont="1" applyFill="1" applyBorder="1" applyAlignment="1" applyProtection="1"/>
    <xf numFmtId="3" fontId="8" fillId="21" borderId="76" xfId="0" applyNumberFormat="1" applyFont="1" applyFill="1" applyBorder="1" applyAlignment="1" applyProtection="1"/>
    <xf numFmtId="3" fontId="8" fillId="21" borderId="92" xfId="0" applyNumberFormat="1" applyFont="1" applyFill="1" applyBorder="1" applyAlignment="1" applyProtection="1"/>
    <xf numFmtId="3" fontId="2" fillId="0" borderId="199" xfId="0" applyNumberFormat="1" applyFont="1" applyFill="1" applyBorder="1" applyAlignment="1" applyProtection="1">
      <alignment horizontal="right"/>
      <protection locked="0"/>
    </xf>
    <xf numFmtId="49" fontId="3" fillId="0" borderId="0" xfId="9" applyNumberFormat="1" applyFont="1" applyFill="1" applyAlignment="1" applyProtection="1">
      <alignment horizontal="left"/>
    </xf>
    <xf numFmtId="1" fontId="3" fillId="21" borderId="25" xfId="0" applyNumberFormat="1" applyFont="1" applyFill="1" applyBorder="1" applyAlignment="1" applyProtection="1">
      <alignment horizontal="left"/>
    </xf>
    <xf numFmtId="0" fontId="3" fillId="21" borderId="70" xfId="0" applyFont="1" applyFill="1" applyBorder="1" applyProtection="1"/>
    <xf numFmtId="0" fontId="5" fillId="21" borderId="13" xfId="0" applyFont="1" applyFill="1" applyBorder="1" applyAlignment="1" applyProtection="1">
      <alignment vertical="top" wrapText="1"/>
    </xf>
    <xf numFmtId="0" fontId="16" fillId="21" borderId="25" xfId="0" applyFont="1" applyFill="1" applyBorder="1" applyProtection="1"/>
    <xf numFmtId="0" fontId="5" fillId="21" borderId="84" xfId="0" applyFont="1" applyFill="1" applyBorder="1" applyAlignment="1" applyProtection="1">
      <alignment wrapText="1"/>
    </xf>
    <xf numFmtId="1" fontId="3" fillId="21" borderId="13" xfId="0" applyNumberFormat="1" applyFont="1" applyFill="1" applyBorder="1" applyAlignment="1" applyProtection="1">
      <alignment horizontal="center"/>
    </xf>
    <xf numFmtId="0" fontId="3" fillId="21" borderId="13" xfId="0" applyFont="1" applyFill="1" applyBorder="1" applyProtection="1"/>
    <xf numFmtId="1" fontId="8"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vertical="center" wrapText="1"/>
    </xf>
    <xf numFmtId="0" fontId="3" fillId="0" borderId="58" xfId="0" applyFont="1" applyFill="1" applyBorder="1" applyAlignment="1" applyProtection="1">
      <alignment horizontal="center"/>
    </xf>
    <xf numFmtId="0" fontId="3" fillId="0" borderId="58" xfId="0" applyFont="1" applyFill="1" applyBorder="1" applyAlignment="1" applyProtection="1">
      <alignment horizontal="left"/>
    </xf>
    <xf numFmtId="0" fontId="16" fillId="0" borderId="58" xfId="0" applyFont="1" applyFill="1" applyBorder="1" applyProtection="1"/>
    <xf numFmtId="0" fontId="117" fillId="2" borderId="0" xfId="0" applyFont="1" applyFill="1" applyBorder="1" applyProtection="1"/>
    <xf numFmtId="0" fontId="117" fillId="29" borderId="0" xfId="0" applyFont="1" applyFill="1" applyProtection="1"/>
    <xf numFmtId="0" fontId="5" fillId="21" borderId="189" xfId="5" applyFont="1" applyFill="1" applyBorder="1" applyProtection="1"/>
    <xf numFmtId="3" fontId="5" fillId="21" borderId="156" xfId="5" applyNumberFormat="1" applyFont="1" applyFill="1" applyBorder="1" applyProtection="1"/>
    <xf numFmtId="0" fontId="5" fillId="21" borderId="117" xfId="5" applyFont="1" applyFill="1" applyBorder="1" applyProtection="1"/>
    <xf numFmtId="0" fontId="12" fillId="21" borderId="158" xfId="5" applyFont="1" applyFill="1" applyBorder="1" applyProtection="1"/>
    <xf numFmtId="0" fontId="3" fillId="21" borderId="16" xfId="5" applyFont="1" applyFill="1" applyBorder="1" applyAlignment="1" applyProtection="1">
      <alignment vertical="top" wrapText="1"/>
    </xf>
    <xf numFmtId="3" fontId="5" fillId="21" borderId="158" xfId="0" applyNumberFormat="1" applyFont="1" applyFill="1" applyBorder="1" applyAlignment="1" applyProtection="1">
      <alignment vertical="top"/>
    </xf>
    <xf numFmtId="3" fontId="3" fillId="21" borderId="94" xfId="5" applyNumberFormat="1" applyFont="1" applyFill="1" applyBorder="1" applyAlignment="1" applyProtection="1"/>
    <xf numFmtId="168" fontId="9" fillId="0" borderId="0" xfId="0" applyNumberFormat="1" applyFont="1" applyFill="1" applyBorder="1" applyProtection="1"/>
    <xf numFmtId="0" fontId="101" fillId="0" borderId="0" xfId="0" applyFont="1" applyFill="1" applyBorder="1" applyProtection="1"/>
    <xf numFmtId="0" fontId="101" fillId="0" borderId="0" xfId="0" applyFont="1" applyFill="1" applyBorder="1" applyAlignment="1" applyProtection="1">
      <alignment horizontal="center"/>
    </xf>
    <xf numFmtId="0" fontId="3" fillId="21" borderId="154" xfId="0" applyFont="1" applyFill="1" applyBorder="1" applyAlignment="1" applyProtection="1">
      <alignment horizontal="left" vertical="top" wrapText="1"/>
    </xf>
    <xf numFmtId="0" fontId="3" fillId="21" borderId="91" xfId="0" applyFont="1" applyFill="1" applyBorder="1" applyAlignment="1" applyProtection="1">
      <alignment horizontal="left" vertical="top"/>
    </xf>
    <xf numFmtId="3" fontId="3" fillId="21" borderId="26" xfId="0" applyNumberFormat="1" applyFont="1" applyFill="1" applyBorder="1" applyAlignment="1" applyProtection="1">
      <alignment vertical="top" wrapText="1"/>
    </xf>
    <xf numFmtId="0" fontId="17" fillId="21" borderId="158" xfId="0" applyFont="1" applyFill="1" applyBorder="1" applyAlignment="1" applyProtection="1">
      <alignment vertical="top" wrapText="1"/>
    </xf>
    <xf numFmtId="0" fontId="3" fillId="21" borderId="173" xfId="0" applyFont="1" applyFill="1" applyBorder="1" applyAlignment="1" applyProtection="1">
      <alignment horizontal="left" wrapText="1"/>
    </xf>
    <xf numFmtId="0" fontId="17" fillId="21" borderId="157" xfId="0" applyFont="1" applyFill="1" applyBorder="1" applyAlignment="1" applyProtection="1">
      <alignment vertical="top" wrapText="1"/>
    </xf>
    <xf numFmtId="0" fontId="3" fillId="21" borderId="16" xfId="5" applyFont="1" applyFill="1" applyBorder="1" applyAlignment="1" applyProtection="1">
      <alignment horizontal="left" vertical="center" wrapText="1"/>
    </xf>
    <xf numFmtId="0" fontId="5" fillId="21" borderId="190" xfId="5" applyFont="1" applyFill="1" applyBorder="1" applyProtection="1"/>
    <xf numFmtId="0" fontId="113" fillId="2" borderId="0" xfId="0" applyFont="1" applyFill="1" applyProtection="1"/>
    <xf numFmtId="3" fontId="3" fillId="21" borderId="160" xfId="0" applyNumberFormat="1" applyFont="1" applyFill="1" applyBorder="1" applyAlignment="1" applyProtection="1">
      <alignment horizontal="left" vertical="top"/>
    </xf>
    <xf numFmtId="3" fontId="2" fillId="2" borderId="3" xfId="0" applyNumberFormat="1" applyFont="1" applyFill="1" applyBorder="1" applyAlignment="1" applyProtection="1">
      <alignment horizontal="right"/>
      <protection locked="0"/>
    </xf>
    <xf numFmtId="3" fontId="2" fillId="3" borderId="3" xfId="0" applyNumberFormat="1" applyFont="1" applyFill="1" applyBorder="1" applyAlignment="1" applyProtection="1">
      <alignment horizontal="right"/>
    </xf>
    <xf numFmtId="3" fontId="2" fillId="2" borderId="28" xfId="0" applyNumberFormat="1" applyFont="1" applyFill="1" applyBorder="1" applyAlignment="1" applyProtection="1">
      <alignment horizontal="right"/>
      <protection locked="0"/>
    </xf>
    <xf numFmtId="3" fontId="2" fillId="3" borderId="103" xfId="0" applyNumberFormat="1" applyFont="1" applyFill="1" applyBorder="1" applyAlignment="1" applyProtection="1">
      <alignment horizontal="right"/>
    </xf>
    <xf numFmtId="3" fontId="3" fillId="21" borderId="78" xfId="0" applyNumberFormat="1" applyFont="1" applyFill="1" applyBorder="1" applyProtection="1"/>
    <xf numFmtId="3" fontId="5" fillId="0" borderId="58" xfId="0" applyNumberFormat="1" applyFont="1" applyFill="1" applyBorder="1" applyProtection="1"/>
    <xf numFmtId="3" fontId="5" fillId="0" borderId="57" xfId="0" applyNumberFormat="1" applyFont="1" applyFill="1" applyBorder="1" applyProtection="1"/>
    <xf numFmtId="0" fontId="24" fillId="2" borderId="58" xfId="0" applyFont="1" applyFill="1" applyBorder="1" applyProtection="1"/>
    <xf numFmtId="3" fontId="45" fillId="22" borderId="131" xfId="0" applyNumberFormat="1" applyFont="1" applyFill="1" applyBorder="1" applyProtection="1"/>
    <xf numFmtId="0" fontId="3" fillId="21" borderId="112" xfId="0" applyFont="1" applyFill="1" applyBorder="1" applyProtection="1"/>
    <xf numFmtId="0" fontId="3" fillId="21" borderId="27" xfId="0" applyFont="1" applyFill="1" applyBorder="1" applyProtection="1"/>
    <xf numFmtId="3" fontId="2" fillId="22" borderId="0" xfId="0" applyNumberFormat="1" applyFont="1" applyFill="1" applyBorder="1" applyAlignment="1" applyProtection="1">
      <alignment horizontal="right"/>
    </xf>
    <xf numFmtId="0" fontId="2" fillId="22" borderId="0" xfId="0" applyFont="1" applyFill="1" applyBorder="1" applyProtection="1"/>
    <xf numFmtId="14" fontId="3" fillId="21" borderId="124" xfId="0" applyNumberFormat="1" applyFont="1" applyFill="1" applyBorder="1" applyAlignment="1" applyProtection="1">
      <alignment horizontal="center"/>
    </xf>
    <xf numFmtId="0" fontId="3" fillId="21" borderId="101" xfId="0" applyFont="1" applyFill="1" applyBorder="1" applyProtection="1"/>
    <xf numFmtId="14" fontId="3" fillId="21" borderId="95" xfId="0" applyNumberFormat="1" applyFont="1" applyFill="1" applyBorder="1" applyAlignment="1" applyProtection="1">
      <alignment horizontal="center"/>
    </xf>
    <xf numFmtId="3" fontId="2" fillId="22" borderId="39" xfId="0" applyNumberFormat="1" applyFont="1" applyFill="1" applyBorder="1" applyAlignment="1" applyProtection="1">
      <alignment horizontal="right"/>
    </xf>
    <xf numFmtId="0" fontId="2" fillId="22" borderId="39" xfId="0" applyFont="1" applyFill="1" applyBorder="1" applyProtection="1"/>
    <xf numFmtId="14" fontId="3" fillId="21" borderId="0" xfId="0" applyNumberFormat="1" applyFont="1" applyFill="1" applyBorder="1" applyAlignment="1" applyProtection="1">
      <alignment horizontal="center"/>
    </xf>
    <xf numFmtId="0" fontId="3" fillId="21" borderId="39" xfId="0" applyFont="1" applyFill="1" applyBorder="1" applyProtection="1"/>
    <xf numFmtId="0" fontId="3" fillId="21" borderId="67" xfId="0" applyFont="1" applyFill="1" applyBorder="1" applyProtection="1"/>
    <xf numFmtId="0" fontId="2" fillId="21" borderId="27" xfId="0" applyFont="1" applyFill="1" applyBorder="1" applyProtection="1"/>
    <xf numFmtId="14" fontId="3" fillId="21" borderId="39" xfId="0" applyNumberFormat="1" applyFont="1" applyFill="1" applyBorder="1" applyAlignment="1" applyProtection="1">
      <alignment horizontal="center"/>
    </xf>
    <xf numFmtId="49" fontId="2" fillId="10" borderId="37" xfId="0" applyNumberFormat="1" applyFont="1" applyFill="1" applyBorder="1" applyAlignment="1" applyProtection="1"/>
    <xf numFmtId="0" fontId="3" fillId="21" borderId="113" xfId="0" applyFont="1" applyFill="1" applyBorder="1" applyProtection="1"/>
    <xf numFmtId="0" fontId="3" fillId="21" borderId="68" xfId="0" applyFont="1" applyFill="1" applyBorder="1" applyAlignment="1" applyProtection="1">
      <alignment wrapText="1"/>
    </xf>
    <xf numFmtId="0" fontId="3" fillId="21" borderId="158" xfId="0" applyFont="1" applyFill="1" applyBorder="1" applyAlignment="1" applyProtection="1">
      <alignment vertical="top" wrapText="1"/>
    </xf>
    <xf numFmtId="0" fontId="3" fillId="21" borderId="38" xfId="0" applyFont="1" applyFill="1" applyBorder="1" applyAlignment="1" applyProtection="1">
      <alignment horizontal="center"/>
    </xf>
    <xf numFmtId="49" fontId="3" fillId="21" borderId="42" xfId="0" applyNumberFormat="1" applyFont="1" applyFill="1" applyBorder="1" applyAlignment="1" applyProtection="1">
      <alignment horizontal="center" wrapText="1"/>
    </xf>
    <xf numFmtId="49" fontId="3" fillId="21" borderId="132" xfId="0" applyNumberFormat="1" applyFont="1" applyFill="1" applyBorder="1" applyAlignment="1" applyProtection="1">
      <alignment horizontal="center"/>
    </xf>
    <xf numFmtId="49" fontId="3" fillId="21" borderId="133" xfId="0" applyNumberFormat="1" applyFont="1" applyFill="1" applyBorder="1" applyAlignment="1" applyProtection="1">
      <alignment horizontal="center"/>
    </xf>
    <xf numFmtId="0" fontId="3" fillId="21" borderId="5" xfId="0" applyFont="1" applyFill="1" applyBorder="1" applyAlignment="1" applyProtection="1">
      <alignment horizontal="center" wrapText="1"/>
    </xf>
    <xf numFmtId="49"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xf>
    <xf numFmtId="49" fontId="3" fillId="21" borderId="106" xfId="0" applyNumberFormat="1" applyFont="1" applyFill="1" applyBorder="1" applyAlignment="1" applyProtection="1">
      <alignment horizontal="center"/>
    </xf>
    <xf numFmtId="1" fontId="3" fillId="21" borderId="2" xfId="0" applyNumberFormat="1" applyFont="1" applyFill="1" applyBorder="1" applyAlignment="1" applyProtection="1">
      <alignment horizontal="center" wrapText="1"/>
    </xf>
    <xf numFmtId="0" fontId="3" fillId="21" borderId="76" xfId="0" applyFont="1" applyFill="1" applyBorder="1" applyAlignment="1" applyProtection="1">
      <alignment horizontal="center" wrapText="1"/>
    </xf>
    <xf numFmtId="0" fontId="8" fillId="0" borderId="0" xfId="0" applyFont="1" applyFill="1" applyProtection="1"/>
    <xf numFmtId="1" fontId="3" fillId="21" borderId="42" xfId="0" applyNumberFormat="1" applyFont="1" applyFill="1" applyBorder="1" applyAlignment="1" applyProtection="1">
      <alignment horizontal="center" vertical="top" wrapText="1"/>
    </xf>
    <xf numFmtId="49" fontId="3" fillId="21" borderId="14" xfId="0" applyNumberFormat="1" applyFont="1" applyFill="1" applyBorder="1" applyAlignment="1" applyProtection="1">
      <alignment horizontal="center"/>
    </xf>
    <xf numFmtId="49" fontId="3" fillId="21" borderId="9" xfId="0" applyNumberFormat="1" applyFont="1" applyFill="1" applyBorder="1" applyAlignment="1" applyProtection="1">
      <alignment horizontal="center"/>
    </xf>
    <xf numFmtId="0" fontId="3" fillId="21" borderId="91" xfId="0" applyFont="1" applyFill="1" applyBorder="1" applyAlignment="1" applyProtection="1">
      <alignment horizontal="center"/>
    </xf>
    <xf numFmtId="1" fontId="3" fillId="21" borderId="25" xfId="0" applyNumberFormat="1" applyFont="1" applyFill="1" applyBorder="1" applyAlignment="1" applyProtection="1">
      <alignment horizontal="center"/>
    </xf>
    <xf numFmtId="3" fontId="3" fillId="21" borderId="25" xfId="0" applyNumberFormat="1" applyFont="1" applyFill="1" applyBorder="1" applyAlignment="1" applyProtection="1">
      <alignment horizontal="left" vertical="top" wrapText="1"/>
    </xf>
    <xf numFmtId="3" fontId="3" fillId="21" borderId="76" xfId="0" applyNumberFormat="1" applyFont="1" applyFill="1" applyBorder="1" applyAlignment="1" applyProtection="1"/>
    <xf numFmtId="3" fontId="3" fillId="21" borderId="92" xfId="0" applyNumberFormat="1" applyFont="1" applyFill="1" applyBorder="1" applyAlignment="1" applyProtection="1"/>
    <xf numFmtId="0" fontId="3" fillId="30" borderId="101" xfId="0" applyFont="1" applyFill="1" applyBorder="1" applyAlignment="1" applyProtection="1">
      <alignment horizontal="left" vertical="top" wrapText="1"/>
    </xf>
    <xf numFmtId="0" fontId="3" fillId="30" borderId="117" xfId="0" applyFont="1" applyFill="1" applyBorder="1" applyAlignment="1" applyProtection="1">
      <alignment horizontal="left" vertical="top"/>
    </xf>
    <xf numFmtId="0" fontId="0" fillId="30" borderId="44" xfId="0" applyFill="1" applyBorder="1" applyProtection="1"/>
    <xf numFmtId="0" fontId="3" fillId="30" borderId="16" xfId="0" applyFont="1" applyFill="1" applyBorder="1" applyAlignment="1" applyProtection="1">
      <alignment horizontal="left" vertical="top" wrapText="1"/>
    </xf>
    <xf numFmtId="3" fontId="3" fillId="30" borderId="167" xfId="0" applyNumberFormat="1" applyFont="1" applyFill="1" applyBorder="1" applyProtection="1"/>
    <xf numFmtId="3" fontId="3" fillId="30" borderId="101" xfId="0" applyNumberFormat="1" applyFont="1" applyFill="1" applyBorder="1" applyAlignment="1" applyProtection="1">
      <alignment horizontal="left" vertical="top" wrapText="1"/>
    </xf>
    <xf numFmtId="0" fontId="3" fillId="30" borderId="120" xfId="0" applyFont="1" applyFill="1" applyBorder="1" applyAlignment="1" applyProtection="1">
      <alignment horizontal="left" vertical="top" wrapText="1"/>
    </xf>
    <xf numFmtId="3" fontId="3" fillId="30" borderId="118" xfId="0" applyNumberFormat="1" applyFont="1" applyFill="1" applyBorder="1" applyAlignment="1" applyProtection="1">
      <alignment horizontal="left" wrapText="1"/>
    </xf>
    <xf numFmtId="49" fontId="3" fillId="30" borderId="118" xfId="0" applyNumberFormat="1" applyFont="1" applyFill="1" applyBorder="1" applyAlignment="1" applyProtection="1">
      <alignment vertical="top"/>
    </xf>
    <xf numFmtId="3" fontId="3" fillId="30" borderId="101" xfId="0" applyNumberFormat="1" applyFont="1" applyFill="1" applyBorder="1" applyAlignment="1" applyProtection="1">
      <alignment vertical="top"/>
    </xf>
    <xf numFmtId="3" fontId="3" fillId="30" borderId="88" xfId="0" applyNumberFormat="1" applyFont="1" applyFill="1" applyBorder="1" applyAlignment="1" applyProtection="1">
      <alignment vertical="top" wrapText="1"/>
    </xf>
    <xf numFmtId="3" fontId="3" fillId="30" borderId="16" xfId="0" applyNumberFormat="1" applyFont="1" applyFill="1" applyBorder="1" applyAlignment="1" applyProtection="1">
      <alignment horizontal="left" vertical="top" wrapText="1"/>
    </xf>
    <xf numFmtId="0" fontId="3" fillId="30" borderId="153" xfId="0" applyFont="1" applyFill="1" applyBorder="1" applyAlignment="1" applyProtection="1">
      <alignment horizontal="left" vertical="top" wrapText="1"/>
    </xf>
    <xf numFmtId="3" fontId="3" fillId="30" borderId="15" xfId="0" applyNumberFormat="1" applyFont="1" applyFill="1" applyBorder="1" applyAlignment="1" applyProtection="1">
      <alignment horizontal="left" vertical="top" wrapText="1"/>
    </xf>
    <xf numFmtId="0" fontId="11" fillId="30" borderId="0" xfId="0" applyFont="1" applyFill="1" applyBorder="1" applyProtection="1"/>
    <xf numFmtId="3" fontId="3" fillId="30" borderId="16" xfId="0" applyNumberFormat="1" applyFont="1" applyFill="1" applyBorder="1" applyAlignment="1" applyProtection="1">
      <alignment vertical="top"/>
    </xf>
    <xf numFmtId="3" fontId="8" fillId="30" borderId="60" xfId="0" applyNumberFormat="1" applyFont="1" applyFill="1" applyBorder="1" applyProtection="1"/>
    <xf numFmtId="0" fontId="5" fillId="30" borderId="44" xfId="0" applyFont="1" applyFill="1" applyBorder="1" applyProtection="1"/>
    <xf numFmtId="3" fontId="8" fillId="30" borderId="16" xfId="0" applyNumberFormat="1" applyFont="1" applyFill="1" applyBorder="1" applyAlignment="1" applyProtection="1">
      <alignment horizontal="left"/>
    </xf>
    <xf numFmtId="0" fontId="8" fillId="30" borderId="167" xfId="0" applyFont="1" applyFill="1" applyBorder="1" applyProtection="1"/>
    <xf numFmtId="3" fontId="8" fillId="30" borderId="153" xfId="0" applyNumberFormat="1" applyFont="1" applyFill="1" applyBorder="1" applyAlignment="1" applyProtection="1">
      <alignment horizontal="left" vertical="top"/>
    </xf>
    <xf numFmtId="0" fontId="0" fillId="30" borderId="0" xfId="0" applyFill="1" applyBorder="1" applyAlignment="1" applyProtection="1">
      <alignment vertical="top" wrapText="1"/>
    </xf>
    <xf numFmtId="0" fontId="11" fillId="30" borderId="16" xfId="0" applyFont="1" applyFill="1" applyBorder="1" applyProtection="1"/>
    <xf numFmtId="0" fontId="8" fillId="30" borderId="60" xfId="0" applyFont="1" applyFill="1" applyBorder="1" applyProtection="1"/>
    <xf numFmtId="0" fontId="11" fillId="30" borderId="62" xfId="0" applyFont="1" applyFill="1" applyBorder="1" applyProtection="1"/>
    <xf numFmtId="0" fontId="8" fillId="30" borderId="150" xfId="0" applyFont="1" applyFill="1" applyBorder="1" applyProtection="1"/>
    <xf numFmtId="0" fontId="8" fillId="30" borderId="42" xfId="0" applyFont="1" applyFill="1" applyBorder="1" applyProtection="1"/>
    <xf numFmtId="3" fontId="8" fillId="30" borderId="150" xfId="0" applyNumberFormat="1" applyFont="1" applyFill="1" applyBorder="1" applyProtection="1"/>
    <xf numFmtId="3" fontId="3" fillId="30" borderId="15" xfId="0" applyNumberFormat="1" applyFont="1" applyFill="1" applyBorder="1" applyAlignment="1" applyProtection="1">
      <alignment horizontal="left" vertical="top"/>
    </xf>
    <xf numFmtId="49" fontId="8" fillId="30" borderId="89" xfId="0" applyNumberFormat="1" applyFont="1" applyFill="1" applyBorder="1" applyProtection="1"/>
    <xf numFmtId="0" fontId="8" fillId="30" borderId="90" xfId="0" applyFont="1" applyFill="1" applyBorder="1" applyProtection="1"/>
    <xf numFmtId="0" fontId="3" fillId="30" borderId="127" xfId="0" applyFont="1" applyFill="1" applyBorder="1" applyAlignment="1" applyProtection="1">
      <alignment vertical="top" wrapText="1"/>
    </xf>
    <xf numFmtId="0" fontId="3" fillId="30" borderId="15" xfId="0" applyFont="1" applyFill="1" applyBorder="1" applyAlignment="1" applyProtection="1">
      <alignment vertical="top" wrapText="1"/>
    </xf>
    <xf numFmtId="3" fontId="3" fillId="30" borderId="60" xfId="0" applyNumberFormat="1" applyFont="1" applyFill="1" applyBorder="1" applyAlignment="1" applyProtection="1">
      <alignment vertical="top" wrapText="1"/>
    </xf>
    <xf numFmtId="0" fontId="8" fillId="30" borderId="127" xfId="0" applyFont="1" applyFill="1" applyBorder="1" applyProtection="1"/>
    <xf numFmtId="0" fontId="8" fillId="30" borderId="15" xfId="0" applyFont="1" applyFill="1" applyBorder="1" applyProtection="1"/>
    <xf numFmtId="0" fontId="8" fillId="30" borderId="116" xfId="0" applyFont="1" applyFill="1" applyBorder="1" applyProtection="1"/>
    <xf numFmtId="172" fontId="36" fillId="0" borderId="0" xfId="0" applyNumberFormat="1" applyFont="1" applyFill="1" applyBorder="1" applyAlignment="1" applyProtection="1">
      <alignment horizontal="left" vertical="top" wrapText="1"/>
    </xf>
    <xf numFmtId="3" fontId="2" fillId="2" borderId="0" xfId="0" applyNumberFormat="1" applyFont="1" applyFill="1" applyBorder="1" applyAlignment="1" applyProtection="1">
      <alignment horizontal="right"/>
      <protection locked="0"/>
    </xf>
    <xf numFmtId="0" fontId="5" fillId="21" borderId="187" xfId="0" applyFont="1" applyFill="1" applyBorder="1" applyAlignment="1" applyProtection="1">
      <alignment horizontal="left"/>
    </xf>
    <xf numFmtId="0" fontId="3" fillId="21" borderId="35" xfId="0" applyFont="1" applyFill="1" applyBorder="1" applyAlignment="1" applyProtection="1">
      <alignment horizontal="left"/>
    </xf>
    <xf numFmtId="3" fontId="2" fillId="2" borderId="40" xfId="0" applyNumberFormat="1" applyFont="1" applyFill="1" applyBorder="1" applyAlignment="1" applyProtection="1">
      <alignment horizontal="right"/>
      <protection locked="0"/>
    </xf>
    <xf numFmtId="0" fontId="3" fillId="21" borderId="12" xfId="0" applyFont="1" applyFill="1" applyBorder="1" applyAlignment="1" applyProtection="1">
      <alignment horizontal="left"/>
    </xf>
    <xf numFmtId="0" fontId="5" fillId="21" borderId="25" xfId="0" applyFont="1" applyFill="1" applyBorder="1" applyAlignment="1" applyProtection="1">
      <alignment horizontal="left"/>
    </xf>
    <xf numFmtId="3" fontId="2" fillId="2" borderId="201" xfId="0" applyNumberFormat="1" applyFont="1" applyFill="1" applyBorder="1" applyAlignment="1" applyProtection="1">
      <alignment horizontal="right"/>
      <protection locked="0"/>
    </xf>
    <xf numFmtId="0" fontId="3" fillId="21" borderId="162" xfId="0" applyFont="1" applyFill="1" applyBorder="1" applyAlignment="1" applyProtection="1">
      <alignment horizontal="left" wrapText="1"/>
    </xf>
    <xf numFmtId="49" fontId="8" fillId="0" borderId="202" xfId="0" applyNumberFormat="1" applyFont="1" applyFill="1" applyBorder="1" applyAlignment="1" applyProtection="1">
      <alignment horizontal="center"/>
    </xf>
    <xf numFmtId="49" fontId="3" fillId="0" borderId="202" xfId="0" applyNumberFormat="1" applyFont="1" applyFill="1" applyBorder="1" applyAlignment="1" applyProtection="1">
      <alignment horizontal="center" wrapText="1"/>
    </xf>
    <xf numFmtId="49" fontId="3" fillId="0" borderId="202" xfId="0" applyNumberFormat="1" applyFont="1" applyFill="1" applyBorder="1" applyAlignment="1" applyProtection="1">
      <alignment horizontal="left"/>
    </xf>
    <xf numFmtId="3" fontId="3" fillId="21" borderId="15" xfId="0" applyNumberFormat="1" applyFont="1" applyFill="1" applyBorder="1" applyAlignment="1" applyProtection="1">
      <alignment horizontal="left" wrapText="1"/>
    </xf>
    <xf numFmtId="0" fontId="71" fillId="2" borderId="0" xfId="0" applyFont="1" applyFill="1" applyAlignment="1" applyProtection="1"/>
    <xf numFmtId="3" fontId="5" fillId="21" borderId="118" xfId="0" applyNumberFormat="1" applyFont="1" applyFill="1" applyBorder="1" applyAlignment="1" applyProtection="1">
      <alignment horizontal="left"/>
    </xf>
    <xf numFmtId="3" fontId="5" fillId="21" borderId="15" xfId="0" applyNumberFormat="1" applyFont="1" applyFill="1" applyBorder="1" applyAlignment="1" applyProtection="1">
      <alignment horizontal="left" vertical="top" wrapText="1"/>
    </xf>
    <xf numFmtId="49" fontId="3" fillId="21" borderId="42" xfId="0" applyNumberFormat="1" applyFont="1" applyFill="1" applyBorder="1" applyAlignment="1" applyProtection="1">
      <alignment horizontal="left"/>
    </xf>
    <xf numFmtId="3" fontId="13" fillId="9" borderId="63" xfId="0" applyNumberFormat="1" applyFont="1" applyFill="1" applyBorder="1" applyProtection="1"/>
    <xf numFmtId="0" fontId="9" fillId="0" borderId="0" xfId="0" applyFont="1" applyFill="1" applyProtection="1"/>
    <xf numFmtId="3" fontId="10" fillId="0" borderId="5" xfId="0" quotePrefix="1" applyNumberFormat="1" applyFont="1" applyFill="1" applyBorder="1" applyAlignment="1" applyProtection="1">
      <alignment horizontal="right"/>
      <protection locked="0"/>
    </xf>
    <xf numFmtId="0" fontId="18" fillId="2" borderId="0" xfId="0" applyFont="1" applyFill="1" applyBorder="1" applyAlignment="1" applyProtection="1"/>
    <xf numFmtId="3" fontId="119" fillId="21" borderId="0" xfId="0" applyNumberFormat="1" applyFont="1" applyFill="1" applyBorder="1" applyAlignment="1" applyProtection="1"/>
    <xf numFmtId="3" fontId="119" fillId="21" borderId="44" xfId="0" applyNumberFormat="1" applyFont="1" applyFill="1" applyBorder="1" applyAlignment="1" applyProtection="1"/>
    <xf numFmtId="0" fontId="120" fillId="2" borderId="0" xfId="0" applyFont="1" applyFill="1" applyBorder="1" applyProtection="1"/>
    <xf numFmtId="166" fontId="7" fillId="0" borderId="1" xfId="0" applyNumberFormat="1" applyFont="1" applyFill="1" applyBorder="1" applyAlignment="1" applyProtection="1">
      <alignment horizontal="center" vertical="center"/>
    </xf>
    <xf numFmtId="0" fontId="0" fillId="2" borderId="1" xfId="0" applyFill="1" applyBorder="1" applyProtection="1"/>
    <xf numFmtId="0" fontId="3" fillId="2" borderId="1" xfId="0" applyFont="1" applyFill="1" applyBorder="1" applyProtection="1"/>
    <xf numFmtId="3" fontId="9" fillId="2" borderId="114" xfId="0" applyNumberFormat="1" applyFont="1" applyFill="1" applyBorder="1" applyProtection="1">
      <protection locked="0"/>
    </xf>
    <xf numFmtId="3" fontId="9" fillId="2" borderId="71" xfId="0" applyNumberFormat="1" applyFont="1" applyFill="1" applyBorder="1" applyProtection="1">
      <protection locked="0"/>
    </xf>
    <xf numFmtId="0" fontId="3" fillId="21" borderId="134" xfId="0" applyFont="1" applyFill="1" applyBorder="1" applyAlignment="1" applyProtection="1">
      <alignment horizontal="center"/>
    </xf>
    <xf numFmtId="0" fontId="95" fillId="7" borderId="0" xfId="0" quotePrefix="1" applyFont="1" applyFill="1" applyBorder="1" applyAlignment="1" applyProtection="1">
      <alignment horizontal="left"/>
    </xf>
    <xf numFmtId="0" fontId="113" fillId="0" borderId="0" xfId="0" applyFont="1" applyFill="1" applyAlignment="1" applyProtection="1">
      <alignment wrapText="1"/>
    </xf>
    <xf numFmtId="3" fontId="3" fillId="21" borderId="9" xfId="0" applyNumberFormat="1" applyFont="1" applyFill="1" applyBorder="1" applyProtection="1"/>
    <xf numFmtId="3" fontId="9" fillId="21" borderId="0" xfId="0" applyNumberFormat="1" applyFont="1" applyFill="1" applyBorder="1" applyProtection="1"/>
    <xf numFmtId="3" fontId="9" fillId="21" borderId="39" xfId="0" applyNumberFormat="1" applyFont="1" applyFill="1" applyBorder="1" applyProtection="1"/>
    <xf numFmtId="3" fontId="7" fillId="21" borderId="0" xfId="0" applyNumberFormat="1" applyFont="1" applyFill="1" applyBorder="1" applyProtection="1"/>
    <xf numFmtId="3" fontId="7" fillId="21" borderId="0" xfId="0" applyNumberFormat="1" applyFont="1" applyFill="1" applyBorder="1" applyAlignment="1" applyProtection="1">
      <alignment horizontal="left" vertical="top" wrapText="1"/>
    </xf>
    <xf numFmtId="3" fontId="2" fillId="21" borderId="157" xfId="0" applyNumberFormat="1" applyFont="1" applyFill="1" applyBorder="1" applyAlignment="1" applyProtection="1">
      <alignment horizontal="right"/>
    </xf>
    <xf numFmtId="3" fontId="2" fillId="21" borderId="131" xfId="0" applyNumberFormat="1" applyFont="1" applyFill="1" applyBorder="1" applyAlignment="1" applyProtection="1">
      <alignment horizontal="right"/>
    </xf>
    <xf numFmtId="3" fontId="2" fillId="22" borderId="157" xfId="0" applyNumberFormat="1" applyFont="1" applyFill="1" applyBorder="1" applyAlignment="1" applyProtection="1">
      <alignment horizontal="left"/>
    </xf>
    <xf numFmtId="3" fontId="2" fillId="22" borderId="45" xfId="0" applyNumberFormat="1" applyFont="1" applyFill="1" applyBorder="1" applyAlignment="1" applyProtection="1">
      <alignment horizontal="right"/>
    </xf>
    <xf numFmtId="0" fontId="9" fillId="31" borderId="203" xfId="0" applyFont="1" applyFill="1" applyBorder="1" applyAlignment="1" applyProtection="1">
      <alignment horizontal="left" vertical="center"/>
    </xf>
    <xf numFmtId="0" fontId="92" fillId="31" borderId="203" xfId="0" applyFont="1" applyFill="1" applyBorder="1" applyAlignment="1" applyProtection="1">
      <alignment horizontal="left" vertical="center"/>
    </xf>
    <xf numFmtId="0" fontId="17" fillId="30" borderId="117" xfId="0" applyFont="1" applyFill="1" applyBorder="1" applyAlignment="1" applyProtection="1">
      <alignment horizontal="center" vertical="center"/>
    </xf>
    <xf numFmtId="0" fontId="0" fillId="0" borderId="0" xfId="0" applyFill="1" applyBorder="1" applyAlignment="1">
      <alignment horizontal="left" wrapText="1"/>
    </xf>
    <xf numFmtId="0" fontId="24" fillId="21" borderId="58" xfId="5" applyFill="1" applyBorder="1" applyAlignment="1" applyProtection="1">
      <alignment wrapText="1"/>
    </xf>
    <xf numFmtId="0" fontId="24" fillId="21" borderId="44" xfId="5" applyFill="1" applyBorder="1" applyAlignment="1" applyProtection="1">
      <alignment wrapText="1"/>
    </xf>
    <xf numFmtId="0" fontId="3" fillId="21" borderId="205" xfId="0" applyFont="1" applyFill="1" applyBorder="1" applyAlignment="1" applyProtection="1">
      <alignment horizontal="center"/>
    </xf>
    <xf numFmtId="49" fontId="3" fillId="21" borderId="150" xfId="0" applyNumberFormat="1" applyFont="1" applyFill="1" applyBorder="1" applyAlignment="1" applyProtection="1">
      <alignment horizontal="center"/>
    </xf>
    <xf numFmtId="49" fontId="3" fillId="21" borderId="160" xfId="0" applyNumberFormat="1" applyFont="1" applyFill="1" applyBorder="1" applyAlignment="1" applyProtection="1">
      <alignment horizontal="center"/>
    </xf>
    <xf numFmtId="0" fontId="3" fillId="21" borderId="35" xfId="0" applyFont="1" applyFill="1" applyBorder="1" applyAlignment="1" applyProtection="1">
      <alignment horizontal="center"/>
    </xf>
    <xf numFmtId="0" fontId="3" fillId="21" borderId="70" xfId="0" applyFont="1" applyFill="1" applyBorder="1" applyAlignment="1" applyProtection="1">
      <alignment horizontal="center"/>
    </xf>
    <xf numFmtId="3" fontId="3" fillId="21" borderId="27" xfId="0" applyNumberFormat="1" applyFont="1" applyFill="1" applyBorder="1" applyAlignment="1" applyProtection="1"/>
    <xf numFmtId="49" fontId="3" fillId="21" borderId="58" xfId="0" applyNumberFormat="1" applyFont="1" applyFill="1" applyBorder="1" applyAlignment="1" applyProtection="1">
      <alignment horizontal="left" vertical="top"/>
    </xf>
    <xf numFmtId="49" fontId="3" fillId="21" borderId="142" xfId="0" applyNumberFormat="1" applyFont="1" applyFill="1" applyBorder="1" applyAlignment="1" applyProtection="1">
      <alignment horizontal="left" vertical="top"/>
    </xf>
    <xf numFmtId="0" fontId="31" fillId="7" borderId="0" xfId="0" applyFont="1" applyFill="1" applyBorder="1" applyProtection="1"/>
    <xf numFmtId="1" fontId="17" fillId="0" borderId="0" xfId="0" applyNumberFormat="1" applyFont="1" applyFill="1" applyBorder="1" applyAlignment="1" applyProtection="1">
      <alignment horizontal="center"/>
    </xf>
    <xf numFmtId="166" fontId="3" fillId="0" borderId="0" xfId="0" applyNumberFormat="1" applyFont="1" applyFill="1" applyBorder="1" applyProtection="1"/>
    <xf numFmtId="0"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xf>
    <xf numFmtId="1" fontId="5" fillId="0" borderId="0" xfId="0" applyNumberFormat="1" applyFont="1" applyFill="1" applyBorder="1" applyAlignment="1" applyProtection="1">
      <alignment horizontal="center" wrapText="1"/>
    </xf>
    <xf numFmtId="3" fontId="8"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1"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wrapText="1"/>
    </xf>
    <xf numFmtId="49" fontId="3" fillId="0" borderId="0" xfId="0" applyNumberFormat="1" applyFont="1" applyFill="1" applyBorder="1" applyAlignment="1" applyProtection="1">
      <alignment horizontal="center" wrapText="1"/>
    </xf>
    <xf numFmtId="49" fontId="119" fillId="0" borderId="0" xfId="0" applyNumberFormat="1" applyFont="1" applyFill="1" applyBorder="1" applyAlignment="1" applyProtection="1">
      <alignment horizontal="center" wrapText="1"/>
    </xf>
    <xf numFmtId="1" fontId="119"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1" fontId="8" fillId="0" borderId="0" xfId="0" applyNumberFormat="1" applyFont="1" applyFill="1" applyBorder="1" applyAlignment="1" applyProtection="1">
      <alignment horizontal="center" vertical="center" wrapText="1"/>
    </xf>
    <xf numFmtId="3" fontId="2" fillId="2" borderId="114" xfId="0" applyNumberFormat="1" applyFont="1" applyFill="1" applyBorder="1" applyAlignment="1" applyProtection="1">
      <alignment horizontal="right"/>
      <protection locked="0"/>
    </xf>
    <xf numFmtId="3" fontId="2" fillId="2" borderId="6" xfId="0" applyNumberFormat="1" applyFont="1" applyFill="1" applyBorder="1" applyAlignment="1" applyProtection="1">
      <alignment horizontal="right"/>
      <protection locked="0"/>
    </xf>
    <xf numFmtId="49" fontId="3" fillId="21" borderId="35" xfId="0" applyNumberFormat="1" applyFont="1" applyFill="1" applyBorder="1" applyAlignment="1" applyProtection="1">
      <alignment horizontal="left" wrapText="1"/>
    </xf>
    <xf numFmtId="3" fontId="5" fillId="21" borderId="156" xfId="5" applyNumberFormat="1" applyFont="1" applyFill="1" applyBorder="1" applyAlignment="1" applyProtection="1">
      <alignment vertical="top"/>
    </xf>
    <xf numFmtId="3" fontId="4" fillId="0" borderId="0" xfId="0" applyNumberFormat="1" applyFont="1" applyFill="1" applyBorder="1" applyProtection="1"/>
    <xf numFmtId="49" fontId="12" fillId="0" borderId="0" xfId="0" applyNumberFormat="1" applyFont="1" applyFill="1" applyBorder="1" applyAlignment="1" applyProtection="1">
      <alignment horizontal="center"/>
    </xf>
    <xf numFmtId="3" fontId="3" fillId="0" borderId="0" xfId="0" applyNumberFormat="1" applyFont="1" applyFill="1" applyBorder="1" applyAlignment="1" applyProtection="1"/>
    <xf numFmtId="0" fontId="0" fillId="21" borderId="150" xfId="0" applyFill="1" applyBorder="1" applyAlignment="1">
      <alignment vertical="center"/>
    </xf>
    <xf numFmtId="0" fontId="0" fillId="21" borderId="42" xfId="0" applyFill="1" applyBorder="1" applyAlignment="1">
      <alignment vertical="center"/>
    </xf>
    <xf numFmtId="0" fontId="7" fillId="21" borderId="42" xfId="0" applyFont="1" applyFill="1" applyBorder="1" applyAlignment="1" applyProtection="1"/>
    <xf numFmtId="0" fontId="0" fillId="21" borderId="161" xfId="0" applyFill="1" applyBorder="1" applyAlignment="1" applyProtection="1">
      <alignment wrapText="1"/>
    </xf>
    <xf numFmtId="0" fontId="0" fillId="21" borderId="42" xfId="0" applyFill="1" applyBorder="1" applyAlignment="1">
      <alignment vertical="center" wrapText="1"/>
    </xf>
    <xf numFmtId="0" fontId="7" fillId="21" borderId="42" xfId="0" applyFont="1" applyFill="1" applyBorder="1" applyProtection="1"/>
    <xf numFmtId="0" fontId="0" fillId="21" borderId="142" xfId="0" applyFill="1" applyBorder="1" applyAlignment="1">
      <alignment horizontal="left" vertical="center"/>
    </xf>
    <xf numFmtId="0" fontId="0" fillId="21" borderId="1" xfId="0" applyFill="1" applyBorder="1" applyAlignment="1">
      <alignment horizontal="left" vertical="center"/>
    </xf>
    <xf numFmtId="0" fontId="0" fillId="21" borderId="89" xfId="0" applyFill="1" applyBorder="1" applyAlignment="1">
      <alignment horizontal="left" vertical="center"/>
    </xf>
    <xf numFmtId="0" fontId="0" fillId="21" borderId="90" xfId="0" applyFill="1" applyBorder="1" applyAlignment="1">
      <alignment horizontal="left" wrapText="1"/>
    </xf>
    <xf numFmtId="0" fontId="5" fillId="21" borderId="157" xfId="0" applyFont="1" applyFill="1" applyBorder="1" applyAlignment="1" applyProtection="1">
      <alignment vertical="top" wrapText="1"/>
    </xf>
    <xf numFmtId="0" fontId="3" fillId="21" borderId="16" xfId="0" applyFont="1" applyFill="1" applyBorder="1" applyAlignment="1" applyProtection="1">
      <alignment vertical="center"/>
    </xf>
    <xf numFmtId="0" fontId="3" fillId="21" borderId="15" xfId="0" applyFont="1" applyFill="1" applyBorder="1" applyAlignment="1" applyProtection="1">
      <alignment vertical="center"/>
    </xf>
    <xf numFmtId="0" fontId="3" fillId="21" borderId="15" xfId="0" applyFont="1" applyFill="1" applyBorder="1" applyAlignment="1" applyProtection="1">
      <alignment vertical="center" wrapText="1"/>
    </xf>
    <xf numFmtId="0" fontId="0" fillId="21" borderId="190" xfId="0" applyFill="1" applyBorder="1" applyAlignment="1">
      <alignment horizontal="center" vertical="center"/>
    </xf>
    <xf numFmtId="0" fontId="0" fillId="21" borderId="175" xfId="0" applyFill="1" applyBorder="1" applyAlignment="1" applyProtection="1">
      <alignment vertical="top" wrapText="1"/>
    </xf>
    <xf numFmtId="0" fontId="3" fillId="21" borderId="123" xfId="0" applyFont="1" applyFill="1" applyBorder="1" applyAlignment="1" applyProtection="1">
      <alignment vertical="top"/>
    </xf>
    <xf numFmtId="0" fontId="3" fillId="21" borderId="68" xfId="0" applyFont="1" applyFill="1" applyBorder="1" applyAlignment="1" applyProtection="1">
      <alignment horizontal="left" vertical="top" wrapText="1"/>
    </xf>
    <xf numFmtId="0" fontId="17" fillId="21" borderId="167" xfId="0" applyFont="1" applyFill="1" applyBorder="1" applyAlignment="1" applyProtection="1">
      <alignment horizontal="center" vertical="center" wrapText="1"/>
    </xf>
    <xf numFmtId="0" fontId="7" fillId="21" borderId="158" xfId="0" applyFont="1" applyFill="1" applyBorder="1" applyAlignment="1" applyProtection="1"/>
    <xf numFmtId="0" fontId="3" fillId="21" borderId="15" xfId="0" applyFont="1" applyFill="1" applyBorder="1" applyAlignment="1" applyProtection="1"/>
    <xf numFmtId="0" fontId="3" fillId="21" borderId="128" xfId="0" applyFont="1" applyFill="1" applyBorder="1" applyAlignment="1" applyProtection="1">
      <alignment horizontal="left" vertical="top" wrapText="1"/>
    </xf>
    <xf numFmtId="0" fontId="3" fillId="21" borderId="58" xfId="0" applyFont="1" applyFill="1" applyBorder="1" applyAlignment="1" applyProtection="1">
      <alignment horizontal="left" vertical="center"/>
    </xf>
    <xf numFmtId="0" fontId="3" fillId="21" borderId="0" xfId="0" applyFont="1" applyFill="1" applyBorder="1" applyAlignment="1" applyProtection="1">
      <alignment horizontal="left" vertical="center"/>
    </xf>
    <xf numFmtId="0" fontId="3" fillId="21" borderId="153" xfId="0" applyFont="1" applyFill="1" applyBorder="1" applyAlignment="1" applyProtection="1">
      <alignment horizontal="left" vertical="center"/>
    </xf>
    <xf numFmtId="0" fontId="3" fillId="21" borderId="60" xfId="0" applyFont="1" applyFill="1" applyBorder="1" applyAlignment="1" applyProtection="1">
      <alignment horizontal="left" wrapText="1"/>
    </xf>
    <xf numFmtId="3" fontId="3" fillId="21" borderId="158" xfId="5" applyNumberFormat="1" applyFont="1" applyFill="1" applyBorder="1" applyAlignment="1" applyProtection="1"/>
    <xf numFmtId="3" fontId="5" fillId="21" borderId="158" xfId="5" applyNumberFormat="1" applyFont="1" applyFill="1" applyBorder="1" applyAlignment="1" applyProtection="1">
      <alignment vertical="top" wrapText="1"/>
    </xf>
    <xf numFmtId="49" fontId="3" fillId="21" borderId="175" xfId="5" applyNumberFormat="1" applyFont="1" applyFill="1" applyBorder="1" applyProtection="1"/>
    <xf numFmtId="3" fontId="3" fillId="21" borderId="167" xfId="5" applyNumberFormat="1" applyFont="1" applyFill="1" applyBorder="1" applyAlignment="1" applyProtection="1"/>
    <xf numFmtId="0" fontId="3" fillId="21" borderId="190" xfId="5" applyFont="1" applyFill="1" applyBorder="1" applyAlignment="1" applyProtection="1">
      <alignment horizontal="left" vertical="center"/>
    </xf>
    <xf numFmtId="0" fontId="5" fillId="21" borderId="160" xfId="5" applyFont="1" applyFill="1" applyBorder="1" applyAlignment="1" applyProtection="1">
      <alignment vertical="top"/>
    </xf>
    <xf numFmtId="0" fontId="3" fillId="21" borderId="68" xfId="0" applyFont="1" applyFill="1" applyBorder="1" applyAlignment="1" applyProtection="1">
      <alignment vertical="top"/>
    </xf>
    <xf numFmtId="0" fontId="5" fillId="21" borderId="27" xfId="5" applyFont="1" applyFill="1" applyBorder="1" applyAlignment="1" applyProtection="1"/>
    <xf numFmtId="0" fontId="3" fillId="21" borderId="15" xfId="5" applyFont="1" applyFill="1" applyBorder="1" applyAlignment="1" applyProtection="1">
      <alignment horizontal="right"/>
    </xf>
    <xf numFmtId="0" fontId="3" fillId="21" borderId="153" xfId="5" applyFont="1" applyFill="1" applyBorder="1" applyAlignment="1" applyProtection="1"/>
    <xf numFmtId="0" fontId="3" fillId="21" borderId="15" xfId="5" applyFont="1" applyFill="1" applyBorder="1" applyAlignment="1" applyProtection="1"/>
    <xf numFmtId="0" fontId="3" fillId="21" borderId="15" xfId="5" applyFont="1" applyFill="1" applyBorder="1" applyAlignment="1" applyProtection="1">
      <alignment horizontal="left" vertical="top" wrapText="1"/>
    </xf>
    <xf numFmtId="0" fontId="3" fillId="21" borderId="16" xfId="5" applyFont="1" applyFill="1" applyBorder="1" applyAlignment="1" applyProtection="1">
      <alignment horizontal="left" vertical="top" wrapText="1"/>
    </xf>
    <xf numFmtId="49" fontId="3" fillId="21" borderId="158" xfId="5" applyNumberFormat="1" applyFont="1" applyFill="1" applyBorder="1" applyAlignment="1" applyProtection="1">
      <alignment vertical="top"/>
    </xf>
    <xf numFmtId="0" fontId="0" fillId="21" borderId="15" xfId="0" applyFill="1" applyBorder="1" applyAlignment="1">
      <alignment vertical="top" wrapText="1"/>
    </xf>
    <xf numFmtId="0" fontId="0" fillId="21" borderId="42" xfId="0" applyFill="1" applyBorder="1" applyAlignment="1">
      <alignment vertical="top" wrapText="1"/>
    </xf>
    <xf numFmtId="0" fontId="3" fillId="21" borderId="175" xfId="0" applyFont="1" applyFill="1" applyBorder="1" applyAlignment="1" applyProtection="1">
      <alignment horizontal="left" vertical="center"/>
    </xf>
    <xf numFmtId="3" fontId="112" fillId="0" borderId="58" xfId="0" applyNumberFormat="1" applyFont="1" applyFill="1" applyBorder="1" applyProtection="1"/>
    <xf numFmtId="3" fontId="3" fillId="32" borderId="42" xfId="0" applyNumberFormat="1" applyFont="1" applyFill="1" applyBorder="1" applyAlignment="1" applyProtection="1">
      <alignment horizontal="left" vertical="top" wrapText="1"/>
    </xf>
    <xf numFmtId="3" fontId="3" fillId="21" borderId="42" xfId="0" applyNumberFormat="1" applyFont="1" applyFill="1" applyBorder="1" applyAlignment="1" applyProtection="1">
      <alignment horizontal="left" vertical="top"/>
    </xf>
    <xf numFmtId="0" fontId="0" fillId="21" borderId="44" xfId="0" applyFill="1" applyBorder="1" applyProtection="1"/>
    <xf numFmtId="3" fontId="5" fillId="21" borderId="206" xfId="0" applyNumberFormat="1" applyFont="1" applyFill="1" applyBorder="1" applyAlignment="1" applyProtection="1">
      <alignment horizontal="left" vertical="center" wrapText="1"/>
    </xf>
    <xf numFmtId="0" fontId="3" fillId="21" borderId="133" xfId="0" applyFont="1" applyFill="1" applyBorder="1" applyProtection="1"/>
    <xf numFmtId="3" fontId="9" fillId="2" borderId="204" xfId="0" applyNumberFormat="1" applyFont="1" applyFill="1" applyBorder="1" applyProtection="1">
      <protection locked="0"/>
    </xf>
    <xf numFmtId="0" fontId="5" fillId="21" borderId="96" xfId="5" applyFont="1" applyFill="1" applyBorder="1" applyProtection="1"/>
    <xf numFmtId="0" fontId="5" fillId="21" borderId="44" xfId="5" applyFont="1" applyFill="1" applyBorder="1" applyProtection="1"/>
    <xf numFmtId="0" fontId="5" fillId="21" borderId="27" xfId="5" applyFont="1" applyFill="1" applyBorder="1" applyAlignment="1" applyProtection="1">
      <alignment horizontal="left"/>
    </xf>
    <xf numFmtId="0" fontId="5" fillId="21" borderId="189" xfId="5" applyFont="1" applyFill="1" applyBorder="1" applyAlignment="1" applyProtection="1">
      <alignment horizontal="left"/>
    </xf>
    <xf numFmtId="0" fontId="3" fillId="21" borderId="56" xfId="5" applyFont="1" applyFill="1" applyBorder="1" applyAlignment="1" applyProtection="1">
      <alignment vertical="top"/>
    </xf>
    <xf numFmtId="0" fontId="3" fillId="21" borderId="56" xfId="5" applyFont="1" applyFill="1" applyBorder="1" applyAlignment="1" applyProtection="1">
      <alignment horizontal="left" vertical="center"/>
    </xf>
    <xf numFmtId="3" fontId="3" fillId="21" borderId="44" xfId="5" applyNumberFormat="1" applyFont="1" applyFill="1" applyBorder="1" applyAlignment="1" applyProtection="1">
      <alignment wrapText="1"/>
    </xf>
    <xf numFmtId="3" fontId="3" fillId="21" borderId="44" xfId="5" applyNumberFormat="1" applyFont="1" applyFill="1" applyBorder="1" applyAlignment="1" applyProtection="1">
      <alignment vertical="center" wrapText="1"/>
    </xf>
    <xf numFmtId="0" fontId="5" fillId="21" borderId="189" xfId="0" applyFont="1" applyFill="1" applyBorder="1" applyAlignment="1" applyProtection="1">
      <alignment horizontal="left"/>
    </xf>
    <xf numFmtId="0" fontId="5" fillId="21" borderId="96" xfId="0" applyFont="1" applyFill="1" applyBorder="1" applyAlignment="1" applyProtection="1">
      <alignment horizontal="left"/>
    </xf>
    <xf numFmtId="0" fontId="5" fillId="21" borderId="27" xfId="0" applyFont="1" applyFill="1" applyBorder="1" applyAlignment="1" applyProtection="1">
      <alignment horizontal="left"/>
    </xf>
    <xf numFmtId="0" fontId="5" fillId="21" borderId="44" xfId="0" applyFont="1" applyFill="1" applyBorder="1" applyAlignment="1" applyProtection="1">
      <alignment horizontal="left"/>
    </xf>
    <xf numFmtId="0" fontId="3" fillId="21" borderId="158" xfId="0" applyFont="1" applyFill="1" applyBorder="1" applyAlignment="1" applyProtection="1">
      <alignment horizontal="center"/>
    </xf>
    <xf numFmtId="0" fontId="3" fillId="21" borderId="56" xfId="5" applyFont="1" applyFill="1" applyBorder="1" applyAlignment="1" applyProtection="1">
      <alignment vertical="top" wrapText="1"/>
    </xf>
    <xf numFmtId="0" fontId="3" fillId="21" borderId="62" xfId="5" applyFont="1" applyFill="1" applyBorder="1" applyProtection="1"/>
    <xf numFmtId="1" fontId="3" fillId="21" borderId="16" xfId="5" applyNumberFormat="1" applyFont="1" applyFill="1" applyBorder="1" applyAlignment="1" applyProtection="1">
      <alignment horizontal="center"/>
    </xf>
    <xf numFmtId="1" fontId="3" fillId="21" borderId="167" xfId="5" applyNumberFormat="1" applyFont="1" applyFill="1" applyBorder="1" applyAlignment="1" applyProtection="1">
      <alignment horizontal="center"/>
    </xf>
    <xf numFmtId="3" fontId="5" fillId="21" borderId="175" xfId="5" applyNumberFormat="1" applyFont="1" applyFill="1" applyBorder="1" applyAlignment="1" applyProtection="1">
      <alignment vertical="top"/>
    </xf>
    <xf numFmtId="3" fontId="5" fillId="21" borderId="44" xfId="5" applyNumberFormat="1" applyFont="1" applyFill="1" applyBorder="1" applyAlignment="1" applyProtection="1">
      <alignment vertical="center"/>
    </xf>
    <xf numFmtId="3" fontId="5" fillId="21" borderId="44" xfId="0" applyNumberFormat="1" applyFont="1" applyFill="1" applyBorder="1" applyAlignment="1" applyProtection="1">
      <alignment vertical="center"/>
    </xf>
    <xf numFmtId="3" fontId="5" fillId="21" borderId="175" xfId="0" applyNumberFormat="1" applyFont="1" applyFill="1" applyBorder="1" applyAlignment="1" applyProtection="1">
      <alignment vertical="top"/>
    </xf>
    <xf numFmtId="0" fontId="3" fillId="21" borderId="158" xfId="5" applyFont="1" applyFill="1" applyBorder="1" applyAlignment="1" applyProtection="1">
      <alignment vertical="top" wrapText="1"/>
    </xf>
    <xf numFmtId="0" fontId="3" fillId="21" borderId="158" xfId="5" applyFont="1" applyFill="1" applyBorder="1" applyAlignment="1" applyProtection="1">
      <alignment vertical="center" wrapText="1"/>
    </xf>
    <xf numFmtId="0" fontId="3" fillId="10" borderId="58" xfId="0" applyFont="1" applyFill="1" applyBorder="1" applyAlignment="1" applyProtection="1">
      <alignment horizontal="center"/>
    </xf>
    <xf numFmtId="0" fontId="5" fillId="21" borderId="15" xfId="0" applyFont="1" applyFill="1" applyBorder="1" applyAlignment="1" applyProtection="1">
      <alignment horizontal="left" vertical="center" wrapText="1"/>
    </xf>
    <xf numFmtId="3" fontId="2" fillId="21" borderId="50" xfId="0" applyNumberFormat="1" applyFont="1" applyFill="1" applyBorder="1" applyAlignment="1" applyProtection="1">
      <alignment horizontal="right"/>
    </xf>
    <xf numFmtId="3" fontId="18" fillId="21" borderId="7" xfId="0" applyNumberFormat="1" applyFont="1" applyFill="1" applyBorder="1" applyProtection="1"/>
    <xf numFmtId="3" fontId="44" fillId="21" borderId="5" xfId="0" applyNumberFormat="1" applyFont="1" applyFill="1" applyBorder="1" applyProtection="1"/>
    <xf numFmtId="3" fontId="91" fillId="21" borderId="5" xfId="0" applyNumberFormat="1" applyFont="1" applyFill="1" applyBorder="1" applyProtection="1"/>
    <xf numFmtId="0" fontId="2" fillId="21" borderId="7" xfId="0" applyFont="1" applyFill="1" applyBorder="1" applyAlignment="1" applyProtection="1">
      <alignment vertical="top"/>
    </xf>
    <xf numFmtId="0" fontId="2" fillId="21" borderId="5" xfId="0" applyFont="1" applyFill="1" applyBorder="1" applyAlignment="1" applyProtection="1">
      <alignment vertical="top"/>
    </xf>
    <xf numFmtId="0" fontId="21" fillId="21" borderId="0" xfId="0" applyFont="1" applyFill="1" applyBorder="1" applyProtection="1"/>
    <xf numFmtId="0" fontId="21" fillId="21" borderId="15" xfId="0" applyFont="1" applyFill="1" applyBorder="1" applyProtection="1"/>
    <xf numFmtId="0" fontId="4" fillId="21" borderId="15" xfId="0" applyFont="1" applyFill="1" applyBorder="1" applyProtection="1"/>
    <xf numFmtId="0" fontId="8" fillId="21" borderId="208" xfId="0" applyFont="1" applyFill="1" applyBorder="1" applyAlignment="1" applyProtection="1">
      <alignment horizontal="left"/>
    </xf>
    <xf numFmtId="0" fontId="8" fillId="21" borderId="66" xfId="0" applyFont="1" applyFill="1" applyBorder="1" applyAlignment="1" applyProtection="1">
      <alignment horizontal="left"/>
    </xf>
    <xf numFmtId="0" fontId="3" fillId="21" borderId="66" xfId="0" applyFont="1" applyFill="1" applyBorder="1" applyAlignment="1" applyProtection="1">
      <alignment horizontal="left"/>
    </xf>
    <xf numFmtId="0" fontId="2" fillId="21" borderId="106" xfId="0" applyFont="1" applyFill="1" applyBorder="1" applyAlignment="1" applyProtection="1">
      <alignment vertical="top"/>
    </xf>
    <xf numFmtId="0" fontId="2" fillId="21" borderId="70" xfId="0" applyFont="1" applyFill="1" applyBorder="1" applyAlignment="1" applyProtection="1">
      <alignment vertical="top"/>
    </xf>
    <xf numFmtId="3" fontId="47" fillId="21" borderId="7" xfId="0" applyNumberFormat="1" applyFont="1" applyFill="1" applyBorder="1" applyProtection="1"/>
    <xf numFmtId="3" fontId="44" fillId="21" borderId="8" xfId="0" applyNumberFormat="1" applyFont="1" applyFill="1" applyBorder="1" applyProtection="1"/>
    <xf numFmtId="3" fontId="91" fillId="21" borderId="8" xfId="0" applyNumberFormat="1" applyFont="1" applyFill="1" applyBorder="1" applyProtection="1"/>
    <xf numFmtId="3" fontId="44" fillId="21" borderId="7" xfId="0" applyNumberFormat="1" applyFont="1" applyFill="1" applyBorder="1" applyProtection="1"/>
    <xf numFmtId="3" fontId="2" fillId="21" borderId="7" xfId="0" applyNumberFormat="1" applyFont="1" applyFill="1" applyBorder="1" applyAlignment="1" applyProtection="1">
      <alignment vertical="top"/>
    </xf>
    <xf numFmtId="3" fontId="42" fillId="21" borderId="29" xfId="0" applyNumberFormat="1" applyFont="1" applyFill="1" applyBorder="1" applyAlignment="1" applyProtection="1">
      <alignment vertical="top" wrapText="1"/>
    </xf>
    <xf numFmtId="3" fontId="2" fillId="21" borderId="46" xfId="0" applyNumberFormat="1" applyFont="1" applyFill="1" applyBorder="1" applyAlignment="1" applyProtection="1">
      <alignment horizontal="right"/>
    </xf>
    <xf numFmtId="3" fontId="42" fillId="21" borderId="146" xfId="0" applyNumberFormat="1" applyFont="1" applyFill="1" applyBorder="1" applyAlignment="1" applyProtection="1">
      <alignment vertical="top" wrapText="1"/>
    </xf>
    <xf numFmtId="169" fontId="41" fillId="21" borderId="157" xfId="0" applyNumberFormat="1" applyFont="1" applyFill="1" applyBorder="1" applyProtection="1"/>
    <xf numFmtId="3" fontId="10" fillId="21" borderId="7" xfId="0" applyNumberFormat="1" applyFont="1" applyFill="1" applyBorder="1" applyAlignment="1" applyProtection="1">
      <alignment vertical="top"/>
      <protection locked="0"/>
    </xf>
    <xf numFmtId="3" fontId="10" fillId="21" borderId="5" xfId="0" applyNumberFormat="1" applyFont="1" applyFill="1" applyBorder="1" applyAlignment="1" applyProtection="1">
      <alignment vertical="top"/>
      <protection locked="0"/>
    </xf>
    <xf numFmtId="0" fontId="2" fillId="21" borderId="5" xfId="0" applyFont="1" applyFill="1" applyBorder="1" applyAlignment="1" applyProtection="1">
      <alignment vertical="top"/>
      <protection locked="0"/>
    </xf>
    <xf numFmtId="0" fontId="2" fillId="21" borderId="160" xfId="0" applyFont="1" applyFill="1" applyBorder="1" applyAlignment="1" applyProtection="1">
      <alignment vertical="top"/>
      <protection locked="0"/>
    </xf>
    <xf numFmtId="0" fontId="2" fillId="21" borderId="68" xfId="0" applyFont="1" applyFill="1" applyBorder="1" applyAlignment="1" applyProtection="1">
      <alignment vertical="top"/>
      <protection locked="0"/>
    </xf>
    <xf numFmtId="3" fontId="18" fillId="21" borderId="14" xfId="0" applyNumberFormat="1" applyFont="1" applyFill="1" applyBorder="1" applyProtection="1"/>
    <xf numFmtId="3" fontId="44" fillId="21" borderId="17" xfId="0" applyNumberFormat="1" applyFont="1" applyFill="1" applyBorder="1" applyProtection="1"/>
    <xf numFmtId="3" fontId="91" fillId="21" borderId="17" xfId="0" applyNumberFormat="1" applyFont="1" applyFill="1" applyBorder="1" applyProtection="1"/>
    <xf numFmtId="3" fontId="2" fillId="21" borderId="7" xfId="0" applyNumberFormat="1" applyFont="1" applyFill="1" applyBorder="1" applyAlignment="1" applyProtection="1">
      <alignment vertical="top"/>
      <protection locked="0"/>
    </xf>
    <xf numFmtId="0" fontId="16" fillId="21" borderId="94" xfId="0" applyFont="1" applyFill="1" applyBorder="1" applyAlignment="1" applyProtection="1">
      <alignment wrapText="1"/>
    </xf>
    <xf numFmtId="0" fontId="9" fillId="21" borderId="191" xfId="0" applyFont="1" applyFill="1" applyBorder="1" applyProtection="1"/>
    <xf numFmtId="3" fontId="112" fillId="21" borderId="7" xfId="0" applyNumberFormat="1" applyFont="1" applyFill="1" applyBorder="1" applyProtection="1"/>
    <xf numFmtId="3" fontId="114" fillId="21" borderId="5" xfId="0" applyNumberFormat="1" applyFont="1" applyFill="1" applyBorder="1" applyProtection="1"/>
    <xf numFmtId="3" fontId="25" fillId="21" borderId="5" xfId="0" applyNumberFormat="1" applyFont="1" applyFill="1" applyBorder="1" applyProtection="1"/>
    <xf numFmtId="3" fontId="45" fillId="21" borderId="160" xfId="0" applyNumberFormat="1" applyFont="1" applyFill="1" applyBorder="1" applyProtection="1"/>
    <xf numFmtId="3" fontId="45" fillId="21" borderId="128" xfId="0" applyNumberFormat="1" applyFont="1" applyFill="1" applyBorder="1" applyProtection="1"/>
    <xf numFmtId="3" fontId="2" fillId="21" borderId="46" xfId="0" applyNumberFormat="1" applyFont="1" applyFill="1" applyBorder="1" applyAlignment="1" applyProtection="1">
      <alignment horizontal="right" vertical="top" wrapText="1"/>
    </xf>
    <xf numFmtId="3" fontId="42" fillId="21" borderId="22" xfId="0" applyNumberFormat="1" applyFont="1" applyFill="1" applyBorder="1" applyAlignment="1" applyProtection="1">
      <alignment vertical="top"/>
    </xf>
    <xf numFmtId="0" fontId="9" fillId="21" borderId="5" xfId="0" applyFont="1" applyFill="1" applyBorder="1" applyAlignment="1" applyProtection="1">
      <alignment vertical="top"/>
    </xf>
    <xf numFmtId="3" fontId="3" fillId="21" borderId="133" xfId="0" applyNumberFormat="1" applyFont="1" applyFill="1" applyBorder="1" applyProtection="1"/>
    <xf numFmtId="3" fontId="45" fillId="21" borderId="16" xfId="0" applyNumberFormat="1" applyFont="1" applyFill="1" applyBorder="1" applyProtection="1"/>
    <xf numFmtId="3" fontId="45" fillId="21" borderId="68" xfId="0" applyNumberFormat="1" applyFont="1" applyFill="1" applyBorder="1" applyProtection="1"/>
    <xf numFmtId="0" fontId="9" fillId="21" borderId="7" xfId="0" applyFont="1" applyFill="1" applyBorder="1" applyAlignment="1" applyProtection="1">
      <alignment vertical="top"/>
    </xf>
    <xf numFmtId="3" fontId="121" fillId="3" borderId="63" xfId="0" applyNumberFormat="1" applyFont="1" applyFill="1" applyBorder="1" applyAlignment="1" applyProtection="1">
      <alignment horizontal="right"/>
    </xf>
    <xf numFmtId="3" fontId="121" fillId="3" borderId="207" xfId="0" applyNumberFormat="1" applyFont="1" applyFill="1" applyBorder="1" applyAlignment="1" applyProtection="1">
      <alignment horizontal="right"/>
    </xf>
    <xf numFmtId="3" fontId="3"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3" fontId="8" fillId="0" borderId="0" xfId="0" applyNumberFormat="1" applyFont="1" applyFill="1" applyBorder="1" applyAlignment="1" applyProtection="1"/>
    <xf numFmtId="3" fontId="8" fillId="21" borderId="12" xfId="0" applyNumberFormat="1" applyFont="1" applyFill="1" applyBorder="1" applyAlignment="1" applyProtection="1"/>
    <xf numFmtId="1" fontId="8" fillId="21" borderId="35" xfId="0" applyNumberFormat="1" applyFont="1" applyFill="1" applyBorder="1" applyAlignment="1" applyProtection="1">
      <alignment horizontal="center"/>
    </xf>
    <xf numFmtId="1" fontId="3" fillId="21" borderId="35" xfId="0" applyNumberFormat="1" applyFont="1" applyFill="1" applyBorder="1" applyAlignment="1" applyProtection="1">
      <alignment horizontal="left"/>
    </xf>
    <xf numFmtId="3" fontId="13" fillId="2" borderId="64" xfId="0" applyNumberFormat="1" applyFont="1" applyFill="1" applyBorder="1" applyAlignment="1" applyProtection="1">
      <alignment horizontal="right"/>
      <protection locked="0"/>
    </xf>
    <xf numFmtId="0" fontId="113" fillId="0" borderId="0" xfId="0" applyFont="1" applyFill="1" applyProtection="1"/>
    <xf numFmtId="0" fontId="113" fillId="0" borderId="0" xfId="0" applyFont="1" applyFill="1" applyBorder="1" applyProtection="1"/>
    <xf numFmtId="0" fontId="113" fillId="2" borderId="0" xfId="0" applyFont="1" applyFill="1" applyBorder="1" applyProtection="1"/>
    <xf numFmtId="3" fontId="113" fillId="2" borderId="0" xfId="0" applyNumberFormat="1" applyFont="1" applyFill="1" applyBorder="1" applyProtection="1"/>
    <xf numFmtId="0" fontId="24" fillId="21" borderId="5" xfId="0" applyFont="1" applyFill="1" applyBorder="1" applyProtection="1"/>
    <xf numFmtId="0" fontId="1" fillId="21" borderId="5" xfId="0" applyFont="1" applyFill="1" applyBorder="1" applyProtection="1"/>
    <xf numFmtId="3" fontId="122" fillId="21" borderId="5" xfId="0" applyNumberFormat="1" applyFont="1" applyFill="1" applyBorder="1" applyAlignment="1" applyProtection="1"/>
    <xf numFmtId="3" fontId="45" fillId="23" borderId="138" xfId="0" applyNumberFormat="1" applyFont="1" applyFill="1" applyBorder="1" applyProtection="1"/>
    <xf numFmtId="3" fontId="36" fillId="2" borderId="0" xfId="0" applyNumberFormat="1" applyFont="1" applyFill="1" applyAlignment="1" applyProtection="1">
      <alignment vertical="top" wrapText="1"/>
    </xf>
    <xf numFmtId="0" fontId="117" fillId="0" borderId="0" xfId="0" applyFont="1" applyFill="1" applyProtection="1"/>
    <xf numFmtId="0" fontId="3" fillId="21" borderId="25" xfId="5" applyFont="1" applyFill="1" applyBorder="1" applyProtection="1"/>
    <xf numFmtId="3" fontId="112" fillId="0" borderId="0" xfId="0" applyNumberFormat="1" applyFont="1" applyFill="1" applyBorder="1" applyAlignment="1" applyProtection="1">
      <alignment vertical="top"/>
    </xf>
    <xf numFmtId="3" fontId="2" fillId="0" borderId="18" xfId="0" applyNumberFormat="1" applyFont="1" applyFill="1" applyBorder="1" applyProtection="1">
      <protection locked="0"/>
    </xf>
    <xf numFmtId="3" fontId="9" fillId="0" borderId="0" xfId="0" applyNumberFormat="1" applyFont="1" applyFill="1" applyBorder="1" applyProtection="1">
      <protection locked="0"/>
    </xf>
    <xf numFmtId="3" fontId="2" fillId="0" borderId="0" xfId="0" applyNumberFormat="1" applyFont="1" applyFill="1" applyBorder="1" applyAlignment="1" applyProtection="1">
      <alignment horizontal="right"/>
      <protection locked="0"/>
    </xf>
    <xf numFmtId="49" fontId="3" fillId="21" borderId="209" xfId="0" applyNumberFormat="1" applyFont="1" applyFill="1" applyBorder="1" applyAlignment="1" applyProtection="1">
      <alignment horizontal="left"/>
    </xf>
    <xf numFmtId="0" fontId="51" fillId="2" borderId="168" xfId="0" applyFont="1" applyFill="1" applyBorder="1" applyProtection="1"/>
    <xf numFmtId="0" fontId="51" fillId="2" borderId="166" xfId="0" applyFont="1" applyFill="1" applyBorder="1" applyProtection="1"/>
    <xf numFmtId="3" fontId="2" fillId="2" borderId="43" xfId="0" applyNumberFormat="1" applyFont="1" applyFill="1" applyBorder="1" applyAlignment="1" applyProtection="1">
      <alignment horizontal="right"/>
      <protection locked="0"/>
    </xf>
    <xf numFmtId="0" fontId="0" fillId="2" borderId="57" xfId="0" applyFill="1" applyBorder="1" applyProtection="1"/>
    <xf numFmtId="0" fontId="2" fillId="0" borderId="0" xfId="0" applyFont="1" applyBorder="1" applyAlignment="1" applyProtection="1">
      <alignment wrapText="1"/>
      <protection locked="0"/>
    </xf>
    <xf numFmtId="0" fontId="51" fillId="2" borderId="1" xfId="0" applyFont="1" applyFill="1" applyBorder="1" applyProtection="1"/>
    <xf numFmtId="0" fontId="0" fillId="2" borderId="62" xfId="0" applyFill="1" applyBorder="1" applyProtection="1"/>
    <xf numFmtId="49" fontId="3" fillId="0" borderId="202" xfId="0" applyNumberFormat="1" applyFont="1" applyFill="1" applyBorder="1" applyAlignment="1" applyProtection="1">
      <alignment horizontal="center"/>
    </xf>
    <xf numFmtId="0" fontId="51" fillId="2" borderId="43" xfId="0" applyFont="1" applyFill="1" applyBorder="1" applyProtection="1"/>
    <xf numFmtId="3" fontId="2" fillId="9" borderId="85" xfId="0" applyNumberFormat="1" applyFont="1" applyFill="1" applyBorder="1" applyProtection="1"/>
    <xf numFmtId="3" fontId="13" fillId="2" borderId="35" xfId="0" applyNumberFormat="1" applyFont="1" applyFill="1" applyBorder="1" applyAlignment="1" applyProtection="1">
      <alignment horizontal="right"/>
      <protection locked="0"/>
    </xf>
    <xf numFmtId="3" fontId="13" fillId="2" borderId="40" xfId="0" applyNumberFormat="1" applyFont="1" applyFill="1" applyBorder="1" applyAlignment="1" applyProtection="1">
      <alignment horizontal="right"/>
      <protection locked="0"/>
    </xf>
    <xf numFmtId="0" fontId="3" fillId="21" borderId="133" xfId="0" applyFont="1" applyFill="1" applyBorder="1" applyAlignment="1" applyProtection="1">
      <alignment horizontal="center"/>
    </xf>
    <xf numFmtId="3" fontId="2" fillId="0" borderId="36" xfId="0" applyNumberFormat="1" applyFont="1" applyFill="1" applyBorder="1" applyProtection="1"/>
    <xf numFmtId="0" fontId="112" fillId="2" borderId="0" xfId="0" applyFont="1" applyFill="1" applyBorder="1" applyProtection="1"/>
    <xf numFmtId="167" fontId="5" fillId="21" borderId="147" xfId="0" applyNumberFormat="1" applyFont="1" applyFill="1" applyBorder="1" applyAlignment="1" applyProtection="1">
      <alignment horizontal="left"/>
    </xf>
    <xf numFmtId="3" fontId="13" fillId="2" borderId="107" xfId="0" applyNumberFormat="1" applyFont="1" applyFill="1" applyBorder="1" applyAlignment="1" applyProtection="1">
      <alignment horizontal="right"/>
      <protection locked="0"/>
    </xf>
    <xf numFmtId="167" fontId="5" fillId="21" borderId="95" xfId="0" applyNumberFormat="1" applyFont="1" applyFill="1" applyBorder="1" applyAlignment="1" applyProtection="1">
      <alignment horizontal="left"/>
    </xf>
    <xf numFmtId="167" fontId="3" fillId="21" borderId="56" xfId="0" applyNumberFormat="1" applyFont="1" applyFill="1" applyBorder="1" applyAlignment="1" applyProtection="1">
      <alignment horizontal="left"/>
    </xf>
    <xf numFmtId="0" fontId="3" fillId="21" borderId="34" xfId="0" applyNumberFormat="1" applyFont="1" applyFill="1" applyBorder="1" applyAlignment="1" applyProtection="1">
      <alignment horizontal="center"/>
    </xf>
    <xf numFmtId="49" fontId="3" fillId="21" borderId="35" xfId="0" applyNumberFormat="1" applyFont="1" applyFill="1" applyBorder="1" applyAlignment="1" applyProtection="1">
      <alignment horizontal="center" wrapText="1"/>
    </xf>
    <xf numFmtId="3" fontId="2" fillId="9" borderId="26" xfId="0" applyNumberFormat="1" applyFont="1" applyFill="1" applyBorder="1" applyAlignment="1" applyProtection="1"/>
    <xf numFmtId="1" fontId="123" fillId="21" borderId="90" xfId="0" applyNumberFormat="1" applyFont="1" applyFill="1" applyBorder="1" applyAlignment="1" applyProtection="1">
      <alignment horizontal="left" vertical="top" wrapText="1"/>
    </xf>
    <xf numFmtId="0" fontId="3" fillId="21" borderId="196" xfId="0" applyFont="1" applyFill="1" applyBorder="1" applyAlignment="1" applyProtection="1">
      <alignment wrapText="1"/>
    </xf>
    <xf numFmtId="0" fontId="3" fillId="21" borderId="204" xfId="0" applyFont="1" applyFill="1" applyBorder="1" applyAlignment="1" applyProtection="1">
      <alignment horizontal="left" wrapText="1"/>
    </xf>
    <xf numFmtId="0" fontId="125" fillId="21" borderId="150" xfId="0" applyFont="1" applyFill="1" applyBorder="1" applyProtection="1"/>
    <xf numFmtId="3" fontId="2" fillId="3" borderId="114" xfId="0" applyNumberFormat="1" applyFont="1" applyFill="1" applyBorder="1" applyProtection="1"/>
    <xf numFmtId="3" fontId="2" fillId="3" borderId="7" xfId="0" applyNumberFormat="1" applyFont="1" applyFill="1" applyBorder="1" applyProtection="1"/>
    <xf numFmtId="3" fontId="10" fillId="2" borderId="6" xfId="0" quotePrefix="1" applyNumberFormat="1" applyFont="1" applyFill="1" applyBorder="1" applyAlignment="1" applyProtection="1">
      <alignment horizontal="right"/>
      <protection locked="0"/>
    </xf>
    <xf numFmtId="3" fontId="10" fillId="0" borderId="6" xfId="0" quotePrefix="1" applyNumberFormat="1" applyFont="1" applyFill="1" applyBorder="1" applyAlignment="1" applyProtection="1">
      <alignment horizontal="right"/>
      <protection locked="0"/>
    </xf>
    <xf numFmtId="3" fontId="2" fillId="9" borderId="176" xfId="0" applyNumberFormat="1" applyFont="1" applyFill="1" applyBorder="1" applyAlignment="1" applyProtection="1"/>
    <xf numFmtId="3" fontId="2" fillId="9" borderId="91" xfId="0" applyNumberFormat="1" applyFont="1" applyFill="1" applyBorder="1" applyAlignment="1" applyProtection="1"/>
    <xf numFmtId="1" fontId="2" fillId="0" borderId="0" xfId="0" applyNumberFormat="1" applyFont="1" applyFill="1" applyBorder="1" applyAlignment="1" applyProtection="1">
      <alignment horizontal="left" vertical="top"/>
    </xf>
    <xf numFmtId="3" fontId="2" fillId="0" borderId="18" xfId="5" applyNumberFormat="1" applyFont="1" applyFill="1" applyBorder="1" applyAlignment="1" applyProtection="1">
      <alignment horizontal="right"/>
      <protection locked="0"/>
    </xf>
    <xf numFmtId="0" fontId="3" fillId="21" borderId="23" xfId="0" applyFont="1" applyFill="1" applyBorder="1" applyAlignment="1" applyProtection="1">
      <alignment horizontal="left" vertical="top" wrapText="1"/>
    </xf>
    <xf numFmtId="0" fontId="3" fillId="21" borderId="23" xfId="5" applyFont="1" applyFill="1" applyBorder="1" applyAlignment="1" applyProtection="1">
      <alignment horizontal="left" vertical="top" wrapText="1"/>
    </xf>
    <xf numFmtId="0" fontId="2" fillId="0" borderId="0" xfId="0" quotePrefix="1" applyFont="1" applyFill="1" applyBorder="1" applyAlignment="1" applyProtection="1">
      <alignment vertical="top"/>
    </xf>
    <xf numFmtId="49" fontId="3" fillId="21" borderId="0" xfId="5" applyNumberFormat="1" applyFont="1" applyFill="1" applyBorder="1" applyAlignment="1" applyProtection="1">
      <alignment horizontal="center"/>
    </xf>
    <xf numFmtId="0" fontId="3" fillId="21" borderId="36" xfId="5" applyFont="1" applyFill="1" applyBorder="1" applyAlignment="1" applyProtection="1">
      <alignment horizontal="left" vertical="top" wrapText="1"/>
    </xf>
    <xf numFmtId="0" fontId="5" fillId="21" borderId="15" xfId="5" applyFont="1" applyFill="1" applyBorder="1" applyProtection="1"/>
    <xf numFmtId="0" fontId="3" fillId="21" borderId="42" xfId="5" applyFont="1" applyFill="1" applyBorder="1" applyProtection="1"/>
    <xf numFmtId="3" fontId="2" fillId="3" borderId="63" xfId="5" applyNumberFormat="1" applyFont="1" applyFill="1" applyBorder="1" applyAlignment="1" applyProtection="1">
      <alignment horizontal="right"/>
    </xf>
    <xf numFmtId="0" fontId="36" fillId="2" borderId="0" xfId="5" applyFont="1" applyFill="1" applyBorder="1" applyAlignment="1" applyProtection="1">
      <alignment horizontal="left" vertical="top"/>
    </xf>
    <xf numFmtId="3" fontId="2" fillId="3" borderId="84" xfId="5" applyNumberFormat="1" applyFont="1" applyFill="1" applyBorder="1" applyAlignment="1" applyProtection="1">
      <alignment horizontal="right"/>
    </xf>
    <xf numFmtId="0" fontId="5" fillId="21" borderId="118" xfId="5" applyFont="1" applyFill="1" applyBorder="1" applyAlignment="1" applyProtection="1">
      <alignment horizontal="left"/>
    </xf>
    <xf numFmtId="0" fontId="2" fillId="0" borderId="0" xfId="5" applyFont="1" applyFill="1" applyBorder="1" applyAlignment="1" applyProtection="1">
      <alignment vertical="top"/>
    </xf>
    <xf numFmtId="0" fontId="3" fillId="21" borderId="15" xfId="5" applyFont="1" applyFill="1" applyBorder="1" applyProtection="1"/>
    <xf numFmtId="3" fontId="2" fillId="0" borderId="2" xfId="5" applyNumberFormat="1" applyFont="1" applyFill="1" applyBorder="1" applyAlignment="1" applyProtection="1">
      <alignment horizontal="right"/>
      <protection locked="0"/>
    </xf>
    <xf numFmtId="3" fontId="2" fillId="0" borderId="15" xfId="5" applyNumberFormat="1" applyFont="1" applyFill="1" applyBorder="1" applyAlignment="1" applyProtection="1">
      <alignment horizontal="right"/>
      <protection locked="0"/>
    </xf>
    <xf numFmtId="3" fontId="2" fillId="0" borderId="60" xfId="5" applyNumberFormat="1" applyFont="1" applyFill="1" applyBorder="1" applyAlignment="1" applyProtection="1">
      <alignment horizontal="right"/>
      <protection locked="0"/>
    </xf>
    <xf numFmtId="0" fontId="1" fillId="2" borderId="0" xfId="5" applyFont="1" applyFill="1" applyAlignment="1" applyProtection="1">
      <alignment vertical="top"/>
    </xf>
    <xf numFmtId="3" fontId="36" fillId="2" borderId="0" xfId="5" applyNumberFormat="1" applyFont="1" applyFill="1" applyAlignment="1" applyProtection="1">
      <alignment vertical="top"/>
    </xf>
    <xf numFmtId="0" fontId="68" fillId="2" borderId="0" xfId="5" applyFont="1" applyFill="1" applyAlignment="1" applyProtection="1">
      <alignment vertical="top"/>
    </xf>
    <xf numFmtId="0" fontId="24" fillId="2" borderId="0" xfId="5" applyFill="1" applyBorder="1" applyAlignment="1" applyProtection="1">
      <alignment horizontal="left" vertical="top"/>
    </xf>
    <xf numFmtId="0" fontId="24" fillId="2" borderId="0" xfId="5" applyFill="1" applyAlignment="1" applyProtection="1">
      <alignment vertical="top"/>
    </xf>
    <xf numFmtId="0" fontId="69" fillId="2" borderId="0" xfId="5" applyFont="1" applyFill="1" applyAlignment="1" applyProtection="1">
      <alignment vertical="top"/>
    </xf>
    <xf numFmtId="3" fontId="3" fillId="21" borderId="20" xfId="0" applyNumberFormat="1" applyFont="1" applyFill="1" applyBorder="1" applyAlignment="1" applyProtection="1">
      <alignment horizontal="center"/>
    </xf>
    <xf numFmtId="3" fontId="2" fillId="21" borderId="35" xfId="5" applyNumberFormat="1" applyFont="1" applyFill="1" applyBorder="1" applyProtection="1"/>
    <xf numFmtId="3" fontId="3" fillId="21" borderId="158" xfId="5" applyNumberFormat="1" applyFont="1" applyFill="1" applyBorder="1" applyProtection="1"/>
    <xf numFmtId="0" fontId="7" fillId="21" borderId="175" xfId="5" applyFont="1" applyFill="1" applyBorder="1" applyProtection="1"/>
    <xf numFmtId="3" fontId="2" fillId="21" borderId="5" xfId="5" applyNumberFormat="1" applyFont="1" applyFill="1" applyBorder="1" applyProtection="1"/>
    <xf numFmtId="3" fontId="42" fillId="21" borderId="39" xfId="5" applyNumberFormat="1" applyFont="1" applyFill="1" applyBorder="1" applyAlignment="1" applyProtection="1">
      <alignment horizontal="right"/>
    </xf>
    <xf numFmtId="169" fontId="41" fillId="21" borderId="150" xfId="5" applyNumberFormat="1" applyFont="1" applyFill="1" applyBorder="1" applyProtection="1"/>
    <xf numFmtId="169" fontId="41" fillId="21" borderId="190" xfId="5" applyNumberFormat="1" applyFont="1" applyFill="1" applyBorder="1" applyProtection="1"/>
    <xf numFmtId="0" fontId="3" fillId="21" borderId="156" xfId="5" applyFont="1" applyFill="1" applyBorder="1" applyProtection="1"/>
    <xf numFmtId="3" fontId="5" fillId="21" borderId="111" xfId="5" applyNumberFormat="1" applyFont="1" applyFill="1" applyBorder="1" applyAlignment="1" applyProtection="1">
      <alignment vertical="top"/>
    </xf>
    <xf numFmtId="3" fontId="3" fillId="21" borderId="0" xfId="5" applyNumberFormat="1" applyFont="1" applyFill="1" applyBorder="1" applyAlignment="1" applyProtection="1">
      <alignment vertical="top"/>
    </xf>
    <xf numFmtId="169" fontId="3" fillId="21" borderId="1" xfId="5" applyNumberFormat="1" applyFont="1" applyFill="1" applyBorder="1" applyProtection="1"/>
    <xf numFmtId="3" fontId="2" fillId="21" borderId="68" xfId="5" applyNumberFormat="1" applyFont="1" applyFill="1" applyBorder="1" applyProtection="1"/>
    <xf numFmtId="3" fontId="45" fillId="21" borderId="35" xfId="5" applyNumberFormat="1" applyFont="1" applyFill="1" applyBorder="1" applyProtection="1"/>
    <xf numFmtId="3" fontId="3" fillId="21" borderId="172" xfId="5" applyNumberFormat="1" applyFont="1" applyFill="1" applyBorder="1" applyAlignment="1" applyProtection="1">
      <alignment vertical="top" wrapText="1"/>
    </xf>
    <xf numFmtId="0" fontId="3" fillId="21" borderId="168" xfId="5" applyFont="1" applyFill="1" applyBorder="1" applyAlignment="1" applyProtection="1">
      <alignment vertical="top" wrapText="1"/>
    </xf>
    <xf numFmtId="3" fontId="3" fillId="21" borderId="158" xfId="5" applyNumberFormat="1" applyFont="1" applyFill="1" applyBorder="1" applyAlignment="1" applyProtection="1">
      <alignment vertical="center"/>
    </xf>
    <xf numFmtId="0" fontId="3" fillId="21" borderId="16" xfId="5" applyFont="1" applyFill="1" applyBorder="1" applyAlignment="1" applyProtection="1">
      <alignment horizontal="left" vertical="center"/>
    </xf>
    <xf numFmtId="0" fontId="3" fillId="21" borderId="16" xfId="5" applyFont="1" applyFill="1" applyBorder="1" applyAlignment="1" applyProtection="1">
      <alignment vertical="top"/>
    </xf>
    <xf numFmtId="3" fontId="2" fillId="21" borderId="15" xfId="5" applyNumberFormat="1" applyFont="1" applyFill="1" applyBorder="1" applyProtection="1"/>
    <xf numFmtId="3" fontId="2" fillId="21" borderId="13" xfId="5" applyNumberFormat="1" applyFont="1" applyFill="1" applyBorder="1" applyProtection="1"/>
    <xf numFmtId="0" fontId="3" fillId="21" borderId="189" xfId="0" applyFont="1" applyFill="1" applyBorder="1" applyAlignment="1" applyProtection="1"/>
    <xf numFmtId="3" fontId="3" fillId="21" borderId="156" xfId="0" applyNumberFormat="1" applyFont="1" applyFill="1" applyBorder="1" applyAlignment="1" applyProtection="1"/>
    <xf numFmtId="3" fontId="3" fillId="21" borderId="158" xfId="0" applyNumberFormat="1" applyFont="1" applyFill="1" applyBorder="1" applyAlignment="1" applyProtection="1"/>
    <xf numFmtId="0" fontId="0" fillId="2" borderId="0" xfId="0" applyFill="1" applyAlignment="1" applyProtection="1"/>
    <xf numFmtId="0" fontId="3" fillId="21" borderId="118" xfId="0" applyFont="1" applyFill="1" applyBorder="1" applyAlignment="1" applyProtection="1"/>
    <xf numFmtId="3" fontId="5" fillId="21" borderId="96" xfId="0" applyNumberFormat="1" applyFont="1" applyFill="1" applyBorder="1" applyAlignment="1" applyProtection="1"/>
    <xf numFmtId="3" fontId="2" fillId="9" borderId="5" xfId="0" applyNumberFormat="1" applyFont="1" applyFill="1" applyBorder="1" applyAlignment="1" applyProtection="1"/>
    <xf numFmtId="0" fontId="3" fillId="21" borderId="56" xfId="0" applyFont="1" applyFill="1" applyBorder="1" applyAlignment="1" applyProtection="1"/>
    <xf numFmtId="0" fontId="3" fillId="21" borderId="111" xfId="5" applyFont="1" applyFill="1" applyBorder="1" applyAlignment="1" applyProtection="1"/>
    <xf numFmtId="0" fontId="3" fillId="21" borderId="62" xfId="5" applyFont="1" applyFill="1" applyBorder="1" applyAlignment="1" applyProtection="1"/>
    <xf numFmtId="0" fontId="3" fillId="21" borderId="0" xfId="0" applyFont="1" applyFill="1" applyBorder="1" applyAlignment="1" applyProtection="1"/>
    <xf numFmtId="0" fontId="3" fillId="21" borderId="167" xfId="0" applyFont="1" applyFill="1" applyBorder="1" applyAlignment="1" applyProtection="1"/>
    <xf numFmtId="0" fontId="3" fillId="21" borderId="158" xfId="0" applyFont="1" applyFill="1" applyBorder="1" applyAlignment="1" applyProtection="1"/>
    <xf numFmtId="0" fontId="3" fillId="21" borderId="147" xfId="0" applyFont="1" applyFill="1" applyBorder="1" applyAlignment="1" applyProtection="1"/>
    <xf numFmtId="0" fontId="5" fillId="21" borderId="54" xfId="0" applyFont="1" applyFill="1" applyBorder="1" applyAlignment="1" applyProtection="1"/>
    <xf numFmtId="3" fontId="2" fillId="9" borderId="35" xfId="0" applyNumberFormat="1" applyFont="1" applyFill="1" applyBorder="1" applyAlignment="1" applyProtection="1"/>
    <xf numFmtId="3" fontId="2" fillId="9" borderId="136" xfId="0" applyNumberFormat="1" applyFont="1" applyFill="1" applyBorder="1" applyAlignment="1" applyProtection="1"/>
    <xf numFmtId="0" fontId="3" fillId="21" borderId="5" xfId="0" applyFont="1" applyFill="1" applyBorder="1" applyAlignment="1" applyProtection="1"/>
    <xf numFmtId="0" fontId="5" fillId="21" borderId="5" xfId="0" applyFont="1" applyFill="1" applyBorder="1" applyAlignment="1" applyProtection="1"/>
    <xf numFmtId="0" fontId="5" fillId="21" borderId="55" xfId="0" applyFont="1" applyFill="1" applyBorder="1" applyAlignment="1" applyProtection="1"/>
    <xf numFmtId="3" fontId="2" fillId="9" borderId="2" xfId="0" applyNumberFormat="1" applyFont="1" applyFill="1" applyBorder="1" applyAlignment="1" applyProtection="1"/>
    <xf numFmtId="3" fontId="2" fillId="9" borderId="54" xfId="0" applyNumberFormat="1" applyFont="1" applyFill="1" applyBorder="1" applyAlignment="1" applyProtection="1"/>
    <xf numFmtId="0" fontId="3" fillId="21" borderId="2" xfId="0" applyFont="1" applyFill="1" applyBorder="1" applyAlignment="1" applyProtection="1"/>
    <xf numFmtId="0" fontId="5" fillId="21" borderId="2" xfId="0" applyFont="1" applyFill="1" applyBorder="1" applyAlignment="1" applyProtection="1"/>
    <xf numFmtId="0" fontId="5" fillId="21" borderId="13" xfId="0" applyFont="1" applyFill="1" applyBorder="1" applyAlignment="1" applyProtection="1"/>
    <xf numFmtId="0" fontId="10" fillId="0" borderId="0" xfId="0" applyFont="1" applyFill="1" applyBorder="1" applyAlignment="1" applyProtection="1"/>
    <xf numFmtId="0" fontId="24" fillId="0" borderId="0" xfId="0" applyFont="1" applyFill="1" applyAlignment="1" applyProtection="1"/>
    <xf numFmtId="0" fontId="24" fillId="0" borderId="0" xfId="0" applyFont="1" applyFill="1" applyBorder="1" applyAlignment="1" applyProtection="1"/>
    <xf numFmtId="1" fontId="3" fillId="21" borderId="89" xfId="0" applyNumberFormat="1" applyFont="1" applyFill="1" applyBorder="1" applyAlignment="1" applyProtection="1">
      <alignment horizontal="center" vertical="top" wrapText="1"/>
    </xf>
    <xf numFmtId="3" fontId="3" fillId="21" borderId="158" xfId="0" applyNumberFormat="1" applyFont="1" applyFill="1" applyBorder="1" applyAlignment="1" applyProtection="1">
      <alignment vertical="top"/>
    </xf>
    <xf numFmtId="3" fontId="42" fillId="0" borderId="0" xfId="5" applyNumberFormat="1" applyFont="1" applyFill="1" applyBorder="1" applyAlignment="1" applyProtection="1">
      <alignment horizontal="right"/>
    </xf>
    <xf numFmtId="3" fontId="112" fillId="2" borderId="0" xfId="0" applyNumberFormat="1" applyFont="1" applyFill="1" applyProtection="1"/>
    <xf numFmtId="3" fontId="2" fillId="0" borderId="7" xfId="0" applyNumberFormat="1" applyFont="1" applyFill="1" applyBorder="1" applyAlignment="1" applyProtection="1">
      <alignment horizontal="right"/>
      <protection locked="0"/>
    </xf>
    <xf numFmtId="0" fontId="112" fillId="2" borderId="0" xfId="0" applyFont="1" applyFill="1" applyBorder="1" applyAlignment="1" applyProtection="1">
      <alignment horizontal="left"/>
    </xf>
    <xf numFmtId="0" fontId="112" fillId="2" borderId="0" xfId="0" applyFont="1" applyFill="1" applyBorder="1" applyAlignment="1" applyProtection="1"/>
    <xf numFmtId="3" fontId="42" fillId="0" borderId="124" xfId="5" applyNumberFormat="1" applyFont="1" applyFill="1" applyBorder="1" applyAlignment="1" applyProtection="1">
      <alignment horizontal="right"/>
    </xf>
    <xf numFmtId="49" fontId="3" fillId="21" borderId="130" xfId="0" applyNumberFormat="1" applyFont="1" applyFill="1" applyBorder="1" applyAlignment="1" applyProtection="1">
      <alignment horizontal="left"/>
    </xf>
    <xf numFmtId="49" fontId="3" fillId="21" borderId="170" xfId="0" applyNumberFormat="1" applyFont="1" applyFill="1" applyBorder="1" applyProtection="1"/>
    <xf numFmtId="3" fontId="10" fillId="28" borderId="160" xfId="0" applyNumberFormat="1" applyFont="1" applyFill="1" applyBorder="1" applyProtection="1"/>
    <xf numFmtId="3" fontId="10" fillId="28" borderId="68" xfId="0" applyNumberFormat="1" applyFont="1" applyFill="1" applyBorder="1" applyProtection="1"/>
    <xf numFmtId="3" fontId="10" fillId="28" borderId="69" xfId="0" applyNumberFormat="1" applyFont="1" applyFill="1" applyBorder="1" applyProtection="1"/>
    <xf numFmtId="1" fontId="3" fillId="21" borderId="211" xfId="0" applyNumberFormat="1" applyFont="1" applyFill="1" applyBorder="1" applyAlignment="1" applyProtection="1">
      <alignment horizontal="left"/>
    </xf>
    <xf numFmtId="1" fontId="3" fillId="21" borderId="211" xfId="0" applyNumberFormat="1" applyFont="1" applyFill="1" applyBorder="1" applyProtection="1"/>
    <xf numFmtId="1" fontId="2" fillId="21" borderId="212" xfId="0" applyNumberFormat="1" applyFont="1" applyFill="1" applyBorder="1" applyAlignment="1" applyProtection="1"/>
    <xf numFmtId="1" fontId="126" fillId="21" borderId="214" xfId="0" applyNumberFormat="1" applyFont="1" applyFill="1" applyBorder="1" applyProtection="1"/>
    <xf numFmtId="1" fontId="127" fillId="21" borderId="213" xfId="0" applyNumberFormat="1" applyFont="1" applyFill="1" applyBorder="1" applyAlignment="1" applyProtection="1"/>
    <xf numFmtId="1" fontId="126" fillId="21" borderId="215" xfId="0" applyNumberFormat="1" applyFont="1" applyFill="1" applyBorder="1" applyProtection="1"/>
    <xf numFmtId="1" fontId="126" fillId="21" borderId="216" xfId="0" applyNumberFormat="1" applyFont="1" applyFill="1" applyBorder="1" applyProtection="1"/>
    <xf numFmtId="1" fontId="127" fillId="21" borderId="178" xfId="0" applyNumberFormat="1" applyFont="1" applyFill="1" applyBorder="1" applyAlignment="1" applyProtection="1"/>
    <xf numFmtId="1" fontId="127" fillId="21" borderId="39" xfId="0" applyNumberFormat="1" applyFont="1" applyFill="1" applyBorder="1" applyAlignment="1" applyProtection="1"/>
    <xf numFmtId="1" fontId="127" fillId="21" borderId="59" xfId="0" applyNumberFormat="1" applyFont="1" applyFill="1" applyBorder="1" applyAlignment="1" applyProtection="1"/>
    <xf numFmtId="1" fontId="127" fillId="21" borderId="0" xfId="0" applyNumberFormat="1" applyFont="1" applyFill="1" applyBorder="1" applyAlignment="1" applyProtection="1"/>
    <xf numFmtId="0" fontId="119" fillId="21" borderId="39" xfId="0" applyNumberFormat="1" applyFont="1" applyFill="1" applyBorder="1" applyAlignment="1" applyProtection="1"/>
    <xf numFmtId="0" fontId="119" fillId="21" borderId="66" xfId="0" applyNumberFormat="1" applyFont="1" applyFill="1" applyBorder="1" applyAlignment="1" applyProtection="1"/>
    <xf numFmtId="0" fontId="119" fillId="21" borderId="178" xfId="0" applyNumberFormat="1" applyFont="1" applyFill="1" applyBorder="1" applyAlignment="1" applyProtection="1"/>
    <xf numFmtId="49" fontId="127" fillId="21" borderId="39" xfId="0" applyNumberFormat="1" applyFont="1" applyFill="1" applyBorder="1" applyAlignment="1" applyProtection="1"/>
    <xf numFmtId="0" fontId="119" fillId="21" borderId="59" xfId="0" applyNumberFormat="1" applyFont="1" applyFill="1" applyBorder="1" applyAlignment="1" applyProtection="1"/>
    <xf numFmtId="3" fontId="2" fillId="2" borderId="91" xfId="0" applyNumberFormat="1" applyFont="1" applyFill="1" applyBorder="1" applyAlignment="1" applyProtection="1">
      <alignment horizontal="right"/>
      <protection locked="0"/>
    </xf>
    <xf numFmtId="0" fontId="24" fillId="21" borderId="159" xfId="5" applyFont="1" applyFill="1" applyBorder="1" applyAlignment="1" applyProtection="1">
      <alignment horizontal="left" wrapText="1"/>
    </xf>
    <xf numFmtId="169" fontId="41" fillId="21" borderId="159" xfId="5" applyNumberFormat="1" applyFont="1" applyFill="1" applyBorder="1" applyProtection="1"/>
    <xf numFmtId="0" fontId="24" fillId="21" borderId="159" xfId="5" applyFill="1" applyBorder="1" applyProtection="1"/>
    <xf numFmtId="3" fontId="42" fillId="21" borderId="159" xfId="5" applyNumberFormat="1" applyFont="1" applyFill="1" applyBorder="1" applyProtection="1"/>
    <xf numFmtId="3" fontId="2" fillId="21" borderId="32" xfId="5" applyNumberFormat="1" applyFont="1" applyFill="1" applyBorder="1" applyAlignment="1" applyProtection="1">
      <alignment horizontal="right"/>
    </xf>
    <xf numFmtId="3" fontId="2" fillId="21" borderId="31" xfId="5" applyNumberFormat="1" applyFont="1" applyFill="1" applyBorder="1" applyAlignment="1" applyProtection="1">
      <alignment horizontal="right"/>
    </xf>
    <xf numFmtId="3" fontId="2" fillId="21" borderId="33" xfId="5" applyNumberFormat="1" applyFont="1" applyFill="1" applyBorder="1" applyAlignment="1" applyProtection="1">
      <alignment horizontal="right"/>
    </xf>
    <xf numFmtId="3" fontId="2" fillId="21" borderId="119" xfId="5" applyNumberFormat="1" applyFont="1" applyFill="1" applyBorder="1" applyAlignment="1" applyProtection="1">
      <alignment horizontal="right"/>
    </xf>
    <xf numFmtId="3" fontId="2" fillId="21" borderId="103" xfId="5" applyNumberFormat="1" applyFont="1" applyFill="1" applyBorder="1" applyAlignment="1" applyProtection="1">
      <alignment horizontal="right"/>
    </xf>
    <xf numFmtId="3" fontId="2" fillId="21" borderId="210" xfId="5" applyNumberFormat="1" applyFont="1" applyFill="1" applyBorder="1" applyAlignment="1" applyProtection="1">
      <alignment horizontal="right"/>
    </xf>
    <xf numFmtId="3" fontId="2" fillId="21" borderId="207" xfId="5" applyNumberFormat="1" applyFont="1" applyFill="1" applyBorder="1" applyAlignment="1" applyProtection="1">
      <alignment horizontal="right"/>
    </xf>
    <xf numFmtId="3" fontId="2" fillId="21" borderId="33" xfId="5" applyNumberFormat="1" applyFont="1" applyFill="1" applyBorder="1" applyProtection="1"/>
    <xf numFmtId="0" fontId="24" fillId="21" borderId="179" xfId="5" applyFill="1" applyBorder="1" applyProtection="1"/>
    <xf numFmtId="3" fontId="45" fillId="22" borderId="130" xfId="0" applyNumberFormat="1" applyFont="1" applyFill="1" applyBorder="1" applyProtection="1"/>
    <xf numFmtId="0" fontId="0" fillId="0" borderId="57" xfId="0" applyFill="1" applyBorder="1" applyProtection="1"/>
    <xf numFmtId="0" fontId="0" fillId="0" borderId="0" xfId="0" applyBorder="1" applyAlignment="1" applyProtection="1">
      <alignment wrapText="1"/>
      <protection locked="0"/>
    </xf>
    <xf numFmtId="3" fontId="2" fillId="0" borderId="19" xfId="0" applyNumberFormat="1" applyFont="1" applyFill="1" applyBorder="1" applyAlignment="1" applyProtection="1">
      <alignment horizontal="right"/>
      <protection locked="0"/>
    </xf>
    <xf numFmtId="3" fontId="3" fillId="21" borderId="56" xfId="0" applyNumberFormat="1" applyFont="1" applyFill="1" applyBorder="1" applyAlignment="1" applyProtection="1">
      <alignment horizontal="left" wrapText="1"/>
    </xf>
    <xf numFmtId="3" fontId="3" fillId="21" borderId="56" xfId="0" applyNumberFormat="1" applyFont="1" applyFill="1" applyBorder="1" applyAlignment="1" applyProtection="1">
      <alignment horizontal="left" vertical="top"/>
    </xf>
    <xf numFmtId="3" fontId="3" fillId="21" borderId="147" xfId="0" applyNumberFormat="1" applyFont="1" applyFill="1" applyBorder="1" applyAlignment="1" applyProtection="1">
      <alignment horizontal="left" vertical="top"/>
    </xf>
    <xf numFmtId="171" fontId="3" fillId="21" borderId="218" xfId="0" applyNumberFormat="1" applyFont="1" applyFill="1" applyBorder="1" applyAlignment="1" applyProtection="1">
      <alignment horizontal="left"/>
    </xf>
    <xf numFmtId="3" fontId="13" fillId="2" borderId="147" xfId="0" applyNumberFormat="1" applyFont="1" applyFill="1" applyBorder="1" applyAlignment="1" applyProtection="1">
      <alignment horizontal="right"/>
      <protection locked="0"/>
    </xf>
    <xf numFmtId="3" fontId="2" fillId="3" borderId="219" xfId="0" applyNumberFormat="1" applyFont="1" applyFill="1" applyBorder="1" applyAlignment="1" applyProtection="1">
      <alignment horizontal="right"/>
    </xf>
    <xf numFmtId="3" fontId="13" fillId="6" borderId="147" xfId="0" applyNumberFormat="1" applyFont="1" applyFill="1" applyBorder="1" applyAlignment="1" applyProtection="1">
      <alignment horizontal="right"/>
      <protection locked="0"/>
    </xf>
    <xf numFmtId="3" fontId="2" fillId="21" borderId="218" xfId="0" applyNumberFormat="1" applyFont="1" applyFill="1" applyBorder="1" applyAlignment="1" applyProtection="1">
      <alignment horizontal="right"/>
    </xf>
    <xf numFmtId="3" fontId="2" fillId="3" borderId="147" xfId="0" applyNumberFormat="1" applyFont="1" applyFill="1" applyBorder="1" applyAlignment="1" applyProtection="1">
      <alignment horizontal="right"/>
    </xf>
    <xf numFmtId="3" fontId="2" fillId="3" borderId="209" xfId="0" applyNumberFormat="1" applyFont="1" applyFill="1" applyBorder="1" applyAlignment="1" applyProtection="1">
      <alignment horizontal="right"/>
    </xf>
    <xf numFmtId="3" fontId="13" fillId="2" borderId="86" xfId="0" applyNumberFormat="1" applyFont="1" applyFill="1" applyBorder="1" applyAlignment="1" applyProtection="1">
      <alignment horizontal="right"/>
      <protection locked="0"/>
    </xf>
    <xf numFmtId="3" fontId="2" fillId="3" borderId="199" xfId="0" applyNumberFormat="1" applyFont="1" applyFill="1" applyBorder="1" applyAlignment="1" applyProtection="1">
      <alignment horizontal="right"/>
    </xf>
    <xf numFmtId="3" fontId="5" fillId="0" borderId="58" xfId="0" applyNumberFormat="1" applyFont="1" applyFill="1" applyBorder="1" applyAlignment="1" applyProtection="1">
      <alignment horizontal="left"/>
    </xf>
    <xf numFmtId="3" fontId="3" fillId="0" borderId="0" xfId="0" applyNumberFormat="1" applyFont="1" applyFill="1" applyBorder="1" applyAlignment="1" applyProtection="1">
      <alignment horizontal="left"/>
    </xf>
    <xf numFmtId="3" fontId="5" fillId="0" borderId="58" xfId="0" applyNumberFormat="1" applyFont="1" applyFill="1" applyBorder="1" applyAlignment="1" applyProtection="1">
      <alignment horizontal="left" vertical="top" wrapText="1"/>
    </xf>
    <xf numFmtId="3" fontId="3" fillId="0" borderId="0" xfId="0" applyNumberFormat="1" applyFont="1" applyFill="1" applyBorder="1" applyAlignment="1" applyProtection="1">
      <alignment horizontal="left" wrapText="1"/>
    </xf>
    <xf numFmtId="0" fontId="5" fillId="0" borderId="58" xfId="0" applyFont="1" applyFill="1" applyBorder="1" applyAlignment="1" applyProtection="1">
      <alignment horizontal="left"/>
    </xf>
    <xf numFmtId="3" fontId="3" fillId="0" borderId="0" xfId="0" applyNumberFormat="1" applyFont="1" applyFill="1" applyBorder="1" applyAlignment="1" applyProtection="1">
      <alignment horizontal="left" vertical="top"/>
    </xf>
    <xf numFmtId="3" fontId="3" fillId="0" borderId="58" xfId="0" applyNumberFormat="1" applyFont="1" applyFill="1" applyBorder="1" applyAlignment="1" applyProtection="1">
      <alignment horizontal="left" vertical="top" wrapText="1"/>
    </xf>
    <xf numFmtId="171" fontId="3" fillId="0" borderId="58" xfId="0" applyNumberFormat="1" applyFont="1" applyFill="1" applyBorder="1" applyAlignment="1" applyProtection="1">
      <alignment horizontal="left"/>
    </xf>
    <xf numFmtId="171" fontId="3" fillId="0" borderId="0" xfId="0" applyNumberFormat="1" applyFont="1" applyFill="1" applyBorder="1" applyAlignment="1" applyProtection="1">
      <alignment horizontal="left"/>
    </xf>
    <xf numFmtId="3" fontId="112" fillId="0" borderId="0" xfId="0" applyNumberFormat="1" applyFont="1" applyFill="1" applyBorder="1" applyAlignment="1" applyProtection="1">
      <alignment horizontal="right"/>
    </xf>
    <xf numFmtId="0" fontId="2" fillId="0" borderId="0" xfId="0" applyFont="1" applyBorder="1" applyAlignment="1" applyProtection="1"/>
    <xf numFmtId="0" fontId="0" fillId="0" borderId="0" xfId="0" applyBorder="1" applyAlignment="1">
      <alignment wrapText="1"/>
    </xf>
    <xf numFmtId="0" fontId="0" fillId="0" borderId="0" xfId="0" applyBorder="1" applyAlignment="1" applyProtection="1">
      <alignment vertical="top"/>
    </xf>
    <xf numFmtId="0" fontId="3" fillId="0" borderId="0" xfId="0" applyFont="1" applyBorder="1" applyAlignment="1" applyProtection="1"/>
    <xf numFmtId="49" fontId="3" fillId="21" borderId="91" xfId="0" applyNumberFormat="1" applyFont="1" applyFill="1" applyBorder="1" applyAlignment="1" applyProtection="1">
      <alignment horizontal="center"/>
    </xf>
    <xf numFmtId="49" fontId="3" fillId="21" borderId="177" xfId="0" applyNumberFormat="1" applyFont="1" applyFill="1" applyBorder="1" applyAlignment="1" applyProtection="1">
      <alignment horizontal="left"/>
    </xf>
    <xf numFmtId="0" fontId="2" fillId="21" borderId="110" xfId="0" applyFont="1" applyFill="1" applyBorder="1" applyProtection="1"/>
    <xf numFmtId="49" fontId="3" fillId="21" borderId="71" xfId="0" applyNumberFormat="1" applyFont="1" applyFill="1" applyBorder="1" applyAlignment="1" applyProtection="1">
      <alignment horizontal="left"/>
    </xf>
    <xf numFmtId="49" fontId="3" fillId="21" borderId="25" xfId="0" applyNumberFormat="1" applyFont="1" applyFill="1" applyBorder="1" applyAlignment="1" applyProtection="1">
      <alignment horizontal="center"/>
    </xf>
    <xf numFmtId="0" fontId="3" fillId="21" borderId="117" xfId="0" applyNumberFormat="1" applyFont="1" applyFill="1" applyBorder="1" applyAlignment="1" applyProtection="1">
      <alignment horizontal="center" vertical="top" wrapText="1"/>
    </xf>
    <xf numFmtId="0" fontId="112" fillId="0" borderId="58" xfId="0" applyNumberFormat="1" applyFont="1" applyFill="1" applyBorder="1" applyAlignment="1" applyProtection="1">
      <alignment horizontal="left"/>
    </xf>
    <xf numFmtId="0" fontId="2" fillId="21" borderId="98" xfId="0" applyFont="1" applyFill="1" applyBorder="1" applyAlignment="1" applyProtection="1">
      <alignment horizontal="left" vertical="top" wrapText="1"/>
    </xf>
    <xf numFmtId="0" fontId="36" fillId="0" borderId="0" xfId="0" applyFont="1" applyFill="1" applyAlignment="1" applyProtection="1"/>
    <xf numFmtId="0" fontId="3" fillId="21" borderId="111" xfId="5" applyFont="1" applyFill="1" applyBorder="1" applyAlignment="1" applyProtection="1">
      <alignment horizontal="left" vertical="top"/>
    </xf>
    <xf numFmtId="3" fontId="45" fillId="21" borderId="9" xfId="5" applyNumberFormat="1" applyFont="1" applyFill="1" applyBorder="1" applyAlignment="1" applyProtection="1">
      <alignment horizontal="right"/>
    </xf>
    <xf numFmtId="0" fontId="3" fillId="21" borderId="3" xfId="0" applyFont="1" applyFill="1" applyBorder="1" applyAlignment="1" applyProtection="1">
      <alignment vertical="top" wrapText="1"/>
    </xf>
    <xf numFmtId="3" fontId="2" fillId="2" borderId="220" xfId="0" applyNumberFormat="1" applyFont="1" applyFill="1" applyBorder="1" applyProtection="1">
      <protection locked="0"/>
    </xf>
    <xf numFmtId="3" fontId="2" fillId="2" borderId="110" xfId="0" applyNumberFormat="1" applyFont="1" applyFill="1" applyBorder="1" applyProtection="1">
      <protection locked="0"/>
    </xf>
    <xf numFmtId="3" fontId="2" fillId="0" borderId="34" xfId="0" applyNumberFormat="1" applyFont="1" applyFill="1" applyBorder="1" applyProtection="1">
      <protection locked="0"/>
    </xf>
    <xf numFmtId="3" fontId="2" fillId="0" borderId="114" xfId="0" applyNumberFormat="1" applyFont="1" applyFill="1" applyBorder="1" applyProtection="1">
      <protection locked="0"/>
    </xf>
    <xf numFmtId="3" fontId="13" fillId="0" borderId="22"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21" xfId="0" applyNumberFormat="1" applyFont="1" applyFill="1" applyBorder="1" applyAlignment="1" applyProtection="1">
      <alignment horizontal="right"/>
      <protection locked="0"/>
    </xf>
    <xf numFmtId="3" fontId="13" fillId="0" borderId="2" xfId="0" applyNumberFormat="1" applyFont="1" applyFill="1" applyBorder="1" applyAlignment="1" applyProtection="1">
      <alignment horizontal="right"/>
      <protection locked="0"/>
    </xf>
    <xf numFmtId="3" fontId="13" fillId="28" borderId="29" xfId="0" applyNumberFormat="1" applyFont="1" applyFill="1" applyBorder="1" applyAlignment="1" applyProtection="1">
      <alignment horizontal="right"/>
    </xf>
    <xf numFmtId="3" fontId="2" fillId="21" borderId="94" xfId="0" applyNumberFormat="1" applyFont="1" applyFill="1" applyBorder="1" applyAlignment="1" applyProtection="1">
      <alignment horizontal="right"/>
    </xf>
    <xf numFmtId="0" fontId="112" fillId="0" borderId="0" xfId="0" applyNumberFormat="1" applyFont="1" applyFill="1" applyBorder="1" applyAlignment="1" applyProtection="1">
      <alignment horizontal="left"/>
    </xf>
    <xf numFmtId="3" fontId="2" fillId="3" borderId="85" xfId="0" applyNumberFormat="1" applyFont="1" applyFill="1" applyBorder="1" applyAlignment="1" applyProtection="1">
      <alignment horizontal="right"/>
    </xf>
    <xf numFmtId="0" fontId="24" fillId="0" borderId="0" xfId="0" quotePrefix="1" applyFont="1" applyBorder="1" applyAlignment="1" applyProtection="1">
      <alignment vertical="top" wrapText="1"/>
    </xf>
    <xf numFmtId="0" fontId="3" fillId="0" borderId="0" xfId="0" applyFont="1" applyAlignment="1" applyProtection="1"/>
    <xf numFmtId="0" fontId="2" fillId="0" borderId="0" xfId="0" applyFont="1" applyBorder="1" applyAlignment="1" applyProtection="1">
      <alignment wrapText="1"/>
    </xf>
    <xf numFmtId="3" fontId="3" fillId="21" borderId="20" xfId="5" applyNumberFormat="1" applyFont="1" applyFill="1" applyBorder="1" applyAlignment="1" applyProtection="1">
      <alignment horizontal="center"/>
    </xf>
    <xf numFmtId="3" fontId="126" fillId="22" borderId="42" xfId="0" applyNumberFormat="1" applyFont="1" applyFill="1" applyBorder="1" applyAlignment="1" applyProtection="1">
      <alignment horizontal="right"/>
    </xf>
    <xf numFmtId="3" fontId="2" fillId="33" borderId="113" xfId="5" applyNumberFormat="1" applyFont="1" applyFill="1" applyBorder="1" applyProtection="1"/>
    <xf numFmtId="3" fontId="2" fillId="33" borderId="5" xfId="5" applyNumberFormat="1" applyFont="1" applyFill="1" applyBorder="1" applyAlignment="1" applyProtection="1">
      <alignment horizontal="right"/>
    </xf>
    <xf numFmtId="3" fontId="2" fillId="33" borderId="70" xfId="5" applyNumberFormat="1" applyFont="1" applyFill="1" applyBorder="1" applyAlignment="1" applyProtection="1">
      <alignment horizontal="right"/>
    </xf>
    <xf numFmtId="3" fontId="2" fillId="33" borderId="25" xfId="5" applyNumberFormat="1" applyFont="1" applyFill="1" applyBorder="1" applyAlignment="1" applyProtection="1">
      <alignment horizontal="right"/>
    </xf>
    <xf numFmtId="3" fontId="112" fillId="21" borderId="14" xfId="0" applyNumberFormat="1" applyFont="1" applyFill="1" applyBorder="1" applyProtection="1"/>
    <xf numFmtId="3" fontId="114" fillId="21" borderId="9" xfId="0" applyNumberFormat="1" applyFont="1" applyFill="1" applyBorder="1" applyProtection="1"/>
    <xf numFmtId="3" fontId="115" fillId="21" borderId="9" xfId="0" applyNumberFormat="1" applyFont="1" applyFill="1" applyBorder="1" applyProtection="1"/>
    <xf numFmtId="3" fontId="115" fillId="21" borderId="5" xfId="0" applyNumberFormat="1" applyFont="1" applyFill="1" applyBorder="1" applyProtection="1"/>
    <xf numFmtId="0" fontId="112" fillId="0" borderId="0" xfId="0" applyNumberFormat="1" applyFont="1" applyFill="1" applyBorder="1" applyAlignment="1" applyProtection="1"/>
    <xf numFmtId="0" fontId="0" fillId="0" borderId="0" xfId="0" applyFill="1" applyBorder="1" applyAlignment="1" applyProtection="1">
      <alignment vertical="top" wrapText="1"/>
    </xf>
    <xf numFmtId="3" fontId="3" fillId="21" borderId="15" xfId="5" applyNumberFormat="1" applyFont="1" applyFill="1" applyBorder="1" applyAlignment="1" applyProtection="1">
      <alignment vertical="top" wrapText="1"/>
    </xf>
    <xf numFmtId="3" fontId="3" fillId="21" borderId="158" xfId="5" applyNumberFormat="1" applyFont="1" applyFill="1" applyBorder="1" applyAlignment="1" applyProtection="1">
      <alignment vertical="center" wrapText="1"/>
    </xf>
    <xf numFmtId="49" fontId="3" fillId="21" borderId="70" xfId="0" applyNumberFormat="1" applyFont="1" applyFill="1" applyBorder="1" applyAlignment="1" applyProtection="1">
      <alignment horizontal="center"/>
    </xf>
    <xf numFmtId="167" fontId="5" fillId="21" borderId="88" xfId="0" applyNumberFormat="1" applyFont="1" applyFill="1" applyBorder="1" applyAlignment="1" applyProtection="1">
      <alignment horizontal="left"/>
    </xf>
    <xf numFmtId="167" fontId="3" fillId="21" borderId="60" xfId="0" applyNumberFormat="1" applyFont="1" applyFill="1" applyBorder="1" applyAlignment="1" applyProtection="1">
      <alignment horizontal="left"/>
    </xf>
    <xf numFmtId="0" fontId="5" fillId="21" borderId="88" xfId="0" applyFont="1" applyFill="1" applyBorder="1" applyAlignment="1" applyProtection="1">
      <alignment horizontal="left"/>
    </xf>
    <xf numFmtId="0" fontId="124" fillId="21" borderId="101" xfId="0" applyFont="1" applyFill="1" applyBorder="1" applyAlignment="1" applyProtection="1">
      <alignment vertical="top" wrapText="1"/>
    </xf>
    <xf numFmtId="0" fontId="124" fillId="21" borderId="88" xfId="0" applyFont="1" applyFill="1" applyBorder="1" applyAlignment="1" applyProtection="1">
      <alignment vertical="top" wrapText="1"/>
    </xf>
    <xf numFmtId="49" fontId="3" fillId="21" borderId="22" xfId="5" applyNumberFormat="1" applyFont="1" applyFill="1" applyBorder="1" applyAlignment="1" applyProtection="1">
      <alignment horizontal="center"/>
    </xf>
    <xf numFmtId="0" fontId="5" fillId="21" borderId="84" xfId="5" applyFont="1" applyFill="1" applyBorder="1" applyProtection="1"/>
    <xf numFmtId="3" fontId="5" fillId="21" borderId="118" xfId="5" applyNumberFormat="1" applyFont="1" applyFill="1" applyBorder="1" applyAlignment="1" applyProtection="1">
      <alignment horizontal="left" vertical="top" wrapText="1"/>
    </xf>
    <xf numFmtId="3" fontId="5" fillId="21" borderId="88" xfId="5" applyNumberFormat="1" applyFont="1" applyFill="1" applyBorder="1" applyAlignment="1" applyProtection="1">
      <alignment horizontal="left" vertical="top" wrapText="1"/>
    </xf>
    <xf numFmtId="3" fontId="5" fillId="21" borderId="60" xfId="5" applyNumberFormat="1" applyFont="1" applyFill="1" applyBorder="1" applyAlignment="1" applyProtection="1">
      <alignment horizontal="left"/>
    </xf>
    <xf numFmtId="3" fontId="5" fillId="21" borderId="60" xfId="5" quotePrefix="1" applyNumberFormat="1" applyFont="1" applyFill="1" applyBorder="1" applyAlignment="1" applyProtection="1">
      <alignment horizontal="left" vertical="top"/>
    </xf>
    <xf numFmtId="0" fontId="3" fillId="21" borderId="42" xfId="5" applyFont="1" applyFill="1" applyBorder="1" applyAlignment="1" applyProtection="1">
      <alignment horizontal="center" wrapText="1"/>
    </xf>
    <xf numFmtId="3" fontId="3" fillId="21" borderId="90" xfId="5" applyNumberFormat="1" applyFont="1" applyFill="1" applyBorder="1" applyAlignment="1" applyProtection="1">
      <alignment horizontal="center" wrapText="1"/>
    </xf>
    <xf numFmtId="3" fontId="5" fillId="21" borderId="189" xfId="5" applyNumberFormat="1" applyFont="1" applyFill="1" applyBorder="1" applyProtection="1"/>
    <xf numFmtId="3" fontId="5" fillId="21" borderId="0" xfId="5" applyNumberFormat="1" applyFont="1" applyFill="1" applyBorder="1" applyAlignment="1" applyProtection="1">
      <alignment vertical="center"/>
    </xf>
    <xf numFmtId="3" fontId="3" fillId="21" borderId="189" xfId="0" applyNumberFormat="1" applyFont="1" applyFill="1" applyBorder="1" applyAlignment="1" applyProtection="1"/>
    <xf numFmtId="49" fontId="3" fillId="21" borderId="2" xfId="0" applyNumberFormat="1" applyFont="1" applyFill="1" applyBorder="1" applyAlignment="1" applyProtection="1">
      <alignment horizontal="left" vertical="top" wrapText="1"/>
    </xf>
    <xf numFmtId="3" fontId="2" fillId="0" borderId="124" xfId="0" applyNumberFormat="1" applyFont="1" applyFill="1" applyBorder="1" applyAlignment="1" applyProtection="1">
      <alignment horizontal="right"/>
      <protection locked="0"/>
    </xf>
    <xf numFmtId="49" fontId="3" fillId="0" borderId="124" xfId="0" applyNumberFormat="1" applyFont="1" applyFill="1" applyBorder="1" applyAlignment="1" applyProtection="1">
      <alignment horizontal="center"/>
    </xf>
    <xf numFmtId="0" fontId="3" fillId="0" borderId="124" xfId="0" applyFont="1" applyFill="1" applyBorder="1" applyProtection="1"/>
    <xf numFmtId="0" fontId="1" fillId="0" borderId="124" xfId="0" applyFont="1" applyFill="1" applyBorder="1" applyProtection="1"/>
    <xf numFmtId="3" fontId="5" fillId="21" borderId="217" xfId="5" applyNumberFormat="1" applyFont="1" applyFill="1" applyBorder="1" applyAlignment="1" applyProtection="1">
      <alignment horizontal="left" vertical="center" wrapText="1"/>
    </xf>
    <xf numFmtId="0" fontId="130" fillId="21" borderId="2" xfId="5" applyFont="1" applyFill="1" applyBorder="1" applyAlignment="1" applyProtection="1">
      <alignment horizontal="left"/>
    </xf>
    <xf numFmtId="49" fontId="101" fillId="21" borderId="22" xfId="0" applyNumberFormat="1" applyFont="1" applyFill="1" applyBorder="1" applyAlignment="1" applyProtection="1">
      <alignment horizontal="center"/>
    </xf>
    <xf numFmtId="0" fontId="101" fillId="21" borderId="24" xfId="0" applyFont="1" applyFill="1" applyBorder="1" applyAlignment="1" applyProtection="1">
      <alignment horizontal="center"/>
    </xf>
    <xf numFmtId="49" fontId="130" fillId="21" borderId="22" xfId="5" applyNumberFormat="1" applyFont="1" applyFill="1" applyBorder="1" applyAlignment="1" applyProtection="1">
      <alignment horizontal="center"/>
    </xf>
    <xf numFmtId="49" fontId="130" fillId="21" borderId="24" xfId="5" applyNumberFormat="1" applyFont="1" applyFill="1" applyBorder="1" applyAlignment="1" applyProtection="1">
      <alignment horizontal="center"/>
    </xf>
    <xf numFmtId="49" fontId="130" fillId="21" borderId="142" xfId="0" applyNumberFormat="1" applyFont="1" applyFill="1" applyBorder="1" applyAlignment="1" applyProtection="1">
      <alignment horizontal="center"/>
    </xf>
    <xf numFmtId="49" fontId="130" fillId="21" borderId="146" xfId="5" applyNumberFormat="1" applyFont="1" applyFill="1" applyBorder="1" applyAlignment="1" applyProtection="1">
      <alignment horizontal="center"/>
    </xf>
    <xf numFmtId="0" fontId="131" fillId="21" borderId="9" xfId="0" applyFont="1" applyFill="1" applyBorder="1" applyAlignment="1" applyProtection="1">
      <alignment horizontal="left"/>
    </xf>
    <xf numFmtId="3" fontId="2" fillId="22" borderId="20" xfId="0" applyNumberFormat="1" applyFont="1" applyFill="1" applyBorder="1" applyProtection="1"/>
    <xf numFmtId="3" fontId="2" fillId="9" borderId="179" xfId="0" applyNumberFormat="1" applyFont="1" applyFill="1" applyBorder="1" applyProtection="1"/>
    <xf numFmtId="3" fontId="2" fillId="21" borderId="32" xfId="0" applyNumberFormat="1" applyFont="1" applyFill="1" applyBorder="1" applyAlignment="1" applyProtection="1">
      <alignment horizontal="right"/>
    </xf>
    <xf numFmtId="3" fontId="2" fillId="0" borderId="19" xfId="0" applyNumberFormat="1" applyFont="1" applyFill="1" applyBorder="1" applyProtection="1">
      <protection locked="0"/>
    </xf>
    <xf numFmtId="3" fontId="2" fillId="0" borderId="26" xfId="0" applyNumberFormat="1" applyFont="1" applyFill="1" applyBorder="1" applyProtection="1">
      <protection locked="0"/>
    </xf>
    <xf numFmtId="0" fontId="63" fillId="21" borderId="27" xfId="0" applyFont="1" applyFill="1" applyBorder="1" applyAlignment="1">
      <alignment horizontal="right" wrapText="1"/>
    </xf>
    <xf numFmtId="0" fontId="119" fillId="21" borderId="27" xfId="0" applyFont="1" applyFill="1" applyBorder="1" applyAlignment="1" applyProtection="1"/>
    <xf numFmtId="0" fontId="0" fillId="21" borderId="0" xfId="0" applyFill="1" applyAlignment="1"/>
    <xf numFmtId="0" fontId="130" fillId="21" borderId="0" xfId="0" applyFont="1" applyFill="1" applyAlignment="1">
      <alignment wrapText="1"/>
    </xf>
    <xf numFmtId="0" fontId="130" fillId="21" borderId="213" xfId="0" applyFont="1" applyFill="1" applyBorder="1" applyAlignment="1">
      <alignment wrapText="1"/>
    </xf>
    <xf numFmtId="0" fontId="132" fillId="21" borderId="0" xfId="0" applyFont="1" applyFill="1" applyAlignment="1">
      <alignment vertical="top" wrapText="1"/>
    </xf>
    <xf numFmtId="0" fontId="132" fillId="21" borderId="0" xfId="0" applyFont="1" applyFill="1" applyAlignment="1">
      <alignment wrapText="1"/>
    </xf>
    <xf numFmtId="0" fontId="131" fillId="21" borderId="0" xfId="0" applyFont="1" applyFill="1" applyAlignment="1">
      <alignment wrapText="1"/>
    </xf>
    <xf numFmtId="0" fontId="112" fillId="21" borderId="0" xfId="0" applyFont="1" applyFill="1" applyBorder="1" applyAlignment="1" applyProtection="1">
      <alignment wrapText="1"/>
    </xf>
    <xf numFmtId="0" fontId="0" fillId="21" borderId="0" xfId="0" applyFill="1" applyAlignment="1">
      <alignment wrapText="1"/>
    </xf>
    <xf numFmtId="0" fontId="0" fillId="21" borderId="0" xfId="0" applyFill="1" applyAlignment="1">
      <alignment horizontal="left" vertical="top" wrapText="1"/>
    </xf>
    <xf numFmtId="0" fontId="130" fillId="21" borderId="39" xfId="0" applyFont="1" applyFill="1" applyBorder="1" applyAlignment="1">
      <alignment wrapText="1"/>
    </xf>
    <xf numFmtId="0" fontId="7" fillId="21" borderId="0" xfId="0" applyFont="1" applyFill="1" applyAlignment="1">
      <alignment wrapText="1"/>
    </xf>
    <xf numFmtId="0" fontId="36" fillId="0" borderId="0" xfId="0" quotePrefix="1" applyFont="1" applyFill="1" applyProtection="1"/>
    <xf numFmtId="0" fontId="100" fillId="0" borderId="0" xfId="0" applyFont="1" applyFill="1" applyAlignment="1" applyProtection="1">
      <alignment wrapText="1"/>
    </xf>
    <xf numFmtId="0" fontId="113" fillId="0" borderId="0" xfId="0" applyFont="1" applyFill="1" applyAlignment="1" applyProtection="1">
      <alignment vertical="top" wrapText="1"/>
    </xf>
    <xf numFmtId="1" fontId="112" fillId="0" borderId="58" xfId="0" applyNumberFormat="1" applyFont="1" applyFill="1" applyBorder="1" applyAlignment="1" applyProtection="1">
      <alignment horizontal="left"/>
    </xf>
    <xf numFmtId="0" fontId="112" fillId="0" borderId="0" xfId="0" applyNumberFormat="1" applyFont="1" applyFill="1" applyBorder="1" applyAlignment="1" applyProtection="1">
      <alignment horizontal="left" wrapText="1"/>
    </xf>
    <xf numFmtId="0" fontId="128" fillId="0" borderId="0" xfId="0" applyFont="1" applyFill="1" applyBorder="1" applyProtection="1"/>
    <xf numFmtId="3" fontId="36" fillId="0" borderId="56" xfId="5" quotePrefix="1" applyNumberFormat="1" applyFont="1" applyFill="1" applyBorder="1" applyAlignment="1" applyProtection="1">
      <alignment horizontal="left"/>
    </xf>
    <xf numFmtId="3" fontId="129" fillId="0" borderId="73" xfId="5" quotePrefix="1" applyNumberFormat="1" applyFont="1" applyFill="1" applyBorder="1" applyAlignment="1" applyProtection="1">
      <alignment horizontal="left"/>
    </xf>
    <xf numFmtId="3" fontId="129" fillId="0" borderId="75" xfId="5" quotePrefix="1" applyNumberFormat="1" applyFont="1" applyFill="1" applyBorder="1" applyAlignment="1" applyProtection="1">
      <alignment horizontal="left"/>
    </xf>
    <xf numFmtId="0" fontId="50" fillId="0" borderId="75" xfId="5" applyFont="1" applyFill="1" applyBorder="1" applyProtection="1"/>
    <xf numFmtId="0" fontId="50" fillId="0" borderId="123" xfId="5" applyFont="1" applyFill="1" applyBorder="1" applyProtection="1"/>
    <xf numFmtId="3" fontId="36" fillId="0" borderId="73" xfId="5" quotePrefix="1" applyNumberFormat="1" applyFont="1" applyFill="1" applyBorder="1" applyAlignment="1" applyProtection="1">
      <alignment horizontal="left"/>
    </xf>
    <xf numFmtId="0" fontId="38" fillId="0" borderId="75" xfId="5" applyFont="1" applyFill="1" applyBorder="1" applyProtection="1"/>
    <xf numFmtId="0" fontId="38" fillId="0" borderId="73" xfId="5" applyFont="1" applyFill="1" applyBorder="1" applyProtection="1"/>
    <xf numFmtId="3" fontId="36" fillId="0" borderId="77" xfId="5" quotePrefix="1" applyNumberFormat="1" applyFont="1" applyFill="1" applyBorder="1" applyAlignment="1" applyProtection="1">
      <alignment horizontal="left"/>
    </xf>
    <xf numFmtId="0" fontId="112" fillId="0" borderId="0" xfId="0" applyFont="1" applyFill="1" applyAlignment="1" applyProtection="1"/>
    <xf numFmtId="49" fontId="130" fillId="21" borderId="7" xfId="0" applyNumberFormat="1" applyFont="1" applyFill="1" applyBorder="1" applyAlignment="1" applyProtection="1">
      <alignment horizontal="center"/>
    </xf>
    <xf numFmtId="0" fontId="113" fillId="0" borderId="0" xfId="0" applyFont="1" applyFill="1" applyAlignment="1" applyProtection="1">
      <alignment horizontal="right" vertical="top" wrapText="1"/>
    </xf>
    <xf numFmtId="3" fontId="2" fillId="0" borderId="32" xfId="0" applyNumberFormat="1" applyFont="1" applyFill="1" applyBorder="1" applyProtection="1">
      <protection locked="0"/>
    </xf>
    <xf numFmtId="49" fontId="3" fillId="21" borderId="42" xfId="0" applyNumberFormat="1" applyFont="1" applyFill="1" applyBorder="1" applyAlignment="1" applyProtection="1">
      <alignment horizontal="center"/>
    </xf>
    <xf numFmtId="49" fontId="130" fillId="21" borderId="2" xfId="0" applyNumberFormat="1" applyFont="1" applyFill="1" applyBorder="1" applyAlignment="1" applyProtection="1">
      <alignment horizontal="center" vertical="top" wrapText="1"/>
    </xf>
    <xf numFmtId="0" fontId="3" fillId="21" borderId="60" xfId="5" applyFont="1" applyFill="1" applyBorder="1" applyAlignment="1" applyProtection="1">
      <alignment horizontal="left" wrapText="1"/>
    </xf>
    <xf numFmtId="0" fontId="137" fillId="0" borderId="0" xfId="0" applyFont="1" applyFill="1" applyBorder="1" applyAlignment="1" applyProtection="1">
      <alignment horizontal="left" vertical="top"/>
    </xf>
    <xf numFmtId="0" fontId="0" fillId="0" borderId="57" xfId="0" applyFill="1" applyBorder="1" applyAlignment="1"/>
    <xf numFmtId="0" fontId="0" fillId="0" borderId="0" xfId="0" applyFill="1" applyAlignment="1"/>
    <xf numFmtId="0" fontId="128" fillId="2" borderId="0" xfId="0" applyFont="1" applyFill="1" applyProtection="1"/>
    <xf numFmtId="0" fontId="139" fillId="0" borderId="0" xfId="0" applyFont="1" applyFill="1" applyAlignment="1">
      <alignment wrapText="1"/>
    </xf>
    <xf numFmtId="0" fontId="0" fillId="0" borderId="0" xfId="0" applyAlignment="1">
      <alignment wrapText="1"/>
    </xf>
    <xf numFmtId="0" fontId="9" fillId="0" borderId="0" xfId="0" applyFont="1" applyAlignment="1">
      <alignment wrapText="1"/>
    </xf>
    <xf numFmtId="3" fontId="112" fillId="0" borderId="0" xfId="0" applyNumberFormat="1" applyFont="1" applyFill="1" applyBorder="1" applyProtection="1"/>
    <xf numFmtId="0" fontId="36" fillId="0" borderId="0" xfId="0" applyFont="1" applyFill="1" applyAlignment="1" applyProtection="1">
      <alignment horizontal="left" vertical="top"/>
    </xf>
    <xf numFmtId="0" fontId="113" fillId="0" borderId="0" xfId="0" applyFont="1" applyFill="1" applyAlignment="1" applyProtection="1">
      <alignment horizontal="right"/>
    </xf>
    <xf numFmtId="0" fontId="113" fillId="0" borderId="0" xfId="0" applyFont="1" applyFill="1" applyAlignment="1" applyProtection="1">
      <alignment horizontal="left" vertical="top" wrapText="1"/>
    </xf>
    <xf numFmtId="3" fontId="5" fillId="21" borderId="15" xfId="5" applyNumberFormat="1" applyFont="1" applyFill="1" applyBorder="1" applyAlignment="1" applyProtection="1">
      <alignment horizontal="left"/>
    </xf>
    <xf numFmtId="3" fontId="5" fillId="21" borderId="15" xfId="5" applyNumberFormat="1" applyFont="1" applyFill="1" applyBorder="1" applyAlignment="1" applyProtection="1">
      <alignment horizontal="left" vertical="center"/>
    </xf>
    <xf numFmtId="3" fontId="131" fillId="21" borderId="15" xfId="5" applyNumberFormat="1" applyFont="1" applyFill="1" applyBorder="1" applyAlignment="1" applyProtection="1">
      <alignment horizontal="left" vertical="top" wrapText="1"/>
    </xf>
    <xf numFmtId="0" fontId="112" fillId="0" borderId="0" xfId="0" applyFont="1" applyFill="1" applyBorder="1" applyAlignment="1" applyProtection="1">
      <alignment vertical="top"/>
    </xf>
    <xf numFmtId="0" fontId="128" fillId="0" borderId="0" xfId="0" applyFont="1" applyFill="1" applyBorder="1" applyAlignment="1" applyProtection="1">
      <alignment vertical="top"/>
    </xf>
    <xf numFmtId="0" fontId="139" fillId="0" borderId="0" xfId="0" applyFont="1" applyAlignment="1">
      <alignment wrapText="1"/>
    </xf>
    <xf numFmtId="3" fontId="140" fillId="0" borderId="0" xfId="0" applyNumberFormat="1" applyFont="1" applyFill="1" applyBorder="1" applyProtection="1"/>
    <xf numFmtId="0" fontId="0" fillId="0" borderId="0" xfId="0" applyFill="1" applyBorder="1" applyAlignment="1">
      <alignment horizontal="left" wrapText="1"/>
    </xf>
    <xf numFmtId="3" fontId="2" fillId="34" borderId="5" xfId="0" applyNumberFormat="1" applyFont="1" applyFill="1" applyBorder="1" applyProtection="1">
      <protection locked="0"/>
    </xf>
    <xf numFmtId="3" fontId="2" fillId="34" borderId="19" xfId="0" applyNumberFormat="1" applyFont="1" applyFill="1" applyBorder="1" applyProtection="1">
      <protection locked="0"/>
    </xf>
    <xf numFmtId="1" fontId="3" fillId="21" borderId="2" xfId="0" applyNumberFormat="1" applyFont="1" applyFill="1" applyBorder="1" applyAlignment="1" applyProtection="1">
      <alignment horizontal="center" vertical="center" wrapText="1"/>
    </xf>
    <xf numFmtId="0" fontId="3" fillId="21" borderId="2" xfId="0" applyFont="1" applyFill="1" applyBorder="1" applyAlignment="1" applyProtection="1">
      <alignment horizontal="left" vertical="center" wrapText="1"/>
    </xf>
    <xf numFmtId="0" fontId="5" fillId="21" borderId="25" xfId="0" applyFont="1" applyFill="1" applyBorder="1" applyAlignment="1" applyProtection="1">
      <alignment horizontal="left" vertical="center" wrapText="1"/>
    </xf>
    <xf numFmtId="0" fontId="36" fillId="0" borderId="0" xfId="0" applyFont="1" applyFill="1" applyAlignment="1" applyProtection="1">
      <alignment vertical="top" wrapText="1"/>
    </xf>
    <xf numFmtId="3" fontId="2" fillId="2" borderId="44" xfId="0" applyNumberFormat="1" applyFont="1" applyFill="1" applyBorder="1" applyAlignment="1" applyProtection="1">
      <alignment horizontal="right"/>
      <protection locked="0"/>
    </xf>
    <xf numFmtId="0" fontId="55" fillId="2" borderId="0" xfId="0" applyFont="1" applyFill="1" applyAlignment="1" applyProtection="1"/>
    <xf numFmtId="0" fontId="3" fillId="21" borderId="167" xfId="0" applyNumberFormat="1" applyFont="1" applyFill="1" applyBorder="1" applyAlignment="1" applyProtection="1">
      <alignment horizontal="center" vertical="top" wrapText="1"/>
    </xf>
    <xf numFmtId="49" fontId="118" fillId="21" borderId="5" xfId="0" applyNumberFormat="1" applyFont="1" applyFill="1" applyBorder="1" applyAlignment="1" applyProtection="1">
      <alignment horizontal="center"/>
    </xf>
    <xf numFmtId="49" fontId="3" fillId="21" borderId="12" xfId="0" applyNumberFormat="1" applyFont="1" applyFill="1" applyBorder="1" applyAlignment="1" applyProtection="1">
      <alignment horizontal="left" vertical="top" wrapText="1"/>
    </xf>
    <xf numFmtId="0" fontId="3" fillId="21" borderId="8" xfId="0" applyFont="1" applyFill="1" applyBorder="1" applyAlignment="1" applyProtection="1">
      <alignment vertical="top" wrapText="1"/>
    </xf>
    <xf numFmtId="49" fontId="3" fillId="21" borderId="218" xfId="0" applyNumberFormat="1" applyFont="1" applyFill="1" applyBorder="1" applyAlignment="1" applyProtection="1">
      <alignment horizontal="left"/>
    </xf>
    <xf numFmtId="0" fontId="51" fillId="21" borderId="64" xfId="0" applyFont="1" applyFill="1" applyBorder="1" applyProtection="1"/>
    <xf numFmtId="166" fontId="9" fillId="2" borderId="0" xfId="0" applyNumberFormat="1" applyFont="1" applyFill="1" applyBorder="1" applyAlignment="1" applyProtection="1">
      <alignment horizontal="center" vertical="center"/>
    </xf>
    <xf numFmtId="3" fontId="3" fillId="21" borderId="44" xfId="5" applyNumberFormat="1" applyFont="1" applyFill="1" applyBorder="1" applyAlignment="1" applyProtection="1"/>
    <xf numFmtId="3" fontId="3" fillId="21" borderId="44" xfId="5" applyNumberFormat="1" applyFont="1" applyFill="1" applyBorder="1" applyAlignment="1" applyProtection="1">
      <alignment vertical="top" wrapText="1"/>
    </xf>
    <xf numFmtId="3" fontId="2" fillId="27" borderId="35" xfId="0" applyNumberFormat="1" applyFont="1" applyFill="1" applyBorder="1" applyAlignment="1" applyProtection="1"/>
    <xf numFmtId="3" fontId="2" fillId="27" borderId="2" xfId="0" applyNumberFormat="1" applyFont="1" applyFill="1" applyBorder="1" applyAlignment="1" applyProtection="1"/>
    <xf numFmtId="3" fontId="2" fillId="27" borderId="5" xfId="0" applyNumberFormat="1" applyFont="1" applyFill="1" applyBorder="1" applyAlignment="1" applyProtection="1"/>
    <xf numFmtId="0" fontId="3" fillId="21" borderId="35" xfId="0" applyFont="1" applyFill="1" applyBorder="1" applyProtection="1"/>
    <xf numFmtId="49" fontId="7" fillId="0" borderId="0" xfId="0" applyNumberFormat="1" applyFont="1" applyFill="1" applyBorder="1" applyAlignment="1" applyProtection="1">
      <alignment horizontal="center"/>
    </xf>
    <xf numFmtId="49" fontId="3" fillId="21" borderId="124" xfId="0" applyNumberFormat="1" applyFont="1" applyFill="1" applyBorder="1" applyAlignment="1" applyProtection="1">
      <alignment horizontal="left"/>
    </xf>
    <xf numFmtId="0" fontId="16" fillId="21" borderId="124" xfId="0" applyFont="1" applyFill="1" applyBorder="1" applyProtection="1"/>
    <xf numFmtId="0" fontId="8" fillId="21" borderId="35" xfId="0" applyFont="1" applyFill="1" applyBorder="1" applyProtection="1"/>
    <xf numFmtId="49" fontId="3" fillId="21" borderId="12" xfId="0" applyNumberFormat="1" applyFont="1" applyFill="1" applyBorder="1" applyAlignment="1" applyProtection="1">
      <alignment horizontal="right" vertical="center" wrapText="1"/>
    </xf>
    <xf numFmtId="0" fontId="3" fillId="21" borderId="8" xfId="0" applyFont="1" applyFill="1" applyBorder="1" applyAlignment="1" applyProtection="1">
      <alignment horizontal="left" vertical="top" wrapText="1"/>
    </xf>
    <xf numFmtId="0" fontId="55" fillId="0" borderId="0" xfId="0" applyFont="1" applyFill="1" applyAlignment="1" applyProtection="1">
      <alignment vertical="top"/>
    </xf>
    <xf numFmtId="1" fontId="5" fillId="0" borderId="0" xfId="0" applyNumberFormat="1" applyFont="1" applyFill="1" applyBorder="1" applyAlignment="1" applyProtection="1">
      <alignment horizontal="left" wrapText="1"/>
    </xf>
    <xf numFmtId="1" fontId="3" fillId="0" borderId="0" xfId="0" applyNumberFormat="1" applyFont="1" applyFill="1" applyBorder="1" applyAlignment="1" applyProtection="1">
      <alignment horizontal="center" wrapText="1"/>
    </xf>
    <xf numFmtId="0" fontId="112" fillId="0" borderId="0" xfId="0" applyNumberFormat="1" applyFont="1" applyFill="1" applyAlignment="1" applyProtection="1"/>
    <xf numFmtId="3" fontId="112" fillId="0" borderId="0" xfId="0" applyNumberFormat="1" applyFont="1" applyFill="1" applyBorder="1" applyAlignment="1" applyProtection="1">
      <alignment horizontal="left" wrapText="1"/>
    </xf>
    <xf numFmtId="1" fontId="3" fillId="21" borderId="42" xfId="0" applyNumberFormat="1" applyFont="1" applyFill="1" applyBorder="1" applyAlignment="1" applyProtection="1">
      <alignment horizontal="left" vertical="top" wrapText="1"/>
    </xf>
    <xf numFmtId="49" fontId="3" fillId="21" borderId="5" xfId="0" applyNumberFormat="1" applyFont="1" applyFill="1" applyBorder="1" applyAlignment="1" applyProtection="1">
      <alignment horizontal="left"/>
    </xf>
    <xf numFmtId="169" fontId="3" fillId="21" borderId="62" xfId="5" applyNumberFormat="1" applyFont="1" applyFill="1" applyBorder="1" applyAlignment="1" applyProtection="1">
      <alignment vertical="top"/>
    </xf>
    <xf numFmtId="169" fontId="3" fillId="21" borderId="175" xfId="0" applyNumberFormat="1" applyFont="1" applyFill="1" applyBorder="1" applyAlignment="1" applyProtection="1">
      <alignment vertical="top"/>
    </xf>
    <xf numFmtId="0" fontId="2" fillId="0" borderId="0" xfId="0" applyFont="1" applyBorder="1" applyAlignment="1" applyProtection="1">
      <alignment vertical="top" wrapText="1"/>
      <protection locked="0"/>
    </xf>
    <xf numFmtId="3" fontId="13" fillId="21" borderId="69" xfId="0" applyNumberFormat="1" applyFont="1" applyFill="1" applyBorder="1" applyAlignment="1" applyProtection="1">
      <alignment horizontal="right"/>
    </xf>
    <xf numFmtId="49" fontId="3" fillId="21" borderId="7" xfId="0" applyNumberFormat="1" applyFont="1" applyFill="1" applyBorder="1" applyAlignment="1" applyProtection="1">
      <alignment horizontal="center"/>
    </xf>
    <xf numFmtId="0" fontId="3" fillId="21" borderId="8" xfId="0" applyFont="1" applyFill="1" applyBorder="1" applyAlignment="1" applyProtection="1">
      <alignment horizontal="left"/>
    </xf>
    <xf numFmtId="49" fontId="3" fillId="21" borderId="76" xfId="0" applyNumberFormat="1" applyFont="1" applyFill="1" applyBorder="1" applyAlignment="1" applyProtection="1">
      <alignment wrapText="1"/>
    </xf>
    <xf numFmtId="49" fontId="3" fillId="21" borderId="11" xfId="0" applyNumberFormat="1" applyFont="1" applyFill="1" applyBorder="1" applyAlignment="1" applyProtection="1">
      <alignment wrapText="1"/>
    </xf>
    <xf numFmtId="0" fontId="3" fillId="2" borderId="1" xfId="0" applyFont="1" applyFill="1" applyBorder="1" applyAlignment="1" applyProtection="1">
      <alignment horizontal="center"/>
    </xf>
    <xf numFmtId="49" fontId="8" fillId="21" borderId="195" xfId="0" applyNumberFormat="1" applyFont="1" applyFill="1" applyBorder="1" applyAlignment="1" applyProtection="1">
      <alignment horizontal="center"/>
    </xf>
    <xf numFmtId="3" fontId="2" fillId="2" borderId="194" xfId="0" applyNumberFormat="1" applyFont="1" applyFill="1" applyBorder="1" applyAlignment="1" applyProtection="1">
      <alignment horizontal="right"/>
      <protection locked="0"/>
    </xf>
    <xf numFmtId="3" fontId="2" fillId="2" borderId="150" xfId="0" applyNumberFormat="1" applyFont="1" applyFill="1" applyBorder="1" applyAlignment="1" applyProtection="1">
      <alignment horizontal="right"/>
      <protection locked="0"/>
    </xf>
    <xf numFmtId="0" fontId="112" fillId="2" borderId="0" xfId="0" applyFont="1" applyFill="1" applyAlignment="1" applyProtection="1">
      <alignment wrapText="1"/>
    </xf>
    <xf numFmtId="0" fontId="46" fillId="0" borderId="0" xfId="0" applyNumberFormat="1" applyFont="1" applyFill="1" applyBorder="1" applyAlignment="1" applyProtection="1">
      <alignment horizontal="right"/>
    </xf>
    <xf numFmtId="3" fontId="36" fillId="0" borderId="126" xfId="0" applyNumberFormat="1" applyFont="1" applyFill="1" applyBorder="1" applyProtection="1"/>
    <xf numFmtId="0" fontId="3" fillId="21" borderId="8" xfId="0" applyFont="1" applyFill="1" applyBorder="1" applyAlignment="1" applyProtection="1">
      <alignment horizontal="center" wrapText="1"/>
    </xf>
    <xf numFmtId="0" fontId="3" fillId="21" borderId="55" xfId="0" applyFont="1" applyFill="1" applyBorder="1" applyAlignment="1" applyProtection="1">
      <alignment horizontal="center" wrapText="1"/>
    </xf>
    <xf numFmtId="1" fontId="3" fillId="21" borderId="25" xfId="0" applyNumberFormat="1" applyFont="1" applyFill="1" applyBorder="1" applyAlignment="1" applyProtection="1">
      <alignment horizontal="center" wrapText="1"/>
    </xf>
    <xf numFmtId="1" fontId="3" fillId="0" borderId="0" xfId="0" applyNumberFormat="1" applyFont="1" applyFill="1" applyBorder="1" applyAlignment="1" applyProtection="1">
      <alignment horizontal="center" wrapText="1"/>
    </xf>
    <xf numFmtId="1" fontId="3" fillId="21" borderId="82" xfId="0" applyNumberFormat="1" applyFont="1" applyFill="1" applyBorder="1" applyAlignment="1" applyProtection="1">
      <alignment horizontal="center" wrapText="1"/>
    </xf>
    <xf numFmtId="3" fontId="13" fillId="0" borderId="228" xfId="0" applyNumberFormat="1" applyFont="1" applyFill="1" applyBorder="1" applyAlignment="1" applyProtection="1">
      <alignment horizontal="right"/>
    </xf>
    <xf numFmtId="0" fontId="3" fillId="0" borderId="225" xfId="0" applyFont="1" applyFill="1" applyBorder="1" applyAlignment="1" applyProtection="1">
      <alignment horizontal="center"/>
    </xf>
    <xf numFmtId="1" fontId="3" fillId="0" borderId="225" xfId="0" applyNumberFormat="1" applyFont="1" applyFill="1" applyBorder="1" applyAlignment="1" applyProtection="1">
      <alignment horizontal="center" wrapText="1"/>
    </xf>
    <xf numFmtId="1" fontId="3" fillId="0" borderId="225" xfId="0" applyNumberFormat="1" applyFont="1" applyFill="1" applyBorder="1" applyAlignment="1" applyProtection="1">
      <alignment horizontal="left"/>
    </xf>
    <xf numFmtId="0" fontId="3" fillId="0" borderId="228" xfId="0" applyFont="1" applyFill="1" applyBorder="1" applyAlignment="1" applyProtection="1">
      <alignment horizontal="center"/>
    </xf>
    <xf numFmtId="1" fontId="3" fillId="0" borderId="228" xfId="0" applyNumberFormat="1" applyFont="1" applyFill="1" applyBorder="1" applyAlignment="1" applyProtection="1">
      <alignment horizontal="center" wrapText="1"/>
    </xf>
    <xf numFmtId="1" fontId="3" fillId="0" borderId="228" xfId="0" applyNumberFormat="1" applyFont="1" applyFill="1" applyBorder="1" applyAlignment="1" applyProtection="1">
      <alignment horizontal="left"/>
    </xf>
    <xf numFmtId="0" fontId="3" fillId="21" borderId="21" xfId="0" applyNumberFormat="1" applyFont="1" applyFill="1" applyBorder="1" applyAlignment="1" applyProtection="1">
      <alignment horizontal="center"/>
    </xf>
    <xf numFmtId="0" fontId="3" fillId="21" borderId="2" xfId="0" applyNumberFormat="1" applyFont="1" applyFill="1" applyBorder="1" applyAlignment="1" applyProtection="1">
      <alignment horizontal="center"/>
    </xf>
    <xf numFmtId="0" fontId="5" fillId="21" borderId="15" xfId="0" applyNumberFormat="1" applyFont="1" applyFill="1" applyBorder="1" applyAlignment="1" applyProtection="1">
      <alignment horizontal="center"/>
    </xf>
    <xf numFmtId="0" fontId="3" fillId="21" borderId="5" xfId="0" applyNumberFormat="1" applyFont="1" applyFill="1" applyBorder="1" applyAlignment="1" applyProtection="1">
      <alignment horizontal="center"/>
    </xf>
    <xf numFmtId="0" fontId="8" fillId="21" borderId="2" xfId="0" applyNumberFormat="1" applyFont="1" applyFill="1" applyBorder="1" applyAlignment="1" applyProtection="1">
      <alignment horizontal="center"/>
    </xf>
    <xf numFmtId="0" fontId="16" fillId="21" borderId="2" xfId="0" applyNumberFormat="1" applyFont="1" applyFill="1" applyBorder="1" applyAlignment="1" applyProtection="1">
      <alignment horizontal="center"/>
    </xf>
    <xf numFmtId="0" fontId="3" fillId="21" borderId="129" xfId="0" applyNumberFormat="1" applyFont="1" applyFill="1" applyBorder="1" applyAlignment="1" applyProtection="1">
      <alignment horizontal="center"/>
    </xf>
    <xf numFmtId="0" fontId="16" fillId="21" borderId="13" xfId="0" applyNumberFormat="1" applyFont="1" applyFill="1" applyBorder="1" applyAlignment="1" applyProtection="1">
      <alignment horizontal="center"/>
    </xf>
    <xf numFmtId="0" fontId="3" fillId="21" borderId="127" xfId="0" applyNumberFormat="1" applyFont="1" applyFill="1" applyBorder="1" applyAlignment="1" applyProtection="1">
      <alignment horizontal="center"/>
    </xf>
    <xf numFmtId="0" fontId="8" fillId="21" borderId="98" xfId="0" applyNumberFormat="1" applyFont="1" applyFill="1" applyBorder="1" applyAlignment="1" applyProtection="1">
      <alignment horizontal="center"/>
    </xf>
    <xf numFmtId="0" fontId="8" fillId="21" borderId="118" xfId="0" applyNumberFormat="1" applyFont="1" applyFill="1" applyBorder="1" applyAlignment="1" applyProtection="1">
      <alignment horizontal="center"/>
    </xf>
    <xf numFmtId="0" fontId="3" fillId="21" borderId="24" xfId="0" applyNumberFormat="1" applyFont="1" applyFill="1" applyBorder="1" applyAlignment="1" applyProtection="1">
      <alignment horizontal="center"/>
    </xf>
    <xf numFmtId="0" fontId="3" fillId="21" borderId="146" xfId="0" applyNumberFormat="1" applyFont="1" applyFill="1" applyBorder="1" applyAlignment="1" applyProtection="1">
      <alignment horizontal="center"/>
    </xf>
    <xf numFmtId="0" fontId="3" fillId="21" borderId="22" xfId="0" applyNumberFormat="1" applyFont="1" applyFill="1" applyBorder="1" applyAlignment="1" applyProtection="1">
      <alignment horizontal="center"/>
    </xf>
    <xf numFmtId="0" fontId="8" fillId="21" borderId="36" xfId="0" applyNumberFormat="1" applyFont="1" applyFill="1" applyBorder="1" applyAlignment="1" applyProtection="1">
      <alignment horizontal="center"/>
    </xf>
    <xf numFmtId="0" fontId="8" fillId="21" borderId="127" xfId="0" applyNumberFormat="1" applyFont="1" applyFill="1" applyBorder="1" applyAlignment="1" applyProtection="1">
      <alignment horizontal="center"/>
    </xf>
    <xf numFmtId="0" fontId="119" fillId="21" borderId="127" xfId="0" applyNumberFormat="1" applyFont="1" applyFill="1" applyBorder="1" applyAlignment="1" applyProtection="1">
      <alignment horizontal="center"/>
    </xf>
    <xf numFmtId="0" fontId="8" fillId="21" borderId="37" xfId="0" applyNumberFormat="1" applyFont="1" applyFill="1" applyBorder="1" applyAlignment="1" applyProtection="1">
      <alignment horizontal="center"/>
    </xf>
    <xf numFmtId="0" fontId="11" fillId="21" borderId="58" xfId="0" applyNumberFormat="1" applyFont="1" applyFill="1" applyBorder="1" applyProtection="1"/>
    <xf numFmtId="0" fontId="3" fillId="21" borderId="131" xfId="0" applyNumberFormat="1" applyFont="1" applyFill="1" applyBorder="1" applyAlignment="1" applyProtection="1">
      <alignment horizontal="center"/>
    </xf>
    <xf numFmtId="0" fontId="8" fillId="21" borderId="130" xfId="0" applyNumberFormat="1" applyFont="1" applyFill="1" applyBorder="1" applyAlignment="1" applyProtection="1">
      <alignment horizontal="center"/>
    </xf>
    <xf numFmtId="0" fontId="105" fillId="21" borderId="21" xfId="0" applyNumberFormat="1" applyFont="1" applyFill="1" applyBorder="1" applyAlignment="1" applyProtection="1">
      <alignment horizontal="center"/>
    </xf>
    <xf numFmtId="49" fontId="3" fillId="21" borderId="24" xfId="5" applyNumberFormat="1" applyFont="1" applyFill="1" applyBorder="1" applyAlignment="1" applyProtection="1">
      <alignment horizontal="center"/>
    </xf>
    <xf numFmtId="3" fontId="112" fillId="2" borderId="0" xfId="0" applyNumberFormat="1" applyFont="1" applyFill="1" applyBorder="1" applyAlignment="1" applyProtection="1">
      <alignment horizontal="left"/>
      <protection locked="0"/>
    </xf>
    <xf numFmtId="167" fontId="2" fillId="21" borderId="52" xfId="0" applyNumberFormat="1" applyFont="1" applyFill="1" applyBorder="1" applyProtection="1"/>
    <xf numFmtId="167" fontId="2" fillId="21" borderId="59" xfId="0" applyNumberFormat="1" applyFont="1" applyFill="1" applyBorder="1" applyProtection="1"/>
    <xf numFmtId="3" fontId="13" fillId="2" borderId="225" xfId="0" applyNumberFormat="1" applyFont="1" applyFill="1" applyBorder="1" applyAlignment="1" applyProtection="1">
      <alignment horizontal="right"/>
    </xf>
    <xf numFmtId="3" fontId="13" fillId="21" borderId="26" xfId="0" applyNumberFormat="1" applyFont="1" applyFill="1" applyBorder="1" applyAlignment="1" applyProtection="1">
      <alignment horizontal="right"/>
      <protection locked="0"/>
    </xf>
    <xf numFmtId="49" fontId="8" fillId="21" borderId="168" xfId="0" applyNumberFormat="1" applyFont="1" applyFill="1" applyBorder="1" applyAlignment="1" applyProtection="1">
      <alignment horizontal="center"/>
    </xf>
    <xf numFmtId="49" fontId="3" fillId="21" borderId="136" xfId="0" applyNumberFormat="1" applyFont="1" applyFill="1" applyBorder="1" applyAlignment="1" applyProtection="1">
      <alignment horizontal="center" wrapText="1"/>
    </xf>
    <xf numFmtId="49" fontId="8" fillId="21" borderId="136" xfId="0" applyNumberFormat="1" applyFont="1" applyFill="1" applyBorder="1" applyAlignment="1" applyProtection="1">
      <alignment horizontal="left"/>
    </xf>
    <xf numFmtId="49" fontId="8" fillId="21" borderId="4" xfId="0" applyNumberFormat="1" applyFont="1" applyFill="1" applyBorder="1" applyAlignment="1" applyProtection="1">
      <alignment horizontal="center"/>
    </xf>
    <xf numFmtId="49" fontId="8" fillId="0" borderId="202" xfId="0" applyNumberFormat="1" applyFont="1" applyFill="1" applyBorder="1" applyAlignment="1" applyProtection="1">
      <alignment horizontal="left"/>
    </xf>
    <xf numFmtId="3" fontId="112" fillId="0" borderId="0" xfId="0" applyNumberFormat="1" applyFont="1" applyFill="1" applyBorder="1" applyProtection="1">
      <protection locked="0"/>
    </xf>
    <xf numFmtId="3" fontId="2" fillId="2" borderId="204" xfId="0" applyNumberFormat="1" applyFont="1" applyFill="1" applyBorder="1" applyAlignment="1" applyProtection="1">
      <alignment horizontal="right"/>
      <protection locked="0"/>
    </xf>
    <xf numFmtId="3" fontId="2" fillId="0" borderId="204" xfId="0" applyNumberFormat="1" applyFont="1" applyFill="1" applyBorder="1" applyProtection="1">
      <protection locked="0"/>
    </xf>
    <xf numFmtId="3" fontId="2" fillId="21" borderId="58" xfId="0" applyNumberFormat="1" applyFont="1" applyFill="1" applyBorder="1" applyAlignment="1" applyProtection="1">
      <alignment horizontal="right"/>
      <protection locked="0"/>
    </xf>
    <xf numFmtId="3" fontId="2" fillId="21" borderId="57" xfId="0" applyNumberFormat="1" applyFont="1" applyFill="1" applyBorder="1" applyAlignment="1" applyProtection="1">
      <alignment horizontal="right"/>
      <protection locked="0"/>
    </xf>
    <xf numFmtId="0" fontId="36" fillId="0" borderId="0" xfId="0" applyFont="1" applyFill="1" applyAlignment="1" applyProtection="1">
      <alignment vertical="top"/>
    </xf>
    <xf numFmtId="0" fontId="112" fillId="0" borderId="0" xfId="0" applyFont="1" applyFill="1" applyBorder="1" applyAlignment="1" applyProtection="1"/>
    <xf numFmtId="3" fontId="45" fillId="22" borderId="127" xfId="0" applyNumberFormat="1" applyFont="1" applyFill="1" applyBorder="1" applyAlignment="1" applyProtection="1"/>
    <xf numFmtId="3" fontId="45" fillId="22" borderId="60" xfId="0" applyNumberFormat="1" applyFont="1" applyFill="1" applyBorder="1" applyAlignment="1" applyProtection="1"/>
    <xf numFmtId="0" fontId="9" fillId="0" borderId="0" xfId="0" applyFont="1" applyFill="1" applyBorder="1" applyAlignment="1" applyProtection="1">
      <alignment horizontal="left" vertical="center"/>
    </xf>
    <xf numFmtId="0" fontId="112" fillId="0" borderId="0" xfId="0" applyNumberFormat="1" applyFont="1" applyFill="1" applyBorder="1" applyAlignment="1" applyProtection="1">
      <alignment vertical="top" wrapText="1"/>
    </xf>
    <xf numFmtId="0" fontId="112" fillId="0" borderId="0" xfId="0" applyNumberFormat="1" applyFont="1" applyFill="1" applyBorder="1" applyAlignment="1" applyProtection="1">
      <alignment wrapText="1"/>
    </xf>
    <xf numFmtId="3" fontId="10" fillId="0" borderId="7" xfId="0" applyNumberFormat="1" applyFont="1" applyFill="1" applyBorder="1" applyAlignment="1" applyProtection="1">
      <alignment horizontal="right"/>
      <protection locked="0"/>
    </xf>
    <xf numFmtId="0" fontId="143" fillId="0" borderId="0" xfId="0" applyFont="1" applyFill="1" applyBorder="1" applyProtection="1"/>
    <xf numFmtId="3" fontId="112" fillId="0" borderId="0" xfId="0" applyNumberFormat="1" applyFont="1" applyFill="1" applyBorder="1" applyAlignment="1" applyProtection="1">
      <alignment horizontal="left" vertical="top" wrapText="1"/>
    </xf>
    <xf numFmtId="0" fontId="3" fillId="21" borderId="37" xfId="0" applyFont="1" applyFill="1" applyBorder="1" applyAlignment="1" applyProtection="1">
      <alignment horizontal="center"/>
    </xf>
    <xf numFmtId="0" fontId="8" fillId="21" borderId="229" xfId="0" applyFont="1" applyFill="1" applyBorder="1" applyAlignment="1" applyProtection="1">
      <alignment horizontal="center"/>
    </xf>
    <xf numFmtId="0" fontId="3" fillId="21" borderId="91" xfId="0" applyFont="1" applyFill="1" applyBorder="1" applyAlignment="1" applyProtection="1">
      <alignment horizontal="left" vertical="top" wrapText="1"/>
    </xf>
    <xf numFmtId="0" fontId="3" fillId="21" borderId="135" xfId="0" applyFont="1" applyFill="1" applyBorder="1" applyAlignment="1" applyProtection="1">
      <alignment horizontal="left" vertical="top" wrapText="1"/>
    </xf>
    <xf numFmtId="0" fontId="3" fillId="21" borderId="130" xfId="0" applyFont="1" applyFill="1" applyBorder="1" applyAlignment="1" applyProtection="1">
      <alignment horizontal="left" vertical="top" wrapText="1"/>
    </xf>
    <xf numFmtId="0" fontId="3" fillId="21" borderId="167" xfId="5" applyFont="1" applyFill="1" applyBorder="1" applyAlignment="1" applyProtection="1">
      <alignment vertical="top" wrapText="1"/>
    </xf>
    <xf numFmtId="3" fontId="3" fillId="21" borderId="188" xfId="0" applyNumberFormat="1" applyFont="1" applyFill="1" applyBorder="1" applyAlignment="1" applyProtection="1">
      <alignment vertical="top" wrapText="1"/>
    </xf>
    <xf numFmtId="0" fontId="0" fillId="0" borderId="0" xfId="0" applyFill="1" applyBorder="1" applyAlignment="1"/>
    <xf numFmtId="3" fontId="2" fillId="2" borderId="0" xfId="0" applyNumberFormat="1" applyFont="1" applyFill="1" applyBorder="1" applyProtection="1">
      <protection locked="0"/>
    </xf>
    <xf numFmtId="49" fontId="3" fillId="29" borderId="0" xfId="0" applyNumberFormat="1" applyFont="1" applyFill="1" applyBorder="1" applyAlignment="1" applyProtection="1">
      <alignment horizontal="center"/>
    </xf>
    <xf numFmtId="0" fontId="5" fillId="29" borderId="0" xfId="0" applyFont="1" applyFill="1" applyBorder="1" applyAlignment="1" applyProtection="1">
      <alignment horizontal="left"/>
    </xf>
    <xf numFmtId="49" fontId="3" fillId="21" borderId="115" xfId="0" applyNumberFormat="1" applyFont="1" applyFill="1" applyBorder="1" applyAlignment="1" applyProtection="1">
      <alignment horizontal="center"/>
    </xf>
    <xf numFmtId="3" fontId="2" fillId="3" borderId="154" xfId="0" applyNumberFormat="1" applyFont="1" applyFill="1" applyBorder="1" applyProtection="1"/>
    <xf numFmtId="49" fontId="3" fillId="21" borderId="15" xfId="0" applyNumberFormat="1" applyFont="1" applyFill="1" applyBorder="1" applyAlignment="1" applyProtection="1">
      <alignment horizontal="center"/>
    </xf>
    <xf numFmtId="167" fontId="3" fillId="21" borderId="15" xfId="0" applyNumberFormat="1" applyFont="1" applyFill="1" applyBorder="1" applyAlignment="1" applyProtection="1">
      <alignment horizontal="left"/>
    </xf>
    <xf numFmtId="49" fontId="3" fillId="21" borderId="68" xfId="0" applyNumberFormat="1" applyFont="1" applyFill="1" applyBorder="1" applyAlignment="1" applyProtection="1">
      <alignment horizontal="center"/>
    </xf>
    <xf numFmtId="3" fontId="2" fillId="2" borderId="187" xfId="0" applyNumberFormat="1" applyFont="1" applyFill="1" applyBorder="1" applyAlignment="1" applyProtection="1">
      <alignment horizontal="right"/>
      <protection locked="0"/>
    </xf>
    <xf numFmtId="3" fontId="2" fillId="2" borderId="95" xfId="0" applyNumberFormat="1" applyFont="1" applyFill="1" applyBorder="1" applyAlignment="1" applyProtection="1">
      <alignment horizontal="right"/>
      <protection locked="0"/>
    </xf>
    <xf numFmtId="0" fontId="36" fillId="0" borderId="157" xfId="0" applyFont="1" applyFill="1" applyBorder="1" applyProtection="1"/>
    <xf numFmtId="49" fontId="5" fillId="21" borderId="68" xfId="0" applyNumberFormat="1" applyFont="1" applyFill="1" applyBorder="1" applyAlignment="1" applyProtection="1">
      <alignment horizontal="center"/>
    </xf>
    <xf numFmtId="3" fontId="2" fillId="2" borderId="25" xfId="0" applyNumberFormat="1" applyFont="1" applyFill="1" applyBorder="1" applyAlignment="1" applyProtection="1">
      <alignment horizontal="right"/>
      <protection locked="0"/>
    </xf>
    <xf numFmtId="3" fontId="2" fillId="2" borderId="69" xfId="0" applyNumberFormat="1" applyFont="1" applyFill="1" applyBorder="1" applyAlignment="1" applyProtection="1">
      <alignment horizontal="right"/>
      <protection locked="0"/>
    </xf>
    <xf numFmtId="0" fontId="9" fillId="2" borderId="225" xfId="0" applyFont="1" applyFill="1" applyBorder="1" applyProtection="1"/>
    <xf numFmtId="0" fontId="0" fillId="0" borderId="225" xfId="0" applyFill="1" applyBorder="1" applyProtection="1"/>
    <xf numFmtId="0" fontId="9" fillId="2" borderId="202" xfId="0" applyFont="1" applyFill="1" applyBorder="1" applyProtection="1"/>
    <xf numFmtId="3" fontId="13" fillId="2" borderId="165" xfId="0" applyNumberFormat="1" applyFont="1" applyFill="1" applyBorder="1" applyAlignment="1" applyProtection="1">
      <alignment horizontal="right"/>
      <protection locked="0"/>
    </xf>
    <xf numFmtId="3" fontId="2" fillId="2" borderId="71" xfId="0" applyNumberFormat="1" applyFont="1" applyFill="1" applyBorder="1" applyAlignment="1" applyProtection="1">
      <alignment horizontal="right"/>
      <protection locked="0"/>
    </xf>
    <xf numFmtId="3" fontId="45" fillId="0" borderId="58" xfId="0" applyNumberFormat="1" applyFont="1" applyFill="1" applyBorder="1" applyProtection="1"/>
    <xf numFmtId="3" fontId="45" fillId="21" borderId="69" xfId="0" applyNumberFormat="1" applyFont="1" applyFill="1" applyBorder="1" applyProtection="1"/>
    <xf numFmtId="3" fontId="45" fillId="22" borderId="87" xfId="0" applyNumberFormat="1" applyFont="1" applyFill="1" applyBorder="1" applyProtection="1"/>
    <xf numFmtId="3" fontId="45" fillId="21" borderId="18" xfId="0" applyNumberFormat="1" applyFont="1" applyFill="1" applyBorder="1" applyProtection="1"/>
    <xf numFmtId="3" fontId="2" fillId="29" borderId="61" xfId="0" applyNumberFormat="1" applyFont="1" applyFill="1" applyBorder="1" applyAlignment="1" applyProtection="1">
      <alignment horizontal="right"/>
      <protection locked="0"/>
    </xf>
    <xf numFmtId="49" fontId="3" fillId="21" borderId="133" xfId="0" applyNumberFormat="1" applyFont="1" applyFill="1" applyBorder="1" applyAlignment="1" applyProtection="1">
      <alignment horizontal="center" wrapText="1"/>
    </xf>
    <xf numFmtId="49" fontId="3" fillId="21" borderId="204" xfId="0" applyNumberFormat="1" applyFont="1" applyFill="1" applyBorder="1" applyAlignment="1" applyProtection="1">
      <alignment horizontal="left"/>
    </xf>
    <xf numFmtId="3" fontId="2" fillId="2" borderId="132" xfId="0" applyNumberFormat="1" applyFont="1" applyFill="1" applyBorder="1" applyAlignment="1" applyProtection="1">
      <alignment horizontal="right"/>
      <protection locked="0"/>
    </xf>
    <xf numFmtId="49" fontId="3" fillId="21" borderId="230" xfId="0" applyNumberFormat="1" applyFont="1" applyFill="1" applyBorder="1" applyAlignment="1" applyProtection="1">
      <alignment horizontal="center"/>
    </xf>
    <xf numFmtId="3" fontId="2" fillId="29" borderId="85" xfId="0" applyNumberFormat="1" applyFont="1" applyFill="1" applyBorder="1" applyProtection="1">
      <protection locked="0"/>
    </xf>
    <xf numFmtId="3" fontId="36" fillId="21" borderId="56" xfId="0" applyNumberFormat="1" applyFont="1" applyFill="1" applyBorder="1" applyAlignment="1" applyProtection="1"/>
    <xf numFmtId="3" fontId="112" fillId="21" borderId="56" xfId="0" applyNumberFormat="1" applyFont="1" applyFill="1" applyBorder="1" applyAlignment="1" applyProtection="1">
      <alignment vertical="center"/>
    </xf>
    <xf numFmtId="0" fontId="3" fillId="21" borderId="7" xfId="0" applyFont="1" applyFill="1" applyBorder="1" applyAlignment="1" applyProtection="1">
      <alignment horizontal="center"/>
    </xf>
    <xf numFmtId="0" fontId="3" fillId="21" borderId="8" xfId="0" applyFont="1" applyFill="1" applyBorder="1" applyAlignment="1" applyProtection="1">
      <alignment horizontal="left" wrapText="1"/>
    </xf>
    <xf numFmtId="1" fontId="3" fillId="21" borderId="70" xfId="0" applyNumberFormat="1" applyFont="1" applyFill="1" applyBorder="1" applyAlignment="1" applyProtection="1">
      <alignment horizontal="center"/>
    </xf>
    <xf numFmtId="0" fontId="3" fillId="21" borderId="68" xfId="0" applyFont="1" applyFill="1" applyBorder="1" applyAlignment="1" applyProtection="1">
      <alignment horizontal="left"/>
    </xf>
    <xf numFmtId="1" fontId="3" fillId="21" borderId="133" xfId="0" applyNumberFormat="1" applyFont="1" applyFill="1" applyBorder="1" applyAlignment="1" applyProtection="1">
      <alignment horizontal="center"/>
    </xf>
    <xf numFmtId="0" fontId="3" fillId="21" borderId="84" xfId="0" applyFont="1" applyFill="1" applyBorder="1" applyProtection="1"/>
    <xf numFmtId="3" fontId="2" fillId="21" borderId="20" xfId="0" applyNumberFormat="1" applyFont="1" applyFill="1" applyBorder="1" applyAlignment="1" applyProtection="1">
      <alignment horizontal="right"/>
    </xf>
    <xf numFmtId="0" fontId="3" fillId="21" borderId="24" xfId="0" applyFont="1" applyFill="1" applyBorder="1" applyAlignment="1" applyProtection="1">
      <alignment vertical="top"/>
    </xf>
    <xf numFmtId="3" fontId="3" fillId="21" borderId="25" xfId="0" applyNumberFormat="1" applyFont="1" applyFill="1" applyBorder="1" applyAlignment="1" applyProtection="1">
      <alignment vertical="top"/>
    </xf>
    <xf numFmtId="0" fontId="145" fillId="2" borderId="0" xfId="0" applyFont="1" applyFill="1" applyProtection="1"/>
    <xf numFmtId="0" fontId="5" fillId="21" borderId="9"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3" fillId="21" borderId="9" xfId="0" applyFont="1" applyFill="1" applyBorder="1" applyAlignment="1" applyProtection="1">
      <alignment horizontal="center" wrapText="1"/>
    </xf>
    <xf numFmtId="3" fontId="2" fillId="0" borderId="12" xfId="0" applyNumberFormat="1" applyFont="1" applyFill="1" applyBorder="1" applyAlignment="1" applyProtection="1">
      <alignment horizontal="right"/>
      <protection locked="0"/>
    </xf>
    <xf numFmtId="3" fontId="2" fillId="21" borderId="19" xfId="0" applyNumberFormat="1" applyFont="1" applyFill="1" applyBorder="1" applyProtection="1"/>
    <xf numFmtId="3" fontId="13" fillId="0" borderId="231" xfId="0" applyNumberFormat="1" applyFont="1" applyFill="1" applyBorder="1" applyAlignment="1" applyProtection="1">
      <alignment horizontal="right"/>
      <protection locked="0"/>
    </xf>
    <xf numFmtId="49" fontId="3" fillId="21" borderId="98" xfId="0" applyNumberFormat="1" applyFont="1" applyFill="1" applyBorder="1" applyAlignment="1" applyProtection="1">
      <alignment horizontal="left" wrapText="1"/>
    </xf>
    <xf numFmtId="3" fontId="5" fillId="21" borderId="95" xfId="0" applyNumberFormat="1" applyFont="1" applyFill="1" applyBorder="1" applyAlignment="1" applyProtection="1">
      <alignment wrapText="1"/>
    </xf>
    <xf numFmtId="49" fontId="3" fillId="21" borderId="232" xfId="0" applyNumberFormat="1" applyFont="1" applyFill="1" applyBorder="1" applyAlignment="1" applyProtection="1">
      <alignment horizontal="center"/>
    </xf>
    <xf numFmtId="2" fontId="3" fillId="21" borderId="199" xfId="0" applyNumberFormat="1" applyFont="1" applyFill="1" applyBorder="1" applyAlignment="1" applyProtection="1">
      <alignment horizontal="left"/>
    </xf>
    <xf numFmtId="2" fontId="3" fillId="21" borderId="222" xfId="0" applyNumberFormat="1" applyFont="1" applyFill="1" applyBorder="1" applyAlignment="1" applyProtection="1">
      <alignment horizontal="left"/>
    </xf>
    <xf numFmtId="2" fontId="3" fillId="21" borderId="233" xfId="0" applyNumberFormat="1" applyFont="1" applyFill="1" applyBorder="1" applyAlignment="1" applyProtection="1">
      <alignment horizontal="left"/>
    </xf>
    <xf numFmtId="3" fontId="2" fillId="2" borderId="234" xfId="0" applyNumberFormat="1" applyFont="1" applyFill="1" applyBorder="1" applyAlignment="1" applyProtection="1">
      <alignment horizontal="right"/>
      <protection locked="0"/>
    </xf>
    <xf numFmtId="3" fontId="2" fillId="29" borderId="0" xfId="0" applyNumberFormat="1" applyFont="1" applyFill="1" applyBorder="1" applyAlignment="1" applyProtection="1">
      <alignment horizontal="right"/>
    </xf>
    <xf numFmtId="3" fontId="2" fillId="2" borderId="225" xfId="0" applyNumberFormat="1" applyFont="1" applyFill="1" applyBorder="1" applyAlignment="1" applyProtection="1">
      <alignment horizontal="right"/>
      <protection locked="0"/>
    </xf>
    <xf numFmtId="0" fontId="3" fillId="21" borderId="190" xfId="0" applyNumberFormat="1" applyFont="1" applyFill="1" applyBorder="1" applyAlignment="1" applyProtection="1">
      <alignment horizontal="center" vertical="top" wrapText="1"/>
    </xf>
    <xf numFmtId="0" fontId="146" fillId="0" borderId="0" xfId="0" applyFont="1" applyFill="1" applyBorder="1" applyProtection="1"/>
    <xf numFmtId="0" fontId="5" fillId="21" borderId="66" xfId="0" applyFont="1" applyFill="1" applyBorder="1" applyAlignment="1" applyProtection="1">
      <alignment horizontal="left"/>
    </xf>
    <xf numFmtId="165" fontId="37" fillId="21" borderId="0" xfId="16" applyFont="1" applyFill="1" applyBorder="1" applyAlignment="1" applyProtection="1"/>
    <xf numFmtId="3" fontId="112" fillId="5" borderId="0" xfId="0" applyNumberFormat="1" applyFont="1" applyFill="1" applyBorder="1" applyProtection="1"/>
    <xf numFmtId="3" fontId="2" fillId="8" borderId="2" xfId="5" applyNumberFormat="1" applyFont="1" applyFill="1" applyBorder="1" applyAlignment="1">
      <alignment horizontal="right"/>
    </xf>
    <xf numFmtId="3" fontId="2" fillId="21" borderId="5" xfId="5" applyNumberFormat="1" applyFont="1" applyFill="1" applyBorder="1" applyAlignment="1">
      <alignment horizontal="right"/>
    </xf>
    <xf numFmtId="0" fontId="36" fillId="0" borderId="0" xfId="0" applyFont="1" applyFill="1" applyAlignment="1" applyProtection="1">
      <alignment wrapText="1"/>
    </xf>
    <xf numFmtId="0" fontId="3" fillId="21" borderId="25" xfId="0" applyFont="1" applyFill="1" applyBorder="1" applyAlignment="1" applyProtection="1">
      <alignment horizontal="left"/>
    </xf>
    <xf numFmtId="0" fontId="5" fillId="21" borderId="13" xfId="0" applyNumberFormat="1" applyFont="1" applyFill="1" applyBorder="1" applyAlignment="1" applyProtection="1">
      <alignment horizontal="center"/>
    </xf>
    <xf numFmtId="1" fontId="4" fillId="21" borderId="118" xfId="0" applyNumberFormat="1" applyFont="1" applyFill="1" applyBorder="1" applyAlignment="1" applyProtection="1">
      <alignment horizontal="center"/>
    </xf>
    <xf numFmtId="49" fontId="3" fillId="21" borderId="196" xfId="0" applyNumberFormat="1" applyFont="1" applyFill="1" applyBorder="1" applyAlignment="1" applyProtection="1">
      <alignment horizontal="left"/>
    </xf>
    <xf numFmtId="49" fontId="3" fillId="21" borderId="190" xfId="0" applyNumberFormat="1" applyFont="1" applyFill="1" applyBorder="1" applyAlignment="1" applyProtection="1">
      <alignment horizontal="left"/>
    </xf>
    <xf numFmtId="49" fontId="3" fillId="21" borderId="209" xfId="0" applyNumberFormat="1" applyFont="1" applyFill="1" applyBorder="1" applyAlignment="1" applyProtection="1">
      <alignment horizontal="center"/>
    </xf>
    <xf numFmtId="0" fontId="5" fillId="21" borderId="200" xfId="0" applyFont="1" applyFill="1" applyBorder="1" applyAlignment="1" applyProtection="1">
      <alignment horizontal="left"/>
    </xf>
    <xf numFmtId="0" fontId="5" fillId="21" borderId="155" xfId="0" applyFont="1" applyFill="1" applyBorder="1" applyAlignment="1" applyProtection="1">
      <alignment horizontal="center"/>
    </xf>
    <xf numFmtId="0" fontId="5" fillId="21" borderId="13" xfId="0" applyFont="1" applyFill="1" applyBorder="1" applyAlignment="1" applyProtection="1">
      <alignment horizontal="center"/>
    </xf>
    <xf numFmtId="0" fontId="5" fillId="21" borderId="9" xfId="0" applyFont="1" applyFill="1" applyBorder="1" applyAlignment="1" applyProtection="1">
      <alignment horizontal="left" wrapText="1"/>
    </xf>
    <xf numFmtId="0" fontId="4" fillId="21" borderId="118" xfId="0" applyFont="1" applyFill="1" applyBorder="1" applyAlignment="1" applyProtection="1">
      <alignment horizontal="center"/>
    </xf>
    <xf numFmtId="0" fontId="5" fillId="21" borderId="195" xfId="0" applyFont="1" applyFill="1" applyBorder="1" applyProtection="1"/>
    <xf numFmtId="1" fontId="3" fillId="21" borderId="35" xfId="0" applyNumberFormat="1" applyFont="1" applyFill="1" applyBorder="1" applyAlignment="1" applyProtection="1">
      <alignment horizontal="center"/>
    </xf>
    <xf numFmtId="0" fontId="3" fillId="21" borderId="235" xfId="0" applyFont="1" applyFill="1" applyBorder="1" applyAlignment="1" applyProtection="1">
      <alignment horizontal="left" wrapText="1"/>
    </xf>
    <xf numFmtId="0" fontId="5" fillId="21" borderId="142" xfId="0" applyFont="1" applyFill="1" applyBorder="1" applyAlignment="1" applyProtection="1">
      <alignment horizontal="left"/>
    </xf>
    <xf numFmtId="0" fontId="3" fillId="21" borderId="42" xfId="0" applyFont="1" applyFill="1" applyBorder="1" applyAlignment="1" applyProtection="1">
      <alignment horizontal="left"/>
    </xf>
    <xf numFmtId="0" fontId="5" fillId="21" borderId="136" xfId="0" applyFont="1" applyFill="1" applyBorder="1" applyProtection="1"/>
    <xf numFmtId="3" fontId="3" fillId="21" borderId="72" xfId="0" applyNumberFormat="1" applyFont="1" applyFill="1" applyBorder="1" applyProtection="1"/>
    <xf numFmtId="3" fontId="8" fillId="21" borderId="154" xfId="0" applyNumberFormat="1" applyFont="1" applyFill="1" applyBorder="1" applyProtection="1"/>
    <xf numFmtId="3" fontId="3" fillId="21" borderId="25" xfId="0" applyNumberFormat="1" applyFont="1" applyFill="1" applyBorder="1" applyAlignment="1" applyProtection="1">
      <alignment vertical="top" wrapText="1"/>
    </xf>
    <xf numFmtId="3" fontId="5" fillId="21" borderId="72" xfId="0" applyNumberFormat="1" applyFont="1" applyFill="1" applyBorder="1" applyAlignment="1" applyProtection="1">
      <alignment vertical="top" wrapText="1"/>
    </xf>
    <xf numFmtId="0" fontId="11" fillId="21" borderId="129" xfId="0" applyFont="1" applyFill="1" applyBorder="1" applyProtection="1"/>
    <xf numFmtId="3" fontId="5" fillId="21" borderId="179" xfId="0" applyNumberFormat="1" applyFont="1" applyFill="1" applyBorder="1" applyProtection="1"/>
    <xf numFmtId="0" fontId="4" fillId="21" borderId="72" xfId="0" applyFont="1" applyFill="1" applyBorder="1" applyAlignment="1" applyProtection="1">
      <alignment horizontal="center" vertical="center"/>
    </xf>
    <xf numFmtId="0" fontId="4" fillId="21" borderId="94" xfId="0" applyFont="1" applyFill="1" applyBorder="1" applyAlignment="1" applyProtection="1">
      <alignment horizontal="center" vertical="center" wrapText="1"/>
    </xf>
    <xf numFmtId="0" fontId="5" fillId="21" borderId="156" xfId="0" applyFont="1" applyFill="1" applyBorder="1" applyAlignment="1" applyProtection="1">
      <alignment horizontal="center" vertical="top" wrapText="1"/>
    </xf>
    <xf numFmtId="0" fontId="3" fillId="21" borderId="47" xfId="0" applyFont="1" applyFill="1" applyBorder="1" applyAlignment="1" applyProtection="1">
      <alignment horizontal="left" vertical="top" wrapText="1"/>
    </xf>
    <xf numFmtId="3" fontId="36" fillId="0" borderId="0" xfId="0" applyNumberFormat="1" applyFont="1" applyFill="1" applyBorder="1" applyAlignment="1" applyProtection="1">
      <alignment wrapText="1"/>
    </xf>
    <xf numFmtId="0" fontId="0" fillId="21" borderId="67" xfId="0" applyFill="1" applyBorder="1"/>
    <xf numFmtId="0" fontId="75" fillId="21" borderId="27" xfId="0" applyFont="1" applyFill="1" applyBorder="1" applyAlignment="1">
      <alignment horizontal="left" wrapText="1"/>
    </xf>
    <xf numFmtId="0" fontId="76" fillId="21" borderId="0" xfId="0" applyFont="1" applyFill="1" applyBorder="1" applyAlignment="1">
      <alignment horizontal="right" wrapText="1"/>
    </xf>
    <xf numFmtId="0" fontId="74" fillId="21" borderId="0" xfId="0" applyFont="1" applyFill="1" applyBorder="1" applyAlignment="1">
      <alignment wrapText="1"/>
    </xf>
    <xf numFmtId="0" fontId="0" fillId="21" borderId="0" xfId="0" applyFill="1" applyBorder="1"/>
    <xf numFmtId="0" fontId="72" fillId="21" borderId="27" xfId="0" applyFont="1" applyFill="1" applyBorder="1" applyAlignment="1">
      <alignment horizontal="right" wrapText="1"/>
    </xf>
    <xf numFmtId="49" fontId="76" fillId="21" borderId="0" xfId="0" applyNumberFormat="1" applyFont="1" applyFill="1" applyBorder="1" applyAlignment="1">
      <alignment horizontal="right" wrapText="1"/>
    </xf>
    <xf numFmtId="3" fontId="148" fillId="21" borderId="0" xfId="0" applyNumberFormat="1" applyFont="1" applyFill="1" applyBorder="1" applyAlignment="1" applyProtection="1">
      <alignment horizontal="right"/>
    </xf>
    <xf numFmtId="3" fontId="17" fillId="21" borderId="0" xfId="0" applyNumberFormat="1" applyFont="1" applyFill="1" applyBorder="1" applyAlignment="1" applyProtection="1">
      <alignment horizontal="right"/>
    </xf>
    <xf numFmtId="0" fontId="0" fillId="21" borderId="0" xfId="0" applyFill="1"/>
    <xf numFmtId="0" fontId="149" fillId="21" borderId="0" xfId="0" applyFont="1" applyFill="1"/>
    <xf numFmtId="0" fontId="0" fillId="21" borderId="27" xfId="0" applyFill="1" applyBorder="1"/>
    <xf numFmtId="0" fontId="0" fillId="21" borderId="111" xfId="0" applyFill="1" applyBorder="1"/>
    <xf numFmtId="0" fontId="0" fillId="21" borderId="1" xfId="0" applyFill="1" applyBorder="1"/>
    <xf numFmtId="0" fontId="0" fillId="35" borderId="0" xfId="0" applyFill="1"/>
    <xf numFmtId="49" fontId="3" fillId="36" borderId="27" xfId="0" applyNumberFormat="1" applyFont="1" applyFill="1" applyBorder="1" applyAlignment="1" applyProtection="1">
      <alignment horizontal="center"/>
    </xf>
    <xf numFmtId="49" fontId="3" fillId="36" borderId="21" xfId="0" applyNumberFormat="1" applyFont="1" applyFill="1" applyBorder="1" applyAlignment="1" applyProtection="1">
      <alignment horizontal="center"/>
    </xf>
    <xf numFmtId="49" fontId="3" fillId="36" borderId="9" xfId="0" applyNumberFormat="1" applyFont="1" applyFill="1" applyBorder="1" applyAlignment="1" applyProtection="1">
      <alignment horizontal="center"/>
    </xf>
    <xf numFmtId="49" fontId="3" fillId="36" borderId="2" xfId="0" applyNumberFormat="1" applyFont="1" applyFill="1" applyBorder="1" applyAlignment="1" applyProtection="1">
      <alignment horizontal="center"/>
    </xf>
    <xf numFmtId="0" fontId="3" fillId="36" borderId="5" xfId="0" applyFont="1" applyFill="1" applyBorder="1" applyAlignment="1" applyProtection="1">
      <alignment horizontal="center"/>
    </xf>
    <xf numFmtId="49" fontId="3" fillId="36" borderId="2" xfId="0" applyNumberFormat="1" applyFont="1" applyFill="1" applyBorder="1" applyAlignment="1" applyProtection="1">
      <alignment horizontal="left"/>
    </xf>
    <xf numFmtId="0" fontId="3" fillId="36" borderId="5" xfId="0" applyFont="1" applyFill="1" applyBorder="1" applyProtection="1"/>
    <xf numFmtId="0" fontId="3" fillId="36" borderId="0" xfId="0" applyFont="1" applyFill="1" applyBorder="1" applyProtection="1"/>
    <xf numFmtId="0" fontId="3" fillId="36" borderId="2" xfId="0" applyFont="1" applyFill="1" applyBorder="1" applyProtection="1"/>
    <xf numFmtId="0" fontId="8" fillId="36" borderId="2" xfId="0" applyFont="1" applyFill="1" applyBorder="1" applyProtection="1"/>
    <xf numFmtId="0" fontId="3" fillId="36" borderId="133" xfId="0" applyFont="1" applyFill="1" applyBorder="1" applyProtection="1"/>
    <xf numFmtId="49" fontId="3" fillId="36" borderId="155" xfId="0" applyNumberFormat="1" applyFont="1" applyFill="1" applyBorder="1" applyAlignment="1" applyProtection="1">
      <alignment horizontal="center" wrapText="1"/>
    </xf>
    <xf numFmtId="49" fontId="3" fillId="36" borderId="209" xfId="0" applyNumberFormat="1" applyFont="1" applyFill="1" applyBorder="1" applyAlignment="1" applyProtection="1">
      <alignment horizontal="left"/>
    </xf>
    <xf numFmtId="49" fontId="3" fillId="36" borderId="64" xfId="0" applyNumberFormat="1" applyFont="1" applyFill="1" applyBorder="1" applyAlignment="1" applyProtection="1">
      <alignment horizontal="left"/>
    </xf>
    <xf numFmtId="49" fontId="3" fillId="36" borderId="231" xfId="0" applyNumberFormat="1" applyFont="1" applyFill="1" applyBorder="1" applyAlignment="1" applyProtection="1">
      <alignment horizontal="left"/>
    </xf>
    <xf numFmtId="174" fontId="2" fillId="0" borderId="71" xfId="0" applyNumberFormat="1" applyFont="1" applyFill="1" applyBorder="1" applyProtection="1">
      <protection locked="0"/>
    </xf>
    <xf numFmtId="3" fontId="2" fillId="35" borderId="53" xfId="0" applyNumberFormat="1" applyFont="1" applyFill="1" applyBorder="1" applyAlignment="1" applyProtection="1">
      <alignment horizontal="right"/>
      <protection locked="0"/>
    </xf>
    <xf numFmtId="3" fontId="10" fillId="37" borderId="10" xfId="0" applyNumberFormat="1" applyFont="1" applyFill="1" applyBorder="1" applyAlignment="1" applyProtection="1">
      <alignment horizontal="right"/>
      <protection locked="0"/>
    </xf>
    <xf numFmtId="0" fontId="5" fillId="21" borderId="95" xfId="0" applyFont="1" applyFill="1" applyBorder="1" applyAlignment="1" applyProtection="1">
      <alignment horizontal="center"/>
    </xf>
    <xf numFmtId="0" fontId="5" fillId="21" borderId="56" xfId="0" applyFont="1" applyFill="1" applyBorder="1" applyAlignment="1" applyProtection="1">
      <alignment horizontal="center"/>
    </xf>
    <xf numFmtId="0" fontId="5" fillId="21" borderId="147" xfId="0" applyFont="1" applyFill="1" applyBorder="1" applyAlignment="1" applyProtection="1">
      <alignment horizontal="right"/>
    </xf>
    <xf numFmtId="3" fontId="2" fillId="21" borderId="236" xfId="0" applyNumberFormat="1" applyFont="1" applyFill="1" applyBorder="1" applyAlignment="1" applyProtection="1">
      <alignment horizontal="right"/>
    </xf>
    <xf numFmtId="3" fontId="2" fillId="21" borderId="95" xfId="0" applyNumberFormat="1" applyFont="1" applyFill="1" applyBorder="1" applyAlignment="1" applyProtection="1">
      <alignment horizontal="right"/>
    </xf>
    <xf numFmtId="3" fontId="2" fillId="21" borderId="56" xfId="0" applyNumberFormat="1" applyFont="1" applyFill="1" applyBorder="1" applyAlignment="1" applyProtection="1">
      <alignment horizontal="right"/>
    </xf>
    <xf numFmtId="3" fontId="2" fillId="21" borderId="54" xfId="0" applyNumberFormat="1" applyFont="1" applyFill="1" applyBorder="1" applyAlignment="1" applyProtection="1">
      <alignment horizontal="right"/>
    </xf>
    <xf numFmtId="3" fontId="2" fillId="21" borderId="107" xfId="0" applyNumberFormat="1" applyFont="1" applyFill="1" applyBorder="1" applyAlignment="1" applyProtection="1">
      <alignment horizontal="right"/>
    </xf>
    <xf numFmtId="3" fontId="2" fillId="21" borderId="12" xfId="0" applyNumberFormat="1" applyFont="1" applyFill="1" applyBorder="1" applyAlignment="1" applyProtection="1">
      <alignment horizontal="right"/>
    </xf>
    <xf numFmtId="0" fontId="5" fillId="21" borderId="237" xfId="0" applyFont="1" applyFill="1" applyBorder="1" applyAlignment="1" applyProtection="1">
      <alignment horizontal="center"/>
    </xf>
    <xf numFmtId="0" fontId="5" fillId="21" borderId="238" xfId="0" applyFont="1" applyFill="1" applyBorder="1" applyAlignment="1" applyProtection="1">
      <alignment horizontal="center"/>
    </xf>
    <xf numFmtId="0" fontId="5" fillId="21" borderId="239" xfId="0" applyFont="1" applyFill="1" applyBorder="1" applyAlignment="1" applyProtection="1">
      <alignment horizontal="center"/>
    </xf>
    <xf numFmtId="9" fontId="3" fillId="21" borderId="240" xfId="0" applyNumberFormat="1" applyFont="1" applyFill="1" applyBorder="1" applyAlignment="1" applyProtection="1">
      <alignment horizontal="right"/>
    </xf>
    <xf numFmtId="9" fontId="3" fillId="21" borderId="237" xfId="0" applyNumberFormat="1" applyFont="1" applyFill="1" applyBorder="1" applyAlignment="1" applyProtection="1">
      <alignment horizontal="right"/>
    </xf>
    <xf numFmtId="9" fontId="3" fillId="21" borderId="238" xfId="0" applyNumberFormat="1" applyFont="1" applyFill="1" applyBorder="1" applyAlignment="1" applyProtection="1">
      <alignment horizontal="right"/>
    </xf>
    <xf numFmtId="9" fontId="3" fillId="21" borderId="241" xfId="0" applyNumberFormat="1" applyFont="1" applyFill="1" applyBorder="1" applyAlignment="1" applyProtection="1">
      <alignment horizontal="right"/>
    </xf>
    <xf numFmtId="9" fontId="3" fillId="21" borderId="242" xfId="0" applyNumberFormat="1" applyFont="1" applyFill="1" applyBorder="1" applyAlignment="1" applyProtection="1">
      <alignment horizontal="right"/>
    </xf>
    <xf numFmtId="9" fontId="3" fillId="21" borderId="243" xfId="0" applyNumberFormat="1" applyFont="1" applyFill="1" applyBorder="1" applyAlignment="1" applyProtection="1">
      <alignment horizontal="right"/>
    </xf>
    <xf numFmtId="9" fontId="3" fillId="21" borderId="244" xfId="0" applyNumberFormat="1" applyFont="1" applyFill="1" applyBorder="1" applyAlignment="1" applyProtection="1">
      <alignment horizontal="right"/>
    </xf>
    <xf numFmtId="9" fontId="3" fillId="21" borderId="245" xfId="0" applyNumberFormat="1" applyFont="1" applyFill="1" applyBorder="1" applyAlignment="1" applyProtection="1">
      <alignment horizontal="right"/>
    </xf>
    <xf numFmtId="9" fontId="3" fillId="0" borderId="0" xfId="0" applyNumberFormat="1" applyFont="1" applyFill="1" applyBorder="1" applyAlignment="1" applyProtection="1">
      <alignment horizontal="right"/>
    </xf>
    <xf numFmtId="0" fontId="0" fillId="0" borderId="246" xfId="0" applyFill="1" applyBorder="1" applyProtection="1"/>
    <xf numFmtId="0" fontId="5" fillId="21" borderId="247" xfId="0" applyFont="1" applyFill="1" applyBorder="1" applyAlignment="1" applyProtection="1">
      <alignment horizontal="center" vertical="top" wrapText="1"/>
    </xf>
    <xf numFmtId="0" fontId="5" fillId="21" borderId="248" xfId="0" applyFont="1" applyFill="1" applyBorder="1" applyAlignment="1" applyProtection="1">
      <alignment horizontal="center"/>
    </xf>
    <xf numFmtId="0" fontId="8" fillId="36" borderId="22" xfId="0" applyFont="1" applyFill="1" applyBorder="1" applyAlignment="1" applyProtection="1">
      <alignment horizontal="center"/>
    </xf>
    <xf numFmtId="3" fontId="3" fillId="38" borderId="0" xfId="0" applyNumberFormat="1" applyFont="1" applyFill="1" applyBorder="1" applyProtection="1"/>
    <xf numFmtId="1" fontId="3" fillId="36" borderId="2" xfId="0" applyNumberFormat="1" applyFont="1" applyFill="1" applyBorder="1" applyAlignment="1" applyProtection="1">
      <alignment horizontal="center" vertical="center" wrapText="1"/>
    </xf>
    <xf numFmtId="0" fontId="8" fillId="36" borderId="5" xfId="0" applyFont="1" applyFill="1" applyBorder="1" applyAlignment="1" applyProtection="1">
      <alignment horizontal="center"/>
    </xf>
    <xf numFmtId="0" fontId="8" fillId="36" borderId="9" xfId="0" applyFont="1" applyFill="1" applyBorder="1" applyAlignment="1" applyProtection="1">
      <alignment horizontal="center" wrapText="1"/>
    </xf>
    <xf numFmtId="1" fontId="8" fillId="36" borderId="2" xfId="0" applyNumberFormat="1" applyFont="1" applyFill="1" applyBorder="1" applyAlignment="1" applyProtection="1">
      <alignment horizontal="center"/>
    </xf>
    <xf numFmtId="0" fontId="3" fillId="36" borderId="82" xfId="0" applyFont="1" applyFill="1" applyBorder="1" applyAlignment="1" applyProtection="1">
      <alignment horizontal="left"/>
    </xf>
    <xf numFmtId="0" fontId="3" fillId="36" borderId="82" xfId="0" applyFont="1" applyFill="1" applyBorder="1" applyAlignment="1" applyProtection="1">
      <alignment horizontal="left" wrapText="1"/>
    </xf>
    <xf numFmtId="0" fontId="5" fillId="36" borderId="154" xfId="0" applyFont="1" applyFill="1" applyBorder="1" applyAlignment="1" applyProtection="1">
      <alignment horizontal="left"/>
    </xf>
    <xf numFmtId="49" fontId="3" fillId="36" borderId="160" xfId="0" applyNumberFormat="1" applyFont="1" applyFill="1" applyBorder="1" applyAlignment="1" applyProtection="1">
      <alignment horizontal="center"/>
    </xf>
    <xf numFmtId="0" fontId="0" fillId="36" borderId="202" xfId="0" applyFill="1" applyBorder="1" applyProtection="1"/>
    <xf numFmtId="1" fontId="3" fillId="36" borderId="0" xfId="0" applyNumberFormat="1" applyFont="1" applyFill="1" applyBorder="1" applyAlignment="1" applyProtection="1">
      <alignment horizontal="center"/>
    </xf>
    <xf numFmtId="1" fontId="3" fillId="36" borderId="68" xfId="0" applyNumberFormat="1" applyFont="1" applyFill="1" applyBorder="1" applyAlignment="1" applyProtection="1">
      <alignment horizontal="center"/>
    </xf>
    <xf numFmtId="0" fontId="0" fillId="36" borderId="0" xfId="0" applyFill="1" applyProtection="1"/>
    <xf numFmtId="1" fontId="8" fillId="36" borderId="70" xfId="0" applyNumberFormat="1" applyFont="1" applyFill="1" applyBorder="1" applyAlignment="1" applyProtection="1">
      <alignment horizontal="center"/>
    </xf>
    <xf numFmtId="1" fontId="3" fillId="36" borderId="0" xfId="0" applyNumberFormat="1" applyFont="1" applyFill="1" applyBorder="1" applyAlignment="1" applyProtection="1">
      <alignment horizontal="left"/>
    </xf>
    <xf numFmtId="0" fontId="3" fillId="36" borderId="128" xfId="0" applyFont="1" applyFill="1" applyBorder="1" applyAlignment="1" applyProtection="1">
      <alignment horizontal="left"/>
    </xf>
    <xf numFmtId="0" fontId="9" fillId="36" borderId="202" xfId="0" applyFont="1" applyFill="1" applyBorder="1" applyProtection="1"/>
    <xf numFmtId="49" fontId="3" fillId="36" borderId="9" xfId="0" applyNumberFormat="1" applyFont="1" applyFill="1" applyBorder="1" applyAlignment="1" applyProtection="1">
      <alignment horizontal="left"/>
    </xf>
    <xf numFmtId="1" fontId="3" fillId="36" borderId="70" xfId="0" applyNumberFormat="1" applyFont="1" applyFill="1" applyBorder="1" applyAlignment="1" applyProtection="1">
      <alignment horizontal="left"/>
    </xf>
    <xf numFmtId="49" fontId="18" fillId="36" borderId="8" xfId="0" applyNumberFormat="1" applyFont="1" applyFill="1" applyBorder="1" applyAlignment="1" applyProtection="1">
      <alignment horizontal="left"/>
    </xf>
    <xf numFmtId="0" fontId="101" fillId="36" borderId="5" xfId="0" applyFont="1" applyFill="1" applyBorder="1" applyProtection="1"/>
    <xf numFmtId="0" fontId="101" fillId="36" borderId="25" xfId="0" applyFont="1" applyFill="1" applyBorder="1" applyProtection="1"/>
    <xf numFmtId="0" fontId="5" fillId="36" borderId="9" xfId="5" applyFont="1" applyFill="1" applyBorder="1" applyAlignment="1" applyProtection="1">
      <alignment vertical="top" wrapText="1"/>
    </xf>
    <xf numFmtId="0" fontId="3" fillId="36" borderId="2" xfId="5" applyFont="1" applyFill="1" applyBorder="1" applyProtection="1"/>
    <xf numFmtId="0" fontId="3" fillId="21" borderId="237" xfId="0" applyFont="1" applyFill="1" applyBorder="1" applyAlignment="1" applyProtection="1">
      <alignment horizontal="left" vertical="top" wrapText="1"/>
    </xf>
    <xf numFmtId="0" fontId="35" fillId="21" borderId="238" xfId="0" applyFont="1" applyFill="1" applyBorder="1" applyAlignment="1" applyProtection="1">
      <alignment horizontal="left" vertical="top" wrapText="1"/>
    </xf>
    <xf numFmtId="0" fontId="35" fillId="21" borderId="244" xfId="0" applyFont="1" applyFill="1" applyBorder="1" applyAlignment="1" applyProtection="1">
      <alignment horizontal="left" vertical="top" wrapText="1"/>
    </xf>
    <xf numFmtId="0" fontId="4" fillId="21" borderId="238" xfId="0" applyFont="1" applyFill="1" applyBorder="1" applyProtection="1"/>
    <xf numFmtId="0" fontId="35" fillId="21" borderId="246" xfId="0" applyFont="1" applyFill="1" applyBorder="1" applyProtection="1"/>
    <xf numFmtId="3" fontId="91" fillId="21" borderId="245" xfId="0" applyNumberFormat="1" applyFont="1" applyFill="1" applyBorder="1" applyProtection="1"/>
    <xf numFmtId="0" fontId="2" fillId="21" borderId="245" xfId="0" applyFont="1" applyFill="1" applyBorder="1" applyAlignment="1" applyProtection="1">
      <alignment vertical="top"/>
    </xf>
    <xf numFmtId="9" fontId="45" fillId="21" borderId="244" xfId="0" applyNumberFormat="1" applyFont="1" applyFill="1" applyBorder="1" applyProtection="1"/>
    <xf numFmtId="3" fontId="91" fillId="21" borderId="250" xfId="0" applyNumberFormat="1" applyFont="1" applyFill="1" applyBorder="1" applyProtection="1"/>
    <xf numFmtId="0" fontId="2" fillId="21" borderId="251" xfId="0" applyFont="1" applyFill="1" applyBorder="1" applyAlignment="1" applyProtection="1">
      <alignment vertical="top"/>
    </xf>
    <xf numFmtId="3" fontId="91" fillId="21" borderId="246" xfId="0" applyNumberFormat="1" applyFont="1" applyFill="1" applyBorder="1" applyProtection="1"/>
    <xf numFmtId="3" fontId="18" fillId="21" borderId="246" xfId="0" applyNumberFormat="1" applyFont="1" applyFill="1" applyBorder="1" applyProtection="1"/>
    <xf numFmtId="9" fontId="45" fillId="21" borderId="245" xfId="0" applyNumberFormat="1" applyFont="1" applyFill="1" applyBorder="1" applyProtection="1"/>
    <xf numFmtId="9" fontId="45" fillId="21" borderId="241" xfId="0" applyNumberFormat="1" applyFont="1" applyFill="1" applyBorder="1" applyProtection="1"/>
    <xf numFmtId="3" fontId="10" fillId="21" borderId="245" xfId="0" applyNumberFormat="1" applyFont="1" applyFill="1" applyBorder="1" applyAlignment="1" applyProtection="1">
      <alignment vertical="top"/>
      <protection locked="0"/>
    </xf>
    <xf numFmtId="3" fontId="91" fillId="21" borderId="252" xfId="0" applyNumberFormat="1" applyFont="1" applyFill="1" applyBorder="1" applyProtection="1"/>
    <xf numFmtId="3" fontId="3" fillId="21" borderId="253" xfId="0" applyNumberFormat="1" applyFont="1" applyFill="1" applyBorder="1" applyProtection="1"/>
    <xf numFmtId="9" fontId="45" fillId="21" borderId="243" xfId="0" applyNumberFormat="1" applyFont="1" applyFill="1" applyBorder="1" applyProtection="1"/>
    <xf numFmtId="3" fontId="91" fillId="21" borderId="254" xfId="0" applyNumberFormat="1" applyFont="1" applyFill="1" applyBorder="1" applyProtection="1"/>
    <xf numFmtId="0" fontId="9" fillId="21" borderId="245" xfId="0" applyFont="1" applyFill="1" applyBorder="1" applyAlignment="1" applyProtection="1">
      <alignment vertical="top"/>
    </xf>
    <xf numFmtId="9" fontId="45" fillId="21" borderId="241" xfId="0" quotePrefix="1" applyNumberFormat="1" applyFont="1" applyFill="1" applyBorder="1" applyProtection="1"/>
    <xf numFmtId="3" fontId="91" fillId="21" borderId="255" xfId="0" applyNumberFormat="1" applyFont="1" applyFill="1" applyBorder="1" applyProtection="1"/>
    <xf numFmtId="0" fontId="2" fillId="21" borderId="245" xfId="0" applyFont="1" applyFill="1" applyBorder="1" applyAlignment="1" applyProtection="1">
      <alignment vertical="top"/>
      <protection locked="0"/>
    </xf>
    <xf numFmtId="0" fontId="2" fillId="21" borderId="243" xfId="0" applyFont="1" applyFill="1" applyBorder="1" applyAlignment="1" applyProtection="1">
      <alignment vertical="top"/>
      <protection locked="0"/>
    </xf>
    <xf numFmtId="9" fontId="122" fillId="21" borderId="245" xfId="0" applyNumberFormat="1" applyFont="1" applyFill="1" applyBorder="1" applyAlignment="1" applyProtection="1"/>
    <xf numFmtId="9" fontId="45" fillId="21" borderId="242" xfId="0" applyNumberFormat="1" applyFont="1" applyFill="1" applyBorder="1" applyProtection="1"/>
    <xf numFmtId="3" fontId="104" fillId="21" borderId="256" xfId="0" applyNumberFormat="1" applyFont="1" applyFill="1" applyBorder="1" applyProtection="1"/>
    <xf numFmtId="3" fontId="91" fillId="21" borderId="256" xfId="0" applyNumberFormat="1" applyFont="1" applyFill="1" applyBorder="1" applyProtection="1"/>
    <xf numFmtId="0" fontId="1" fillId="21" borderId="257" xfId="0" applyFont="1" applyFill="1" applyBorder="1" applyProtection="1"/>
    <xf numFmtId="3" fontId="2" fillId="22" borderId="242" xfId="0" applyNumberFormat="1" applyFont="1" applyFill="1" applyBorder="1" applyAlignment="1" applyProtection="1">
      <alignment horizontal="right"/>
    </xf>
    <xf numFmtId="3" fontId="91" fillId="21" borderId="258" xfId="0" applyNumberFormat="1" applyFont="1" applyFill="1" applyBorder="1" applyProtection="1"/>
    <xf numFmtId="0" fontId="7" fillId="21" borderId="27" xfId="0" applyFont="1" applyFill="1" applyBorder="1" applyAlignment="1">
      <alignment vertical="top" wrapText="1"/>
    </xf>
    <xf numFmtId="0" fontId="0" fillId="21" borderId="27" xfId="0" applyFill="1" applyBorder="1" applyAlignment="1">
      <alignment vertical="top" wrapText="1"/>
    </xf>
    <xf numFmtId="3" fontId="8" fillId="21" borderId="27" xfId="0" applyNumberFormat="1" applyFont="1" applyFill="1" applyBorder="1" applyAlignment="1" applyProtection="1">
      <alignment vertical="top" wrapText="1"/>
    </xf>
    <xf numFmtId="3" fontId="8" fillId="21" borderId="27" xfId="0" applyNumberFormat="1" applyFont="1" applyFill="1" applyBorder="1" applyAlignment="1" applyProtection="1">
      <alignment horizontal="left" wrapText="1"/>
    </xf>
    <xf numFmtId="3" fontId="35" fillId="21" borderId="227" xfId="0" applyNumberFormat="1" applyFont="1" applyFill="1" applyBorder="1" applyAlignment="1" applyProtection="1">
      <alignment wrapText="1"/>
    </xf>
    <xf numFmtId="3" fontId="45" fillId="21" borderId="0" xfId="0" applyNumberFormat="1" applyFont="1" applyFill="1" applyBorder="1" applyProtection="1"/>
    <xf numFmtId="3" fontId="45" fillId="21" borderId="27" xfId="0" applyNumberFormat="1" applyFont="1" applyFill="1" applyBorder="1" applyProtection="1"/>
    <xf numFmtId="3" fontId="36" fillId="21" borderId="178" xfId="5" quotePrefix="1" applyNumberFormat="1" applyFont="1" applyFill="1" applyBorder="1" applyAlignment="1" applyProtection="1">
      <alignment horizontal="left"/>
    </xf>
    <xf numFmtId="3" fontId="45" fillId="21" borderId="27" xfId="9" applyNumberFormat="1" applyFont="1" applyFill="1" applyBorder="1" applyAlignment="1" applyProtection="1">
      <alignment horizontal="center"/>
    </xf>
    <xf numFmtId="3" fontId="45" fillId="21" borderId="178" xfId="12" applyNumberFormat="1" applyFont="1" applyFill="1" applyBorder="1" applyAlignment="1" applyProtection="1">
      <alignment horizontal="center"/>
    </xf>
    <xf numFmtId="3" fontId="45" fillId="21" borderId="178" xfId="9" applyNumberFormat="1" applyFont="1" applyFill="1" applyBorder="1" applyAlignment="1" applyProtection="1">
      <alignment horizontal="center"/>
    </xf>
    <xf numFmtId="3" fontId="77" fillId="21" borderId="27" xfId="9" applyNumberFormat="1" applyFont="1" applyFill="1" applyBorder="1" applyAlignment="1" applyProtection="1">
      <alignment horizontal="center"/>
    </xf>
    <xf numFmtId="3" fontId="45" fillId="21" borderId="185" xfId="12" applyNumberFormat="1" applyFont="1" applyFill="1" applyBorder="1" applyAlignment="1" applyProtection="1">
      <alignment horizontal="center"/>
    </xf>
    <xf numFmtId="3" fontId="102" fillId="21" borderId="185" xfId="12" applyNumberFormat="1" applyFont="1" applyFill="1" applyBorder="1" applyAlignment="1" applyProtection="1">
      <alignment horizontal="center"/>
    </xf>
    <xf numFmtId="3" fontId="102" fillId="21" borderId="178" xfId="9" applyNumberFormat="1" applyFont="1" applyFill="1" applyBorder="1" applyAlignment="1" applyProtection="1">
      <alignment horizontal="center"/>
    </xf>
    <xf numFmtId="3" fontId="102" fillId="21" borderId="27" xfId="9" applyNumberFormat="1" applyFont="1" applyFill="1" applyBorder="1" applyAlignment="1" applyProtection="1">
      <alignment horizontal="center"/>
    </xf>
    <xf numFmtId="3" fontId="45" fillId="21" borderId="259" xfId="9" applyNumberFormat="1" applyFont="1" applyFill="1" applyBorder="1" applyAlignment="1" applyProtection="1">
      <alignment horizontal="center"/>
    </xf>
    <xf numFmtId="3" fontId="103" fillId="21" borderId="27" xfId="9" applyNumberFormat="1" applyFont="1" applyFill="1" applyBorder="1" applyAlignment="1" applyProtection="1">
      <alignment horizontal="center"/>
    </xf>
    <xf numFmtId="3" fontId="45" fillId="21" borderId="178" xfId="0" applyNumberFormat="1" applyFont="1" applyFill="1" applyBorder="1" applyProtection="1"/>
    <xf numFmtId="3" fontId="5" fillId="21" borderId="102" xfId="0" applyNumberFormat="1" applyFont="1" applyFill="1" applyBorder="1" applyAlignment="1" applyProtection="1">
      <alignment horizontal="left" vertical="center" wrapText="1"/>
    </xf>
    <xf numFmtId="3" fontId="2" fillId="21" borderId="92" xfId="0" applyNumberFormat="1" applyFont="1" applyFill="1" applyBorder="1" applyAlignment="1" applyProtection="1">
      <alignment horizontal="right"/>
    </xf>
    <xf numFmtId="3" fontId="2" fillId="21" borderId="177" xfId="0" applyNumberFormat="1" applyFont="1" applyFill="1" applyBorder="1" applyAlignment="1" applyProtection="1">
      <alignment horizontal="right"/>
    </xf>
    <xf numFmtId="3" fontId="2" fillId="21" borderId="164" xfId="0" applyNumberFormat="1" applyFont="1" applyFill="1" applyBorder="1" applyAlignment="1" applyProtection="1">
      <alignment horizontal="right"/>
    </xf>
    <xf numFmtId="3" fontId="2" fillId="21" borderId="96" xfId="0" applyNumberFormat="1" applyFont="1" applyFill="1" applyBorder="1" applyAlignment="1" applyProtection="1">
      <alignment horizontal="right"/>
    </xf>
    <xf numFmtId="3" fontId="2" fillId="21" borderId="65" xfId="0" applyNumberFormat="1" applyFont="1" applyFill="1" applyBorder="1" applyAlignment="1" applyProtection="1">
      <alignment horizontal="right"/>
    </xf>
    <xf numFmtId="3" fontId="2" fillId="21" borderId="165" xfId="0" applyNumberFormat="1" applyFont="1" applyFill="1" applyBorder="1" applyAlignment="1" applyProtection="1">
      <alignment horizontal="right"/>
    </xf>
    <xf numFmtId="3" fontId="2" fillId="21" borderId="223" xfId="0" applyNumberFormat="1" applyFont="1" applyFill="1" applyBorder="1" applyAlignment="1" applyProtection="1">
      <alignment horizontal="right"/>
    </xf>
    <xf numFmtId="3" fontId="2" fillId="21" borderId="177" xfId="0" applyNumberFormat="1" applyFont="1" applyFill="1" applyBorder="1" applyProtection="1"/>
    <xf numFmtId="0" fontId="0" fillId="21" borderId="97" xfId="0" applyFill="1" applyBorder="1" applyProtection="1"/>
    <xf numFmtId="3" fontId="5" fillId="21" borderId="260" xfId="0" applyNumberFormat="1" applyFont="1" applyFill="1" applyBorder="1" applyAlignment="1" applyProtection="1">
      <alignment horizontal="left" vertical="center" wrapText="1"/>
    </xf>
    <xf numFmtId="0" fontId="0" fillId="21" borderId="262" xfId="0" applyFill="1" applyBorder="1" applyProtection="1"/>
    <xf numFmtId="3" fontId="2" fillId="21" borderId="263" xfId="0" applyNumberFormat="1" applyFont="1" applyFill="1" applyBorder="1" applyAlignment="1" applyProtection="1">
      <alignment horizontal="right"/>
    </xf>
    <xf numFmtId="3" fontId="2" fillId="21" borderId="264" xfId="0" applyNumberFormat="1" applyFont="1" applyFill="1" applyBorder="1" applyAlignment="1" applyProtection="1">
      <alignment horizontal="right"/>
    </xf>
    <xf numFmtId="3" fontId="2" fillId="21" borderId="265" xfId="0" applyNumberFormat="1" applyFont="1" applyFill="1" applyBorder="1" applyAlignment="1" applyProtection="1">
      <alignment horizontal="right"/>
    </xf>
    <xf numFmtId="3" fontId="2" fillId="21" borderId="266" xfId="0" applyNumberFormat="1" applyFont="1" applyFill="1" applyBorder="1" applyAlignment="1" applyProtection="1">
      <alignment horizontal="right"/>
    </xf>
    <xf numFmtId="3" fontId="2" fillId="21" borderId="262" xfId="0" applyNumberFormat="1" applyFont="1" applyFill="1" applyBorder="1" applyAlignment="1" applyProtection="1">
      <alignment horizontal="right"/>
    </xf>
    <xf numFmtId="0" fontId="9" fillId="21" borderId="266" xfId="0" applyFont="1" applyFill="1" applyBorder="1" applyProtection="1"/>
    <xf numFmtId="3" fontId="2" fillId="21" borderId="267" xfId="0" applyNumberFormat="1" applyFont="1" applyFill="1" applyBorder="1" applyAlignment="1" applyProtection="1">
      <alignment horizontal="right"/>
    </xf>
    <xf numFmtId="3" fontId="2" fillId="21" borderId="268" xfId="0" applyNumberFormat="1" applyFont="1" applyFill="1" applyBorder="1" applyAlignment="1" applyProtection="1">
      <alignment horizontal="right"/>
    </xf>
    <xf numFmtId="3" fontId="2" fillId="21" borderId="269" xfId="0" applyNumberFormat="1" applyFont="1" applyFill="1" applyBorder="1" applyAlignment="1" applyProtection="1">
      <alignment horizontal="right"/>
    </xf>
    <xf numFmtId="3" fontId="2" fillId="21" borderId="264" xfId="0" applyNumberFormat="1" applyFont="1" applyFill="1" applyBorder="1" applyProtection="1"/>
    <xf numFmtId="0" fontId="0" fillId="21" borderId="270" xfId="0" applyFill="1" applyBorder="1" applyProtection="1"/>
    <xf numFmtId="3" fontId="13" fillId="38" borderId="5" xfId="0" applyNumberFormat="1" applyFont="1" applyFill="1" applyBorder="1" applyAlignment="1" applyProtection="1">
      <alignment horizontal="right"/>
      <protection locked="0"/>
    </xf>
    <xf numFmtId="3" fontId="3" fillId="36" borderId="128" xfId="0" applyNumberFormat="1" applyFont="1" applyFill="1" applyBorder="1" applyAlignment="1" applyProtection="1">
      <alignment horizontal="left" vertical="top" wrapText="1"/>
    </xf>
    <xf numFmtId="0" fontId="3" fillId="36" borderId="154" xfId="0" applyFont="1" applyFill="1" applyBorder="1" applyAlignment="1" applyProtection="1">
      <alignment horizontal="left" vertical="top" wrapText="1"/>
    </xf>
    <xf numFmtId="3" fontId="3" fillId="36" borderId="60" xfId="0" applyNumberFormat="1" applyFont="1" applyFill="1" applyBorder="1" applyAlignment="1" applyProtection="1">
      <alignment horizontal="left" vertical="top" wrapText="1"/>
    </xf>
    <xf numFmtId="3" fontId="3" fillId="36" borderId="26" xfId="0" applyNumberFormat="1" applyFont="1" applyFill="1" applyBorder="1" applyAlignment="1" applyProtection="1">
      <alignment horizontal="left" vertical="top" wrapText="1"/>
    </xf>
    <xf numFmtId="3" fontId="3" fillId="36" borderId="29" xfId="0" applyNumberFormat="1" applyFont="1" applyFill="1" applyBorder="1" applyAlignment="1" applyProtection="1">
      <alignment horizontal="center"/>
    </xf>
    <xf numFmtId="3" fontId="3" fillId="36" borderId="24" xfId="0" applyNumberFormat="1" applyFont="1" applyFill="1" applyBorder="1" applyAlignment="1" applyProtection="1">
      <alignment vertical="top" wrapText="1"/>
    </xf>
    <xf numFmtId="3" fontId="3" fillId="36" borderId="55" xfId="0" applyNumberFormat="1" applyFont="1" applyFill="1" applyBorder="1" applyAlignment="1" applyProtection="1"/>
    <xf numFmtId="3" fontId="3" fillId="36" borderId="12" xfId="0" applyNumberFormat="1" applyFont="1" applyFill="1" applyBorder="1" applyAlignment="1" applyProtection="1"/>
    <xf numFmtId="3" fontId="13" fillId="38" borderId="3" xfId="0" applyNumberFormat="1" applyFont="1" applyFill="1" applyBorder="1" applyAlignment="1" applyProtection="1">
      <alignment horizontal="right"/>
      <protection locked="0"/>
    </xf>
    <xf numFmtId="3" fontId="3" fillId="36" borderId="92" xfId="0" applyNumberFormat="1" applyFont="1" applyFill="1" applyBorder="1" applyAlignment="1" applyProtection="1"/>
    <xf numFmtId="3" fontId="13" fillId="38" borderId="3" xfId="0" applyNumberFormat="1" applyFont="1" applyFill="1" applyBorder="1" applyAlignment="1" applyProtection="1">
      <alignment horizontal="right"/>
    </xf>
    <xf numFmtId="3" fontId="13" fillId="38" borderId="29" xfId="0" applyNumberFormat="1" applyFont="1" applyFill="1" applyBorder="1" applyAlignment="1" applyProtection="1">
      <alignment horizontal="right"/>
      <protection locked="0"/>
    </xf>
    <xf numFmtId="0" fontId="3" fillId="36" borderId="69" xfId="0" applyFont="1" applyFill="1" applyBorder="1" applyAlignment="1" applyProtection="1">
      <alignment horizontal="left" vertical="top" wrapText="1"/>
    </xf>
    <xf numFmtId="3" fontId="2" fillId="39" borderId="7" xfId="0" applyNumberFormat="1" applyFont="1" applyFill="1" applyBorder="1" applyAlignment="1" applyProtection="1">
      <alignment horizontal="right"/>
    </xf>
    <xf numFmtId="3" fontId="2" fillId="39" borderId="22" xfId="0" applyNumberFormat="1" applyFont="1" applyFill="1" applyBorder="1" applyAlignment="1" applyProtection="1">
      <alignment horizontal="right"/>
    </xf>
    <xf numFmtId="0" fontId="3" fillId="21" borderId="225" xfId="0" applyFont="1" applyFill="1" applyBorder="1" applyProtection="1"/>
    <xf numFmtId="0" fontId="0" fillId="21" borderId="0" xfId="0" applyFill="1" applyBorder="1" applyAlignment="1"/>
    <xf numFmtId="0" fontId="132" fillId="21" borderId="0" xfId="0" applyFont="1" applyFill="1" applyBorder="1" applyAlignment="1">
      <alignment vertical="top" wrapText="1"/>
    </xf>
    <xf numFmtId="0" fontId="132" fillId="21" borderId="0" xfId="0" applyFont="1" applyFill="1" applyBorder="1" applyAlignment="1">
      <alignment wrapText="1"/>
    </xf>
    <xf numFmtId="0" fontId="131" fillId="21" borderId="0" xfId="0" applyFont="1" applyFill="1" applyBorder="1" applyAlignment="1">
      <alignment wrapText="1"/>
    </xf>
    <xf numFmtId="0" fontId="0" fillId="21" borderId="0" xfId="0" applyFill="1" applyBorder="1" applyAlignment="1">
      <alignment wrapText="1"/>
    </xf>
    <xf numFmtId="0" fontId="0" fillId="21" borderId="0" xfId="0" applyFill="1" applyBorder="1" applyAlignment="1">
      <alignment horizontal="left" vertical="top" wrapText="1"/>
    </xf>
    <xf numFmtId="0" fontId="130" fillId="21" borderId="0" xfId="0" applyFont="1" applyFill="1" applyBorder="1" applyAlignment="1">
      <alignment wrapText="1"/>
    </xf>
    <xf numFmtId="0" fontId="7" fillId="21" borderId="0" xfId="0" applyFont="1" applyFill="1" applyBorder="1" applyAlignment="1">
      <alignment wrapText="1"/>
    </xf>
    <xf numFmtId="0" fontId="3" fillId="21" borderId="272" xfId="0" applyFont="1" applyFill="1" applyBorder="1" applyAlignment="1" applyProtection="1">
      <alignment horizontal="center"/>
    </xf>
    <xf numFmtId="3" fontId="45" fillId="22" borderId="274" xfId="0" applyNumberFormat="1" applyFont="1" applyFill="1" applyBorder="1" applyProtection="1"/>
    <xf numFmtId="3" fontId="45" fillId="22" borderId="275" xfId="0" applyNumberFormat="1" applyFont="1" applyFill="1" applyBorder="1" applyProtection="1"/>
    <xf numFmtId="3" fontId="45" fillId="22" borderId="272" xfId="0" applyNumberFormat="1" applyFont="1" applyFill="1" applyBorder="1" applyProtection="1"/>
    <xf numFmtId="3" fontId="45" fillId="22" borderId="276" xfId="0" applyNumberFormat="1" applyFont="1" applyFill="1" applyBorder="1" applyProtection="1"/>
    <xf numFmtId="3" fontId="45" fillId="22" borderId="277" xfId="0" applyNumberFormat="1" applyFont="1" applyFill="1" applyBorder="1" applyProtection="1"/>
    <xf numFmtId="3" fontId="45" fillId="22" borderId="278" xfId="0" applyNumberFormat="1" applyFont="1" applyFill="1" applyBorder="1" applyProtection="1"/>
    <xf numFmtId="3" fontId="45" fillId="22" borderId="279" xfId="0" applyNumberFormat="1" applyFont="1" applyFill="1" applyBorder="1" applyProtection="1"/>
    <xf numFmtId="3" fontId="45" fillId="22" borderId="280" xfId="0" applyNumberFormat="1" applyFont="1" applyFill="1" applyBorder="1" applyProtection="1"/>
    <xf numFmtId="3" fontId="45" fillId="22" borderId="271" xfId="0" applyNumberFormat="1" applyFont="1" applyFill="1" applyBorder="1" applyProtection="1"/>
    <xf numFmtId="3" fontId="45" fillId="21" borderId="279" xfId="0" applyNumberFormat="1" applyFont="1" applyFill="1" applyBorder="1" applyProtection="1"/>
    <xf numFmtId="3" fontId="45" fillId="21" borderId="280" xfId="0" applyNumberFormat="1" applyFont="1" applyFill="1" applyBorder="1" applyProtection="1"/>
    <xf numFmtId="1" fontId="45" fillId="21" borderId="281" xfId="0" applyNumberFormat="1" applyFont="1" applyFill="1" applyBorder="1" applyProtection="1"/>
    <xf numFmtId="3" fontId="3" fillId="21" borderId="283" xfId="0" applyNumberFormat="1" applyFont="1" applyFill="1" applyBorder="1" applyProtection="1"/>
    <xf numFmtId="3" fontId="3" fillId="21" borderId="282" xfId="0" applyNumberFormat="1" applyFont="1" applyFill="1" applyBorder="1" applyProtection="1"/>
    <xf numFmtId="3" fontId="3" fillId="21" borderId="284" xfId="0" applyNumberFormat="1" applyFont="1" applyFill="1" applyBorder="1" applyProtection="1"/>
    <xf numFmtId="3" fontId="36" fillId="21" borderId="283" xfId="0" applyNumberFormat="1" applyFont="1" applyFill="1" applyBorder="1" applyProtection="1"/>
    <xf numFmtId="1" fontId="3" fillId="21" borderId="285" xfId="0" applyNumberFormat="1" applyFont="1" applyFill="1" applyBorder="1" applyProtection="1"/>
    <xf numFmtId="3" fontId="112" fillId="0" borderId="0" xfId="5" applyNumberFormat="1" applyFont="1" applyFill="1" applyBorder="1" applyAlignment="1" applyProtection="1">
      <alignment horizontal="right"/>
    </xf>
    <xf numFmtId="0" fontId="3" fillId="21" borderId="248" xfId="5" applyFont="1" applyFill="1" applyBorder="1" applyAlignment="1" applyProtection="1">
      <alignment horizontal="center" vertical="top"/>
    </xf>
    <xf numFmtId="0" fontId="3" fillId="21" borderId="248" xfId="5" applyFont="1" applyFill="1" applyBorder="1" applyProtection="1"/>
    <xf numFmtId="1" fontId="3" fillId="21" borderId="248" xfId="5" applyNumberFormat="1" applyFont="1" applyFill="1" applyBorder="1" applyAlignment="1" applyProtection="1">
      <alignment horizontal="left"/>
    </xf>
    <xf numFmtId="169" fontId="41" fillId="21" borderId="286" xfId="5" applyNumberFormat="1" applyFont="1" applyFill="1" applyBorder="1" applyProtection="1"/>
    <xf numFmtId="3" fontId="45" fillId="21" borderId="287" xfId="5" applyNumberFormat="1" applyFont="1" applyFill="1" applyBorder="1" applyProtection="1"/>
    <xf numFmtId="9" fontId="45" fillId="21" borderId="245" xfId="5" quotePrefix="1" applyNumberFormat="1" applyFont="1" applyFill="1" applyBorder="1" applyAlignment="1" applyProtection="1">
      <alignment horizontal="right"/>
    </xf>
    <xf numFmtId="3" fontId="42" fillId="21" borderId="257" xfId="5" applyNumberFormat="1" applyFont="1" applyFill="1" applyBorder="1" applyAlignment="1" applyProtection="1">
      <alignment horizontal="right"/>
    </xf>
    <xf numFmtId="3" fontId="42" fillId="21" borderId="246" xfId="5" applyNumberFormat="1" applyFont="1" applyFill="1" applyBorder="1" applyAlignment="1" applyProtection="1">
      <alignment horizontal="right"/>
    </xf>
    <xf numFmtId="3" fontId="42" fillId="21" borderId="258" xfId="5" applyNumberFormat="1" applyFont="1" applyFill="1" applyBorder="1" applyAlignment="1" applyProtection="1">
      <alignment horizontal="right"/>
    </xf>
    <xf numFmtId="9" fontId="45" fillId="21" borderId="254" xfId="5" applyNumberFormat="1" applyFont="1" applyFill="1" applyBorder="1" applyProtection="1"/>
    <xf numFmtId="0" fontId="3" fillId="21" borderId="288" xfId="5" applyFont="1" applyFill="1" applyBorder="1" applyProtection="1"/>
    <xf numFmtId="3" fontId="3" fillId="21" borderId="289" xfId="5" applyNumberFormat="1" applyFont="1" applyFill="1" applyBorder="1" applyProtection="1"/>
    <xf numFmtId="0" fontId="3" fillId="21" borderId="289" xfId="5" applyFont="1" applyFill="1" applyBorder="1" applyProtection="1"/>
    <xf numFmtId="0" fontId="7" fillId="21" borderId="289" xfId="5" applyFont="1" applyFill="1" applyBorder="1" applyAlignment="1" applyProtection="1">
      <alignment horizontal="left"/>
    </xf>
    <xf numFmtId="3" fontId="41" fillId="21" borderId="289" xfId="5" applyNumberFormat="1" applyFont="1" applyFill="1" applyBorder="1" applyProtection="1"/>
    <xf numFmtId="169" fontId="41" fillId="21" borderId="290" xfId="5" applyNumberFormat="1" applyFont="1" applyFill="1" applyBorder="1" applyProtection="1"/>
    <xf numFmtId="3" fontId="3" fillId="21" borderId="291" xfId="5" applyNumberFormat="1" applyFont="1" applyFill="1" applyBorder="1" applyProtection="1"/>
    <xf numFmtId="3" fontId="41" fillId="21" borderId="289" xfId="5" applyNumberFormat="1" applyFont="1" applyFill="1" applyBorder="1" applyAlignment="1" applyProtection="1">
      <alignment horizontal="right"/>
    </xf>
    <xf numFmtId="0" fontId="133" fillId="21" borderId="289" xfId="0" applyFont="1" applyFill="1" applyBorder="1" applyAlignment="1">
      <alignment vertical="top" wrapText="1"/>
    </xf>
    <xf numFmtId="3" fontId="41" fillId="21" borderId="292" xfId="5" applyNumberFormat="1" applyFont="1" applyFill="1" applyBorder="1" applyAlignment="1" applyProtection="1">
      <alignment horizontal="right"/>
    </xf>
    <xf numFmtId="3" fontId="3" fillId="21" borderId="288" xfId="5" applyNumberFormat="1" applyFont="1" applyFill="1" applyBorder="1" applyProtection="1"/>
    <xf numFmtId="3" fontId="119" fillId="21" borderId="289" xfId="5" applyNumberFormat="1" applyFont="1" applyFill="1" applyBorder="1" applyAlignment="1" applyProtection="1">
      <alignment horizontal="left" vertical="top"/>
    </xf>
    <xf numFmtId="0" fontId="120" fillId="21" borderId="289" xfId="0" applyFont="1" applyFill="1" applyBorder="1" applyAlignment="1"/>
    <xf numFmtId="3" fontId="3" fillId="21" borderId="288" xfId="5" applyNumberFormat="1" applyFont="1" applyFill="1" applyBorder="1" applyAlignment="1" applyProtection="1">
      <alignment horizontal="right"/>
    </xf>
    <xf numFmtId="3" fontId="3" fillId="21" borderId="289" xfId="5" applyNumberFormat="1" applyFont="1" applyFill="1" applyBorder="1" applyAlignment="1" applyProtection="1">
      <alignment horizontal="right"/>
    </xf>
    <xf numFmtId="0" fontId="134" fillId="21" borderId="289" xfId="0" applyFont="1" applyFill="1" applyBorder="1" applyAlignment="1">
      <alignment horizontal="left" vertical="top"/>
    </xf>
    <xf numFmtId="0" fontId="134" fillId="21" borderId="292" xfId="0" applyFont="1" applyFill="1" applyBorder="1" applyAlignment="1">
      <alignment horizontal="left" vertical="top"/>
    </xf>
    <xf numFmtId="3" fontId="3" fillId="21" borderId="293" xfId="5" applyNumberFormat="1" applyFont="1" applyFill="1" applyBorder="1" applyAlignment="1" applyProtection="1">
      <alignment wrapText="1"/>
    </xf>
    <xf numFmtId="3" fontId="3" fillId="21" borderId="246" xfId="5" applyNumberFormat="1" applyFont="1" applyFill="1" applyBorder="1" applyProtection="1"/>
    <xf numFmtId="0" fontId="3" fillId="21" borderId="246" xfId="5" applyFont="1" applyFill="1" applyBorder="1" applyAlignment="1" applyProtection="1">
      <alignment wrapText="1"/>
    </xf>
    <xf numFmtId="0" fontId="7" fillId="21" borderId="246" xfId="5" applyFont="1" applyFill="1" applyBorder="1" applyAlignment="1" applyProtection="1">
      <alignment horizontal="left" wrapText="1"/>
    </xf>
    <xf numFmtId="3" fontId="41" fillId="21" borderId="246" xfId="5" applyNumberFormat="1" applyFont="1" applyFill="1" applyBorder="1" applyProtection="1"/>
    <xf numFmtId="3" fontId="3" fillId="21" borderId="246" xfId="5" applyNumberFormat="1" applyFont="1" applyFill="1" applyBorder="1" applyAlignment="1" applyProtection="1">
      <alignment horizontal="left"/>
    </xf>
    <xf numFmtId="0" fontId="0" fillId="21" borderId="246" xfId="0" applyFill="1" applyBorder="1" applyAlignment="1"/>
    <xf numFmtId="3" fontId="41" fillId="21" borderId="258" xfId="5" applyNumberFormat="1" applyFont="1" applyFill="1" applyBorder="1" applyAlignment="1" applyProtection="1">
      <alignment horizontal="left"/>
    </xf>
    <xf numFmtId="169" fontId="3" fillId="21" borderId="293" xfId="5" applyNumberFormat="1" applyFont="1" applyFill="1" applyBorder="1" applyAlignment="1" applyProtection="1">
      <alignment horizontal="left"/>
    </xf>
    <xf numFmtId="169" fontId="41" fillId="21" borderId="246" xfId="5" applyNumberFormat="1" applyFont="1" applyFill="1" applyBorder="1" applyAlignment="1" applyProtection="1">
      <alignment horizontal="left"/>
    </xf>
    <xf numFmtId="3" fontId="3" fillId="21" borderId="250" xfId="5" applyNumberFormat="1" applyFont="1" applyFill="1" applyBorder="1" applyAlignment="1" applyProtection="1">
      <alignment horizontal="left"/>
    </xf>
    <xf numFmtId="3" fontId="3" fillId="21" borderId="256" xfId="5" applyNumberFormat="1" applyFont="1" applyFill="1" applyBorder="1" applyAlignment="1" applyProtection="1">
      <alignment horizontal="left"/>
    </xf>
    <xf numFmtId="0" fontId="24" fillId="36" borderId="68" xfId="5" applyFont="1" applyFill="1" applyBorder="1" applyProtection="1"/>
    <xf numFmtId="3" fontId="2" fillId="39" borderId="5" xfId="5" applyNumberFormat="1" applyFont="1" applyFill="1" applyBorder="1" applyAlignment="1" applyProtection="1"/>
    <xf numFmtId="0" fontId="0" fillId="21" borderId="294" xfId="0" applyFill="1" applyBorder="1"/>
    <xf numFmtId="0" fontId="0" fillId="21" borderId="295" xfId="0" applyFill="1" applyBorder="1"/>
    <xf numFmtId="1" fontId="5" fillId="21" borderId="296" xfId="0" applyNumberFormat="1" applyFont="1" applyFill="1" applyBorder="1" applyAlignment="1" applyProtection="1">
      <alignment horizontal="left"/>
    </xf>
    <xf numFmtId="1" fontId="3" fillId="21" borderId="297" xfId="0" applyNumberFormat="1" applyFont="1" applyFill="1" applyBorder="1" applyAlignment="1" applyProtection="1">
      <alignment horizontal="left"/>
    </xf>
    <xf numFmtId="1" fontId="5" fillId="21" borderId="297" xfId="0" applyNumberFormat="1" applyFont="1" applyFill="1" applyBorder="1" applyAlignment="1" applyProtection="1">
      <alignment horizontal="left"/>
    </xf>
    <xf numFmtId="0" fontId="0" fillId="21" borderId="298" xfId="0" applyFill="1" applyBorder="1"/>
    <xf numFmtId="1" fontId="3" fillId="21" borderId="299" xfId="0" applyNumberFormat="1" applyFont="1" applyFill="1" applyBorder="1" applyAlignment="1" applyProtection="1">
      <alignment horizontal="left"/>
    </xf>
    <xf numFmtId="1" fontId="5" fillId="21" borderId="300" xfId="0" applyNumberFormat="1" applyFont="1" applyFill="1" applyBorder="1" applyAlignment="1" applyProtection="1">
      <alignment horizontal="left"/>
    </xf>
    <xf numFmtId="1" fontId="5" fillId="21" borderId="301" xfId="0" applyNumberFormat="1" applyFont="1" applyFill="1" applyBorder="1" applyAlignment="1" applyProtection="1">
      <alignment horizontal="left"/>
    </xf>
    <xf numFmtId="0" fontId="3" fillId="21" borderId="248" xfId="5" applyFont="1" applyFill="1" applyBorder="1" applyAlignment="1" applyProtection="1">
      <alignment horizontal="center"/>
    </xf>
    <xf numFmtId="0" fontId="3" fillId="21" borderId="248" xfId="5" applyFont="1" applyFill="1" applyBorder="1" applyAlignment="1" applyProtection="1"/>
    <xf numFmtId="0" fontId="3" fillId="21" borderId="248" xfId="0" applyFont="1" applyFill="1" applyBorder="1" applyAlignment="1" applyProtection="1"/>
    <xf numFmtId="0" fontId="9" fillId="21" borderId="302" xfId="0" applyFont="1" applyFill="1" applyBorder="1" applyAlignment="1" applyProtection="1">
      <alignment horizontal="left"/>
    </xf>
    <xf numFmtId="9" fontId="45" fillId="21" borderId="303" xfId="0" quotePrefix="1" applyNumberFormat="1" applyFont="1" applyFill="1" applyBorder="1" applyAlignment="1" applyProtection="1">
      <alignment horizontal="right"/>
    </xf>
    <xf numFmtId="9" fontId="45" fillId="21" borderId="245" xfId="0" quotePrefix="1" applyNumberFormat="1" applyFont="1" applyFill="1" applyBorder="1" applyAlignment="1" applyProtection="1">
      <alignment horizontal="right"/>
    </xf>
    <xf numFmtId="3" fontId="45" fillId="21" borderId="257" xfId="0" applyNumberFormat="1" applyFont="1" applyFill="1" applyBorder="1" applyAlignment="1" applyProtection="1">
      <alignment horizontal="right"/>
    </xf>
    <xf numFmtId="0" fontId="0" fillId="21" borderId="304" xfId="0" applyFill="1" applyBorder="1"/>
    <xf numFmtId="9" fontId="45" fillId="21" borderId="241" xfId="0" quotePrefix="1" applyNumberFormat="1" applyFont="1" applyFill="1" applyBorder="1" applyAlignment="1" applyProtection="1">
      <alignment horizontal="right"/>
    </xf>
    <xf numFmtId="9" fontId="45" fillId="21" borderId="242" xfId="0" quotePrefix="1" applyNumberFormat="1" applyFont="1" applyFill="1" applyBorder="1" applyAlignment="1" applyProtection="1">
      <alignment horizontal="right"/>
    </xf>
    <xf numFmtId="9" fontId="45" fillId="21" borderId="254" xfId="0" quotePrefix="1" applyNumberFormat="1" applyFont="1" applyFill="1" applyBorder="1" applyAlignment="1" applyProtection="1">
      <alignment horizontal="right"/>
    </xf>
    <xf numFmtId="3" fontId="3" fillId="21" borderId="305" xfId="0" applyNumberFormat="1" applyFont="1" applyFill="1" applyBorder="1" applyAlignment="1" applyProtection="1">
      <alignment wrapText="1"/>
    </xf>
    <xf numFmtId="3" fontId="3" fillId="21" borderId="296" xfId="0" applyNumberFormat="1" applyFont="1" applyFill="1" applyBorder="1" applyAlignment="1" applyProtection="1"/>
    <xf numFmtId="3" fontId="3" fillId="21" borderId="296" xfId="0" applyNumberFormat="1" applyFont="1" applyFill="1" applyBorder="1" applyAlignment="1" applyProtection="1">
      <alignment vertical="center" wrapText="1"/>
    </xf>
    <xf numFmtId="0" fontId="2" fillId="21" borderId="296" xfId="0" applyFont="1" applyFill="1" applyBorder="1" applyAlignment="1" applyProtection="1">
      <alignment wrapText="1"/>
    </xf>
    <xf numFmtId="0" fontId="9" fillId="21" borderId="306" xfId="0" applyFont="1" applyFill="1" applyBorder="1" applyAlignment="1" applyProtection="1">
      <alignment horizontal="left" wrapText="1"/>
    </xf>
    <xf numFmtId="3" fontId="3" fillId="21" borderId="307" xfId="0" applyNumberFormat="1" applyFont="1" applyFill="1" applyBorder="1" applyAlignment="1" applyProtection="1">
      <alignment horizontal="right"/>
    </xf>
    <xf numFmtId="0" fontId="0" fillId="21" borderId="296" xfId="0" applyFill="1" applyBorder="1"/>
    <xf numFmtId="3" fontId="41" fillId="21" borderId="308" xfId="0" applyNumberFormat="1" applyFont="1" applyFill="1" applyBorder="1" applyAlignment="1" applyProtection="1">
      <alignment horizontal="right"/>
    </xf>
    <xf numFmtId="3" fontId="3" fillId="21" borderId="296" xfId="0" applyNumberFormat="1" applyFont="1" applyFill="1" applyBorder="1" applyAlignment="1" applyProtection="1">
      <alignment horizontal="right"/>
    </xf>
    <xf numFmtId="3" fontId="3" fillId="21" borderId="309" xfId="0" applyNumberFormat="1" applyFont="1" applyFill="1" applyBorder="1" applyAlignment="1" applyProtection="1">
      <alignment horizontal="right"/>
    </xf>
    <xf numFmtId="3" fontId="119" fillId="21" borderId="296" xfId="0" applyNumberFormat="1" applyFont="1" applyFill="1" applyBorder="1" applyAlignment="1" applyProtection="1">
      <alignment horizontal="left" vertical="top"/>
    </xf>
    <xf numFmtId="0" fontId="120" fillId="21" borderId="308" xfId="0" applyFont="1" applyFill="1" applyBorder="1" applyAlignment="1">
      <alignment horizontal="left" vertical="top"/>
    </xf>
    <xf numFmtId="3" fontId="3" fillId="21" borderId="293" xfId="0" applyNumberFormat="1" applyFont="1" applyFill="1" applyBorder="1" applyAlignment="1" applyProtection="1">
      <alignment wrapText="1"/>
    </xf>
    <xf numFmtId="3" fontId="3" fillId="21" borderId="246" xfId="0" applyNumberFormat="1" applyFont="1" applyFill="1" applyBorder="1" applyAlignment="1" applyProtection="1"/>
    <xf numFmtId="3" fontId="3" fillId="21" borderId="246" xfId="0" applyNumberFormat="1" applyFont="1" applyFill="1" applyBorder="1" applyAlignment="1" applyProtection="1">
      <alignment vertical="center" wrapText="1"/>
    </xf>
    <xf numFmtId="0" fontId="2" fillId="21" borderId="246" xfId="0" applyFont="1" applyFill="1" applyBorder="1" applyAlignment="1" applyProtection="1">
      <alignment wrapText="1"/>
    </xf>
    <xf numFmtId="0" fontId="9" fillId="21" borderId="246" xfId="0" applyFont="1" applyFill="1" applyBorder="1" applyAlignment="1" applyProtection="1">
      <alignment horizontal="left" wrapText="1"/>
    </xf>
    <xf numFmtId="3" fontId="3" fillId="21" borderId="310" xfId="0" applyNumberFormat="1" applyFont="1" applyFill="1" applyBorder="1" applyAlignment="1" applyProtection="1">
      <alignment horizontal="left"/>
    </xf>
    <xf numFmtId="0" fontId="0" fillId="21" borderId="246" xfId="0" applyFill="1" applyBorder="1"/>
    <xf numFmtId="3" fontId="41" fillId="21" borderId="246" xfId="0" applyNumberFormat="1" applyFont="1" applyFill="1" applyBorder="1" applyAlignment="1" applyProtection="1">
      <alignment horizontal="left"/>
    </xf>
    <xf numFmtId="3" fontId="3" fillId="21" borderId="293" xfId="0" applyNumberFormat="1" applyFont="1" applyFill="1" applyBorder="1" applyAlignment="1" applyProtection="1">
      <alignment horizontal="left"/>
    </xf>
    <xf numFmtId="3" fontId="41" fillId="21" borderId="252" xfId="0" applyNumberFormat="1" applyFont="1" applyFill="1" applyBorder="1" applyAlignment="1" applyProtection="1">
      <alignment horizontal="right"/>
    </xf>
    <xf numFmtId="3" fontId="3" fillId="21" borderId="246" xfId="0" applyNumberFormat="1" applyFont="1" applyFill="1" applyBorder="1" applyAlignment="1" applyProtection="1">
      <alignment horizontal="left"/>
    </xf>
    <xf numFmtId="0" fontId="120" fillId="21" borderId="246" xfId="0" applyFont="1" applyFill="1" applyBorder="1" applyAlignment="1">
      <alignment horizontal="left" vertical="top"/>
    </xf>
    <xf numFmtId="0" fontId="120" fillId="21" borderId="258" xfId="0" applyFont="1" applyFill="1" applyBorder="1" applyAlignment="1">
      <alignment horizontal="left" vertical="top"/>
    </xf>
    <xf numFmtId="3" fontId="3" fillId="21" borderId="256" xfId="0" applyNumberFormat="1" applyFont="1" applyFill="1" applyBorder="1" applyAlignment="1" applyProtection="1">
      <alignment horizontal="left"/>
    </xf>
    <xf numFmtId="3" fontId="41" fillId="21" borderId="311" xfId="0" applyNumberFormat="1" applyFont="1" applyFill="1" applyBorder="1" applyAlignment="1" applyProtection="1">
      <alignment horizontal="right"/>
    </xf>
    <xf numFmtId="3" fontId="41" fillId="21" borderId="312" xfId="0" applyNumberFormat="1" applyFont="1" applyFill="1" applyBorder="1" applyAlignment="1" applyProtection="1">
      <alignment horizontal="left"/>
    </xf>
    <xf numFmtId="3" fontId="42" fillId="21" borderId="56" xfId="0" applyNumberFormat="1" applyFont="1" applyFill="1" applyBorder="1" applyAlignment="1" applyProtection="1">
      <alignment horizontal="right"/>
    </xf>
    <xf numFmtId="9" fontId="45" fillId="21" borderId="257" xfId="0" quotePrefix="1" applyNumberFormat="1" applyFont="1" applyFill="1" applyBorder="1" applyAlignment="1" applyProtection="1">
      <alignment horizontal="right"/>
    </xf>
    <xf numFmtId="0" fontId="5" fillId="21" borderId="68" xfId="0" applyFont="1" applyFill="1" applyBorder="1" applyAlignment="1" applyProtection="1"/>
    <xf numFmtId="0" fontId="0" fillId="21" borderId="313" xfId="0" applyFill="1" applyBorder="1"/>
    <xf numFmtId="0" fontId="76" fillId="21" borderId="112" xfId="0" applyFont="1" applyFill="1" applyBorder="1" applyAlignment="1">
      <alignment wrapText="1"/>
    </xf>
    <xf numFmtId="0" fontId="76" fillId="21" borderId="67" xfId="0" applyFont="1" applyFill="1" applyBorder="1" applyAlignment="1">
      <alignment wrapText="1"/>
    </xf>
    <xf numFmtId="0" fontId="5" fillId="21" borderId="36" xfId="0" applyFont="1" applyFill="1" applyBorder="1" applyAlignment="1" applyProtection="1">
      <alignment horizontal="center" vertical="center"/>
    </xf>
    <xf numFmtId="0" fontId="0" fillId="21" borderId="121" xfId="0" applyFill="1" applyBorder="1" applyProtection="1"/>
    <xf numFmtId="0" fontId="3" fillId="21" borderId="125" xfId="0" applyFont="1" applyFill="1" applyBorder="1" applyAlignment="1" applyProtection="1">
      <alignment wrapText="1"/>
    </xf>
    <xf numFmtId="0" fontId="0" fillId="21" borderId="79" xfId="0" applyFill="1" applyBorder="1" applyAlignment="1">
      <alignment wrapText="1"/>
    </xf>
    <xf numFmtId="0" fontId="3" fillId="21" borderId="50" xfId="0" applyFont="1" applyFill="1" applyBorder="1" applyAlignment="1" applyProtection="1">
      <alignment wrapText="1"/>
    </xf>
    <xf numFmtId="0" fontId="24" fillId="21" borderId="52" xfId="0" applyFont="1" applyFill="1" applyBorder="1" applyAlignment="1">
      <alignment wrapText="1"/>
    </xf>
    <xf numFmtId="0" fontId="1" fillId="21" borderId="121" xfId="0" applyFont="1" applyFill="1" applyBorder="1" applyAlignment="1" applyProtection="1"/>
    <xf numFmtId="3" fontId="45" fillId="22" borderId="127" xfId="0" applyNumberFormat="1" applyFont="1" applyFill="1" applyBorder="1" applyAlignment="1" applyProtection="1"/>
    <xf numFmtId="3" fontId="45" fillId="22" borderId="21" xfId="0" applyNumberFormat="1" applyFont="1" applyFill="1" applyBorder="1" applyAlignment="1" applyProtection="1"/>
    <xf numFmtId="3" fontId="45" fillId="22" borderId="60" xfId="0" applyNumberFormat="1" applyFont="1" applyFill="1" applyBorder="1" applyAlignment="1" applyProtection="1"/>
    <xf numFmtId="3" fontId="45" fillId="22" borderId="18" xfId="0" applyNumberFormat="1" applyFont="1" applyFill="1" applyBorder="1" applyAlignment="1" applyProtection="1"/>
    <xf numFmtId="1" fontId="17" fillId="21" borderId="15" xfId="0" applyNumberFormat="1" applyFont="1" applyFill="1" applyBorder="1" applyAlignment="1" applyProtection="1">
      <alignment horizontal="left" vertical="top" wrapText="1"/>
    </xf>
    <xf numFmtId="0" fontId="51" fillId="21" borderId="42" xfId="0" applyFont="1" applyFill="1" applyBorder="1" applyAlignment="1">
      <alignment horizontal="left" vertical="top" wrapText="1"/>
    </xf>
    <xf numFmtId="0" fontId="5" fillId="21" borderId="121" xfId="0" applyFont="1" applyFill="1" applyBorder="1" applyAlignment="1" applyProtection="1"/>
    <xf numFmtId="3" fontId="5" fillId="21" borderId="36" xfId="0" applyNumberFormat="1" applyFont="1" applyFill="1" applyBorder="1" applyAlignment="1" applyProtection="1">
      <alignment horizontal="center" vertical="center"/>
    </xf>
    <xf numFmtId="0" fontId="7" fillId="21" borderId="121" xfId="0" applyFont="1" applyFill="1" applyBorder="1" applyAlignment="1" applyProtection="1"/>
    <xf numFmtId="0" fontId="3" fillId="21" borderId="181" xfId="0" applyFont="1" applyFill="1" applyBorder="1" applyAlignment="1" applyProtection="1">
      <alignment horizontal="left" wrapText="1"/>
    </xf>
    <xf numFmtId="0" fontId="0" fillId="21" borderId="182" xfId="0" applyFill="1" applyBorder="1" applyAlignment="1" applyProtection="1"/>
    <xf numFmtId="0" fontId="0" fillId="21" borderId="183" xfId="0" applyFill="1" applyBorder="1" applyAlignment="1" applyProtection="1"/>
    <xf numFmtId="1" fontId="5"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3" fillId="0" borderId="0" xfId="0" applyNumberFormat="1" applyFont="1" applyFill="1" applyBorder="1" applyAlignment="1" applyProtection="1">
      <alignment horizontal="center" wrapText="1"/>
    </xf>
    <xf numFmtId="0" fontId="7" fillId="0" borderId="0" xfId="0" applyFont="1" applyFill="1" applyBorder="1" applyAlignment="1" applyProtection="1">
      <alignment vertical="top" wrapText="1"/>
    </xf>
    <xf numFmtId="1" fontId="2" fillId="21" borderId="15" xfId="0" applyNumberFormat="1" applyFont="1" applyFill="1" applyBorder="1" applyAlignment="1" applyProtection="1">
      <alignment horizontal="left" wrapText="1"/>
    </xf>
    <xf numFmtId="0" fontId="9" fillId="21" borderId="15" xfId="0" applyFont="1" applyFill="1" applyBorder="1" applyAlignment="1">
      <alignment wrapText="1"/>
    </xf>
    <xf numFmtId="0" fontId="7" fillId="0" borderId="0" xfId="0" applyFont="1" applyFill="1" applyBorder="1" applyAlignment="1">
      <alignment wrapText="1"/>
    </xf>
    <xf numFmtId="0" fontId="114" fillId="0" borderId="0" xfId="0" applyFont="1" applyFill="1" applyAlignment="1" applyProtection="1">
      <alignment vertical="top" wrapText="1"/>
    </xf>
    <xf numFmtId="0" fontId="114" fillId="0" borderId="0" xfId="0" applyFont="1" applyFill="1" applyBorder="1" applyAlignment="1">
      <alignment wrapText="1"/>
    </xf>
    <xf numFmtId="0" fontId="114" fillId="0" borderId="0" xfId="0" applyFont="1" applyFill="1" applyAlignment="1">
      <alignment vertical="top" wrapText="1"/>
    </xf>
    <xf numFmtId="0" fontId="137" fillId="0" borderId="0" xfId="0" applyFont="1" applyFill="1" applyBorder="1" applyAlignment="1">
      <alignment horizontal="left" wrapText="1"/>
    </xf>
    <xf numFmtId="0" fontId="137" fillId="0" borderId="57" xfId="0" applyFont="1" applyBorder="1" applyAlignment="1">
      <alignment horizontal="left" wrapText="1"/>
    </xf>
    <xf numFmtId="0" fontId="137" fillId="0" borderId="0" xfId="0" applyFont="1" applyAlignment="1">
      <alignment horizontal="left" wrapText="1"/>
    </xf>
    <xf numFmtId="0" fontId="137" fillId="0" borderId="0" xfId="0" applyFont="1" applyBorder="1" applyAlignment="1">
      <alignment horizontal="left" wrapText="1"/>
    </xf>
    <xf numFmtId="0" fontId="3" fillId="21" borderId="118" xfId="0" applyFont="1" applyFill="1" applyBorder="1" applyAlignment="1" applyProtection="1">
      <alignment horizontal="left" vertical="top" wrapText="1"/>
    </xf>
    <xf numFmtId="0" fontId="0" fillId="0" borderId="42" xfId="0" applyBorder="1"/>
    <xf numFmtId="49" fontId="20" fillId="0" borderId="0" xfId="0" applyNumberFormat="1" applyFont="1" applyFill="1" applyBorder="1" applyAlignment="1" applyProtection="1">
      <alignment horizontal="left" wrapText="1"/>
    </xf>
    <xf numFmtId="0" fontId="55" fillId="0" borderId="0" xfId="0" applyFont="1" applyAlignment="1">
      <alignment horizontal="left" wrapText="1"/>
    </xf>
    <xf numFmtId="0" fontId="0" fillId="0" borderId="0" xfId="0" applyAlignment="1"/>
    <xf numFmtId="0" fontId="55" fillId="0" borderId="0" xfId="0" applyFont="1" applyAlignment="1" applyProtection="1">
      <alignment horizontal="left" wrapText="1"/>
    </xf>
    <xf numFmtId="0" fontId="0" fillId="0" borderId="0" xfId="0" applyAlignment="1" applyProtection="1">
      <alignment wrapText="1"/>
    </xf>
    <xf numFmtId="0" fontId="140" fillId="38" borderId="0" xfId="0" applyNumberFormat="1" applyFont="1" applyFill="1" applyBorder="1" applyAlignment="1" applyProtection="1">
      <alignment vertical="center" wrapText="1"/>
    </xf>
    <xf numFmtId="0" fontId="0" fillId="0" borderId="0" xfId="0" applyFill="1" applyAlignment="1">
      <alignment vertical="center" wrapText="1"/>
    </xf>
    <xf numFmtId="0" fontId="2" fillId="21" borderId="49" xfId="0" applyFont="1" applyFill="1" applyBorder="1" applyAlignment="1" applyProtection="1">
      <alignment horizontal="center" vertical="top"/>
    </xf>
    <xf numFmtId="0" fontId="2" fillId="21" borderId="164" xfId="0" applyFont="1" applyFill="1" applyBorder="1" applyAlignment="1" applyProtection="1">
      <alignment horizontal="center" vertical="top"/>
    </xf>
    <xf numFmtId="3" fontId="2" fillId="21" borderId="49" xfId="0" applyNumberFormat="1" applyFont="1" applyFill="1" applyBorder="1" applyAlignment="1" applyProtection="1">
      <alignment horizontal="center" vertical="top"/>
    </xf>
    <xf numFmtId="3" fontId="2" fillId="21" borderId="48" xfId="0" applyNumberFormat="1" applyFont="1" applyFill="1" applyBorder="1" applyAlignment="1" applyProtection="1">
      <alignment horizontal="center" vertical="top"/>
    </xf>
    <xf numFmtId="3" fontId="2" fillId="21" borderId="164" xfId="0" applyNumberFormat="1" applyFont="1" applyFill="1" applyBorder="1" applyAlignment="1" applyProtection="1">
      <alignment horizontal="center" vertical="top"/>
    </xf>
    <xf numFmtId="0" fontId="2" fillId="21" borderId="191" xfId="0" applyFont="1" applyFill="1" applyBorder="1" applyAlignment="1" applyProtection="1">
      <alignment horizontal="center" vertical="top"/>
    </xf>
    <xf numFmtId="0" fontId="2" fillId="21" borderId="48" xfId="0" applyFont="1" applyFill="1" applyBorder="1" applyAlignment="1" applyProtection="1">
      <alignment horizontal="center" vertical="top"/>
    </xf>
    <xf numFmtId="3" fontId="2" fillId="21" borderId="49" xfId="0" applyNumberFormat="1" applyFont="1" applyFill="1" applyBorder="1" applyAlignment="1" applyProtection="1">
      <alignment horizontal="left" vertical="top" wrapText="1"/>
    </xf>
    <xf numFmtId="0" fontId="9" fillId="21" borderId="41" xfId="0" applyFont="1" applyFill="1" applyBorder="1" applyAlignment="1" applyProtection="1">
      <alignment vertical="top" wrapText="1"/>
    </xf>
    <xf numFmtId="0" fontId="3" fillId="2" borderId="198" xfId="0" applyFont="1" applyFill="1" applyBorder="1" applyAlignment="1" applyProtection="1">
      <alignment horizontal="right"/>
    </xf>
    <xf numFmtId="0" fontId="0" fillId="0" borderId="163" xfId="0" applyBorder="1" applyAlignment="1">
      <alignment horizontal="right"/>
    </xf>
    <xf numFmtId="0" fontId="0" fillId="0" borderId="102" xfId="0" applyBorder="1" applyAlignment="1">
      <alignment horizontal="right"/>
    </xf>
    <xf numFmtId="0" fontId="2" fillId="0" borderId="199" xfId="0" applyFont="1" applyFill="1" applyBorder="1" applyAlignment="1" applyProtection="1">
      <alignment horizontal="left" vertical="top" wrapText="1"/>
      <protection locked="0"/>
    </xf>
    <xf numFmtId="0" fontId="2" fillId="0" borderId="222" xfId="0" applyFont="1" applyFill="1" applyBorder="1" applyAlignment="1" applyProtection="1">
      <alignment horizontal="left" vertical="top" wrapText="1"/>
      <protection locked="0"/>
    </xf>
    <xf numFmtId="0" fontId="2" fillId="0" borderId="249" xfId="0" applyFont="1" applyFill="1" applyBorder="1" applyAlignment="1" applyProtection="1">
      <alignment horizontal="left" vertical="top" wrapText="1"/>
      <protection locked="0"/>
    </xf>
    <xf numFmtId="3" fontId="3" fillId="21" borderId="75" xfId="0" applyNumberFormat="1" applyFont="1" applyFill="1" applyBorder="1" applyAlignment="1" applyProtection="1">
      <alignment wrapText="1"/>
    </xf>
    <xf numFmtId="0" fontId="0" fillId="21" borderId="76" xfId="0" applyFill="1" applyBorder="1" applyAlignment="1">
      <alignment wrapText="1"/>
    </xf>
    <xf numFmtId="0" fontId="0" fillId="21" borderId="92" xfId="0" applyFill="1" applyBorder="1" applyAlignment="1">
      <alignment wrapText="1"/>
    </xf>
    <xf numFmtId="3" fontId="3" fillId="21" borderId="159" xfId="5" applyNumberFormat="1" applyFont="1" applyFill="1" applyBorder="1" applyAlignment="1" applyProtection="1">
      <alignment horizontal="left" vertical="top" wrapText="1"/>
    </xf>
    <xf numFmtId="0" fontId="24" fillId="21" borderId="159" xfId="5" applyFill="1" applyBorder="1" applyAlignment="1">
      <alignment horizontal="left" wrapText="1"/>
    </xf>
    <xf numFmtId="3" fontId="3" fillId="21" borderId="226" xfId="0" applyNumberFormat="1" applyFont="1" applyFill="1" applyBorder="1" applyAlignment="1" applyProtection="1">
      <alignment horizontal="left" vertical="top" wrapText="1"/>
    </xf>
    <xf numFmtId="0" fontId="0" fillId="0" borderId="44" xfId="0" applyBorder="1" applyAlignment="1">
      <alignment horizontal="left" wrapText="1"/>
    </xf>
    <xf numFmtId="3" fontId="3" fillId="21" borderId="261" xfId="0" applyNumberFormat="1" applyFont="1" applyFill="1" applyBorder="1" applyAlignment="1" applyProtection="1">
      <alignment horizontal="left" vertical="top" wrapText="1"/>
    </xf>
    <xf numFmtId="0" fontId="0" fillId="0" borderId="262" xfId="0" applyBorder="1" applyAlignment="1">
      <alignment horizontal="left" wrapText="1"/>
    </xf>
    <xf numFmtId="3" fontId="3" fillId="0" borderId="58" xfId="0" applyNumberFormat="1" applyFont="1" applyFill="1" applyBorder="1" applyAlignment="1" applyProtection="1"/>
    <xf numFmtId="0" fontId="7" fillId="0" borderId="57" xfId="0" applyFont="1" applyFill="1" applyBorder="1" applyAlignment="1"/>
    <xf numFmtId="0" fontId="9" fillId="21" borderId="48" xfId="0" applyFont="1" applyFill="1" applyBorder="1" applyAlignment="1" applyProtection="1">
      <alignment horizontal="center" vertical="top"/>
    </xf>
    <xf numFmtId="0" fontId="9" fillId="21" borderId="41" xfId="0" applyFont="1" applyFill="1" applyBorder="1" applyAlignment="1" applyProtection="1">
      <alignment horizontal="center" vertical="top"/>
    </xf>
    <xf numFmtId="0" fontId="5" fillId="21" borderId="198" xfId="0" applyFont="1" applyFill="1" applyBorder="1" applyAlignment="1" applyProtection="1">
      <alignment horizontal="center" vertical="center" wrapText="1"/>
    </xf>
    <xf numFmtId="0" fontId="5" fillId="21" borderId="163" xfId="0" applyFont="1" applyFill="1" applyBorder="1" applyAlignment="1" applyProtection="1">
      <alignment horizontal="center" vertical="center" wrapText="1"/>
    </xf>
    <xf numFmtId="0" fontId="5" fillId="21" borderId="221" xfId="0" applyFont="1" applyFill="1" applyBorder="1" applyAlignment="1" applyProtection="1">
      <alignment horizontal="center" vertical="center" wrapText="1"/>
    </xf>
    <xf numFmtId="3" fontId="3" fillId="21" borderId="75" xfId="0" applyNumberFormat="1" applyFont="1" applyFill="1" applyBorder="1" applyAlignment="1" applyProtection="1">
      <alignment horizontal="left" wrapText="1"/>
    </xf>
    <xf numFmtId="0" fontId="24" fillId="21" borderId="76" xfId="0" applyFont="1" applyFill="1" applyBorder="1" applyAlignment="1" applyProtection="1">
      <alignment horizontal="left" wrapText="1"/>
    </xf>
    <xf numFmtId="0" fontId="24" fillId="21" borderId="92" xfId="0" applyFont="1" applyFill="1" applyBorder="1" applyAlignment="1" applyProtection="1">
      <alignment horizontal="left" wrapText="1"/>
    </xf>
    <xf numFmtId="3" fontId="3" fillId="21" borderId="75" xfId="0" applyNumberFormat="1" applyFont="1" applyFill="1" applyBorder="1" applyAlignment="1" applyProtection="1">
      <alignment horizontal="left" vertical="top" wrapText="1"/>
    </xf>
    <xf numFmtId="0" fontId="24" fillId="21" borderId="76" xfId="0" applyFont="1" applyFill="1" applyBorder="1" applyAlignment="1" applyProtection="1">
      <alignment horizontal="left" vertical="top" wrapText="1"/>
    </xf>
    <xf numFmtId="0" fontId="24" fillId="21" borderId="92" xfId="0" applyFont="1" applyFill="1" applyBorder="1" applyAlignment="1" applyProtection="1">
      <alignment horizontal="left" vertical="top" wrapText="1"/>
    </xf>
    <xf numFmtId="3" fontId="3" fillId="21" borderId="75" xfId="0" applyNumberFormat="1" applyFont="1" applyFill="1" applyBorder="1" applyAlignment="1" applyProtection="1">
      <alignment vertical="center" wrapText="1"/>
    </xf>
    <xf numFmtId="0" fontId="0" fillId="21" borderId="76" xfId="0" applyFill="1" applyBorder="1" applyAlignment="1" applyProtection="1">
      <alignment vertical="center"/>
    </xf>
    <xf numFmtId="0" fontId="0" fillId="21" borderId="92" xfId="0" applyFill="1" applyBorder="1" applyAlignment="1" applyProtection="1">
      <alignment vertical="center"/>
    </xf>
    <xf numFmtId="3" fontId="3" fillId="21" borderId="157" xfId="0" applyNumberFormat="1" applyFont="1" applyFill="1" applyBorder="1" applyAlignment="1" applyProtection="1">
      <alignment horizontal="left" vertical="top" wrapText="1"/>
    </xf>
    <xf numFmtId="0" fontId="0" fillId="0" borderId="157" xfId="0" applyBorder="1" applyAlignment="1">
      <alignment horizontal="left" wrapText="1"/>
    </xf>
    <xf numFmtId="3" fontId="10" fillId="0" borderId="199" xfId="0" applyNumberFormat="1" applyFont="1" applyFill="1" applyBorder="1" applyAlignment="1" applyProtection="1">
      <alignment horizontal="left" vertical="top" wrapText="1"/>
      <protection locked="0"/>
    </xf>
    <xf numFmtId="3" fontId="3" fillId="21" borderId="203" xfId="0" applyNumberFormat="1" applyFont="1" applyFill="1" applyBorder="1" applyAlignment="1" applyProtection="1">
      <alignment vertical="center" wrapText="1"/>
    </xf>
    <xf numFmtId="3" fontId="3" fillId="21" borderId="193" xfId="0" applyNumberFormat="1" applyFont="1" applyFill="1" applyBorder="1" applyAlignment="1" applyProtection="1">
      <alignment vertical="center" wrapText="1"/>
    </xf>
    <xf numFmtId="0" fontId="3" fillId="21" borderId="12" xfId="0" applyFont="1" applyFill="1" applyBorder="1" applyAlignment="1" applyProtection="1">
      <alignment horizontal="left" vertical="top" wrapText="1"/>
    </xf>
    <xf numFmtId="0" fontId="0" fillId="0" borderId="92" xfId="0" applyBorder="1" applyAlignment="1"/>
    <xf numFmtId="0" fontId="56" fillId="0" borderId="0" xfId="0" applyFont="1" applyFill="1" applyBorder="1" applyAlignment="1" applyProtection="1">
      <alignment horizontal="left" wrapText="1"/>
    </xf>
    <xf numFmtId="0" fontId="5" fillId="21" borderId="282" xfId="0" applyFont="1" applyFill="1" applyBorder="1" applyAlignment="1" applyProtection="1">
      <alignment vertical="top" wrapText="1"/>
    </xf>
    <xf numFmtId="0" fontId="51" fillId="21" borderId="283" xfId="0" applyFont="1" applyFill="1" applyBorder="1" applyAlignment="1" applyProtection="1">
      <alignment vertical="top" wrapText="1"/>
    </xf>
    <xf numFmtId="0" fontId="5" fillId="21" borderId="271" xfId="0" applyFont="1" applyFill="1" applyBorder="1" applyAlignment="1" applyProtection="1">
      <alignment vertical="top" wrapText="1"/>
    </xf>
    <xf numFmtId="0" fontId="5" fillId="21" borderId="272" xfId="0" applyFont="1" applyFill="1" applyBorder="1" applyAlignment="1" applyProtection="1">
      <alignment vertical="top" wrapText="1"/>
    </xf>
    <xf numFmtId="0" fontId="5" fillId="21" borderId="273" xfId="0" applyFont="1" applyFill="1" applyBorder="1" applyAlignment="1" applyProtection="1">
      <alignment vertical="top" wrapText="1"/>
    </xf>
    <xf numFmtId="0" fontId="3" fillId="21" borderId="15" xfId="0" applyFont="1" applyFill="1" applyBorder="1" applyAlignment="1" applyProtection="1">
      <alignment vertical="top" wrapText="1"/>
    </xf>
    <xf numFmtId="0" fontId="0" fillId="21" borderId="15" xfId="0" applyFill="1" applyBorder="1" applyAlignment="1" applyProtection="1">
      <alignment vertical="top" wrapText="1"/>
    </xf>
    <xf numFmtId="0" fontId="0" fillId="21" borderId="42" xfId="0" applyFill="1" applyBorder="1" applyAlignment="1" applyProtection="1">
      <alignment vertical="top" wrapText="1"/>
    </xf>
    <xf numFmtId="0" fontId="3" fillId="21" borderId="60" xfId="0" applyFont="1" applyFill="1" applyBorder="1" applyAlignment="1" applyProtection="1">
      <alignment vertical="top" wrapText="1"/>
    </xf>
    <xf numFmtId="0" fontId="0" fillId="21" borderId="60" xfId="0" applyFill="1" applyBorder="1" applyAlignment="1" applyProtection="1">
      <alignment vertical="top" wrapText="1"/>
    </xf>
    <xf numFmtId="0" fontId="0" fillId="21" borderId="90" xfId="0" applyFill="1" applyBorder="1" applyAlignment="1" applyProtection="1">
      <alignment vertical="top" wrapText="1"/>
    </xf>
    <xf numFmtId="0" fontId="5" fillId="21" borderId="189" xfId="0" applyFont="1" applyFill="1" applyBorder="1" applyAlignment="1" applyProtection="1">
      <alignment horizontal="left" vertical="top" wrapText="1"/>
    </xf>
    <xf numFmtId="0" fontId="0" fillId="21" borderId="124" xfId="0" applyFill="1" applyBorder="1" applyAlignment="1">
      <alignment vertical="top"/>
    </xf>
    <xf numFmtId="0" fontId="0" fillId="21" borderId="111" xfId="0" applyFill="1" applyBorder="1" applyAlignment="1">
      <alignment vertical="top"/>
    </xf>
    <xf numFmtId="0" fontId="0" fillId="21" borderId="1" xfId="0" applyFill="1" applyBorder="1" applyAlignment="1">
      <alignment vertical="top"/>
    </xf>
    <xf numFmtId="0" fontId="0" fillId="21" borderId="228" xfId="0" applyFill="1" applyBorder="1" applyAlignment="1">
      <alignment vertical="top"/>
    </xf>
    <xf numFmtId="0" fontId="3" fillId="21" borderId="0" xfId="0" applyFont="1" applyFill="1" applyBorder="1" applyAlignment="1" applyProtection="1">
      <alignment wrapText="1"/>
    </xf>
    <xf numFmtId="0" fontId="24" fillId="21" borderId="0" xfId="0" applyFont="1" applyFill="1" applyAlignment="1">
      <alignment wrapText="1"/>
    </xf>
    <xf numFmtId="0" fontId="3" fillId="21" borderId="27" xfId="0" applyFont="1" applyFill="1" applyBorder="1" applyAlignment="1" applyProtection="1">
      <alignment wrapText="1"/>
    </xf>
    <xf numFmtId="0" fontId="0" fillId="21" borderId="27" xfId="0" applyFill="1" applyBorder="1" applyAlignment="1">
      <alignment wrapText="1"/>
    </xf>
    <xf numFmtId="0" fontId="3" fillId="21" borderId="27" xfId="0" applyFont="1" applyFill="1" applyBorder="1" applyAlignment="1" applyProtection="1">
      <alignment horizontal="left" vertical="top" wrapText="1"/>
    </xf>
    <xf numFmtId="0" fontId="0" fillId="21" borderId="27" xfId="0" applyFill="1" applyBorder="1" applyAlignment="1">
      <alignment horizontal="left" vertical="top" wrapText="1"/>
    </xf>
    <xf numFmtId="0" fontId="0" fillId="21" borderId="0" xfId="0" applyFill="1" applyAlignment="1">
      <alignment wrapText="1"/>
    </xf>
    <xf numFmtId="0" fontId="130" fillId="21" borderId="0" xfId="0" applyFont="1" applyFill="1" applyBorder="1" applyAlignment="1" applyProtection="1">
      <alignment wrapText="1"/>
    </xf>
    <xf numFmtId="0" fontId="0" fillId="21" borderId="39" xfId="0" applyFill="1" applyBorder="1" applyAlignment="1">
      <alignment wrapText="1"/>
    </xf>
    <xf numFmtId="0" fontId="130" fillId="21" borderId="27" xfId="0" applyFont="1" applyFill="1" applyBorder="1" applyAlignment="1" applyProtection="1">
      <alignment wrapText="1"/>
    </xf>
    <xf numFmtId="0" fontId="51" fillId="21" borderId="36" xfId="5" applyFont="1" applyFill="1" applyBorder="1" applyAlignment="1" applyProtection="1">
      <alignment vertical="center" wrapText="1"/>
    </xf>
    <xf numFmtId="0" fontId="0" fillId="0" borderId="96" xfId="0" applyBorder="1" applyAlignment="1">
      <alignment wrapText="1"/>
    </xf>
    <xf numFmtId="0" fontId="0" fillId="0" borderId="58" xfId="0" applyBorder="1" applyAlignment="1">
      <alignment wrapText="1"/>
    </xf>
    <xf numFmtId="0" fontId="0" fillId="0" borderId="44" xfId="0" applyBorder="1" applyAlignment="1">
      <alignment wrapText="1"/>
    </xf>
    <xf numFmtId="0" fontId="3" fillId="21" borderId="118" xfId="5" applyFont="1" applyFill="1" applyBorder="1" applyAlignment="1" applyProtection="1">
      <alignment vertical="top" wrapText="1"/>
    </xf>
    <xf numFmtId="0" fontId="0" fillId="0" borderId="2" xfId="0" applyBorder="1" applyAlignment="1">
      <alignment vertical="top" wrapText="1"/>
    </xf>
    <xf numFmtId="3" fontId="3" fillId="21" borderId="16" xfId="5" applyNumberFormat="1" applyFont="1" applyFill="1" applyBorder="1" applyAlignment="1" applyProtection="1">
      <alignment vertical="top" wrapText="1"/>
    </xf>
    <xf numFmtId="0" fontId="0" fillId="21" borderId="16" xfId="0" applyFill="1" applyBorder="1" applyAlignment="1">
      <alignment wrapText="1"/>
    </xf>
    <xf numFmtId="3" fontId="3" fillId="36" borderId="15" xfId="5" applyNumberFormat="1" applyFont="1" applyFill="1" applyBorder="1" applyAlignment="1" applyProtection="1">
      <alignment vertical="top" wrapText="1"/>
    </xf>
    <xf numFmtId="0" fontId="0" fillId="36" borderId="15" xfId="0" applyFill="1" applyBorder="1" applyAlignment="1">
      <alignment vertical="top" wrapText="1"/>
    </xf>
    <xf numFmtId="3" fontId="3" fillId="21" borderId="15" xfId="5" applyNumberFormat="1" applyFont="1" applyFill="1" applyBorder="1" applyAlignment="1" applyProtection="1">
      <alignment vertical="top" wrapText="1"/>
    </xf>
    <xf numFmtId="0" fontId="0" fillId="21" borderId="15" xfId="0" applyFill="1" applyBorder="1" applyAlignment="1">
      <alignment wrapText="1"/>
    </xf>
    <xf numFmtId="0" fontId="3" fillId="21" borderId="15" xfId="5" applyFont="1" applyFill="1" applyBorder="1" applyAlignment="1" applyProtection="1">
      <alignment vertical="top" wrapText="1"/>
    </xf>
    <xf numFmtId="0" fontId="0" fillId="21" borderId="15" xfId="0" applyFill="1" applyBorder="1" applyAlignment="1">
      <alignment vertical="top" wrapText="1"/>
    </xf>
    <xf numFmtId="0" fontId="0" fillId="21" borderId="42" xfId="0" applyFill="1" applyBorder="1" applyAlignment="1">
      <alignment vertical="top" wrapText="1"/>
    </xf>
    <xf numFmtId="3" fontId="3" fillId="21" borderId="158" xfId="5" applyNumberFormat="1" applyFont="1" applyFill="1" applyBorder="1" applyAlignment="1" applyProtection="1">
      <alignment vertical="center" wrapText="1"/>
    </xf>
    <xf numFmtId="0" fontId="0" fillId="21" borderId="158" xfId="0" applyFill="1" applyBorder="1" applyAlignment="1">
      <alignment vertical="center" wrapText="1"/>
    </xf>
    <xf numFmtId="3" fontId="3" fillId="21" borderId="167" xfId="5" applyNumberFormat="1" applyFont="1" applyFill="1" applyBorder="1" applyAlignment="1" applyProtection="1">
      <alignment wrapText="1"/>
    </xf>
    <xf numFmtId="0" fontId="0" fillId="21" borderId="3" xfId="0" applyFill="1" applyBorder="1" applyAlignment="1">
      <alignment wrapText="1"/>
    </xf>
    <xf numFmtId="0" fontId="0" fillId="21" borderId="158" xfId="0" applyFill="1" applyBorder="1" applyAlignment="1">
      <alignment vertical="center"/>
    </xf>
    <xf numFmtId="3" fontId="3" fillId="21" borderId="158" xfId="5" applyNumberFormat="1" applyFont="1" applyFill="1" applyBorder="1" applyAlignment="1" applyProtection="1">
      <alignment vertical="top" wrapText="1"/>
    </xf>
    <xf numFmtId="0" fontId="24" fillId="21" borderId="158" xfId="0" applyFont="1" applyFill="1" applyBorder="1" applyAlignment="1">
      <alignment vertical="top" wrapText="1"/>
    </xf>
    <xf numFmtId="0" fontId="3" fillId="21" borderId="247" xfId="5" applyFont="1" applyFill="1" applyBorder="1" applyAlignment="1" applyProtection="1">
      <alignment wrapText="1"/>
    </xf>
    <xf numFmtId="0" fontId="0" fillId="0" borderId="248" xfId="0" applyBorder="1" applyAlignment="1">
      <alignment wrapText="1"/>
    </xf>
    <xf numFmtId="3" fontId="3" fillId="21" borderId="289" xfId="5" applyNumberFormat="1" applyFont="1" applyFill="1" applyBorder="1" applyAlignment="1" applyProtection="1">
      <alignment vertical="top" wrapText="1"/>
    </xf>
    <xf numFmtId="0" fontId="24" fillId="21" borderId="246" xfId="5" applyFill="1" applyBorder="1" applyAlignment="1" applyProtection="1"/>
    <xf numFmtId="0" fontId="24" fillId="21" borderId="289" xfId="5" applyFill="1" applyBorder="1" applyAlignment="1" applyProtection="1"/>
    <xf numFmtId="0" fontId="133" fillId="21" borderId="246" xfId="0" applyFont="1" applyFill="1" applyBorder="1" applyAlignment="1">
      <alignment vertical="top" wrapText="1"/>
    </xf>
    <xf numFmtId="0" fontId="0" fillId="21" borderId="246" xfId="0" applyFill="1" applyBorder="1" applyAlignment="1">
      <alignment vertical="top" wrapText="1"/>
    </xf>
    <xf numFmtId="0" fontId="135" fillId="21" borderId="246" xfId="0" applyFont="1" applyFill="1" applyBorder="1" applyAlignment="1">
      <alignment wrapText="1"/>
    </xf>
    <xf numFmtId="0" fontId="136" fillId="0" borderId="246" xfId="0" applyFont="1" applyBorder="1" applyAlignment="1">
      <alignment wrapText="1"/>
    </xf>
    <xf numFmtId="0" fontId="134" fillId="21" borderId="257" xfId="0" applyFont="1" applyFill="1" applyBorder="1" applyAlignment="1">
      <alignment horizontal="left" vertical="top" wrapText="1"/>
    </xf>
    <xf numFmtId="0" fontId="0" fillId="21" borderId="246" xfId="0" applyFill="1" applyBorder="1" applyAlignment="1">
      <alignment horizontal="left" vertical="top" wrapText="1"/>
    </xf>
    <xf numFmtId="0" fontId="0" fillId="21" borderId="258" xfId="0" applyFill="1" applyBorder="1" applyAlignment="1">
      <alignment horizontal="left" vertical="top" wrapText="1"/>
    </xf>
    <xf numFmtId="3" fontId="3" fillId="21" borderId="158" xfId="0" applyNumberFormat="1" applyFont="1" applyFill="1" applyBorder="1" applyAlignment="1" applyProtection="1">
      <alignment vertical="top" wrapText="1"/>
    </xf>
    <xf numFmtId="0" fontId="24" fillId="21" borderId="175" xfId="0" applyFont="1" applyFill="1" applyBorder="1" applyAlignment="1">
      <alignment vertical="top" wrapText="1"/>
    </xf>
    <xf numFmtId="3" fontId="3" fillId="21" borderId="158" xfId="0" applyNumberFormat="1" applyFont="1" applyFill="1" applyBorder="1" applyAlignment="1" applyProtection="1">
      <alignment wrapText="1"/>
    </xf>
    <xf numFmtId="0" fontId="0" fillId="21" borderId="158" xfId="0" applyFill="1" applyBorder="1" applyAlignment="1">
      <alignment wrapText="1"/>
    </xf>
    <xf numFmtId="0" fontId="3" fillId="21" borderId="158" xfId="0" applyFont="1" applyFill="1" applyBorder="1" applyAlignment="1" applyProtection="1">
      <alignment vertical="top" wrapText="1"/>
    </xf>
    <xf numFmtId="0" fontId="0" fillId="0" borderId="158" xfId="0" applyBorder="1" applyAlignment="1">
      <alignment vertical="top" wrapText="1"/>
    </xf>
    <xf numFmtId="3" fontId="3" fillId="21" borderId="108" xfId="0" applyNumberFormat="1" applyFont="1" applyFill="1" applyBorder="1" applyAlignment="1" applyProtection="1">
      <alignment vertical="top" wrapText="1"/>
    </xf>
    <xf numFmtId="0" fontId="3" fillId="21" borderId="247" xfId="0" applyFont="1" applyFill="1" applyBorder="1" applyAlignment="1" applyProtection="1">
      <alignment vertical="top" wrapText="1"/>
    </xf>
    <xf numFmtId="0" fontId="0" fillId="0" borderId="248" xfId="0" applyBorder="1" applyAlignment="1">
      <alignment vertical="top" wrapText="1"/>
    </xf>
  </cellXfs>
  <cellStyles count="17">
    <cellStyle name="Anteckning 2" xfId="1" xr:uid="{00000000-0005-0000-0000-000000000000}"/>
    <cellStyle name="Anteckning 2 2" xfId="2" xr:uid="{00000000-0005-0000-0000-000001000000}"/>
    <cellStyle name="Dålig 2" xfId="3" xr:uid="{00000000-0005-0000-0000-000002000000}"/>
    <cellStyle name="Följde hyperlänken" xfId="4" xr:uid="{00000000-0005-0000-0000-000003000000}"/>
    <cellStyle name="Normal" xfId="0" builtinId="0"/>
    <cellStyle name="Normal 2" xfId="5" xr:uid="{00000000-0005-0000-0000-000006000000}"/>
    <cellStyle name="Normal 3" xfId="6" xr:uid="{00000000-0005-0000-0000-000007000000}"/>
    <cellStyle name="Normal 4" xfId="7" xr:uid="{00000000-0005-0000-0000-000008000000}"/>
    <cellStyle name="Normal 4 2" xfId="8" xr:uid="{00000000-0005-0000-0000-000009000000}"/>
    <cellStyle name="Normal_Kontrollblad" xfId="9" xr:uid="{00000000-0005-0000-0000-00000A000000}"/>
    <cellStyle name="Normal_skolkostn" xfId="10" xr:uid="{00000000-0005-0000-0000-00000C000000}"/>
    <cellStyle name="Normal_skolkostn 2" xfId="11" xr:uid="{00000000-0005-0000-0000-00000D000000}"/>
    <cellStyle name="Procent" xfId="12" builtinId="5"/>
    <cellStyle name="Procent 2" xfId="13" xr:uid="{00000000-0005-0000-0000-00000F000000}"/>
    <cellStyle name="Tusental" xfId="16" builtinId="3"/>
    <cellStyle name="Tusental (0)_Kommunägda företag" xfId="14" xr:uid="{00000000-0005-0000-0000-000010000000}"/>
    <cellStyle name="Valuta (0)_Kommunägda företag" xfId="15" xr:uid="{00000000-0005-0000-0000-000011000000}"/>
  </cellStyles>
  <dxfs count="167">
    <dxf>
      <fill>
        <patternFill>
          <bgColor indexed="10"/>
        </patternFill>
      </fill>
    </dxf>
    <dxf>
      <fill>
        <patternFill>
          <bgColor rgb="FFFF000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39994506668294322"/>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47</xdr:row>
      <xdr:rowOff>28576</xdr:rowOff>
    </xdr:from>
    <xdr:to>
      <xdr:col>8</xdr:col>
      <xdr:colOff>69850</xdr:colOff>
      <xdr:row>47</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57</xdr:row>
      <xdr:rowOff>104775</xdr:rowOff>
    </xdr:from>
    <xdr:to>
      <xdr:col>6</xdr:col>
      <xdr:colOff>0</xdr:colOff>
      <xdr:row>57</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53</xdr:row>
      <xdr:rowOff>114300</xdr:rowOff>
    </xdr:from>
    <xdr:to>
      <xdr:col>5</xdr:col>
      <xdr:colOff>1568450</xdr:colOff>
      <xdr:row>54</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55</xdr:row>
      <xdr:rowOff>76200</xdr:rowOff>
    </xdr:from>
    <xdr:to>
      <xdr:col>6</xdr:col>
      <xdr:colOff>9525</xdr:colOff>
      <xdr:row>56</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56</xdr:row>
      <xdr:rowOff>104776</xdr:rowOff>
    </xdr:from>
    <xdr:to>
      <xdr:col>5</xdr:col>
      <xdr:colOff>1568450</xdr:colOff>
      <xdr:row>56</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67</xdr:row>
      <xdr:rowOff>41275</xdr:rowOff>
    </xdr:from>
    <xdr:to>
      <xdr:col>6</xdr:col>
      <xdr:colOff>19050</xdr:colOff>
      <xdr:row>67</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57</xdr:row>
      <xdr:rowOff>114300</xdr:rowOff>
    </xdr:from>
    <xdr:to>
      <xdr:col>6</xdr:col>
      <xdr:colOff>0</xdr:colOff>
      <xdr:row>58</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58</xdr:row>
      <xdr:rowOff>111125</xdr:rowOff>
    </xdr:from>
    <xdr:to>
      <xdr:col>5</xdr:col>
      <xdr:colOff>1524000</xdr:colOff>
      <xdr:row>60</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75</xdr:row>
      <xdr:rowOff>76200</xdr:rowOff>
    </xdr:from>
    <xdr:to>
      <xdr:col>6</xdr:col>
      <xdr:colOff>31750</xdr:colOff>
      <xdr:row>80</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77</xdr:row>
      <xdr:rowOff>85725</xdr:rowOff>
    </xdr:from>
    <xdr:to>
      <xdr:col>4</xdr:col>
      <xdr:colOff>647700</xdr:colOff>
      <xdr:row>77</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76</xdr:row>
      <xdr:rowOff>66675</xdr:rowOff>
    </xdr:from>
    <xdr:to>
      <xdr:col>5</xdr:col>
      <xdr:colOff>1076325</xdr:colOff>
      <xdr:row>76</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77</xdr:row>
      <xdr:rowOff>95250</xdr:rowOff>
    </xdr:from>
    <xdr:to>
      <xdr:col>5</xdr:col>
      <xdr:colOff>1095375</xdr:colOff>
      <xdr:row>77</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78</xdr:row>
      <xdr:rowOff>114300</xdr:rowOff>
    </xdr:from>
    <xdr:to>
      <xdr:col>5</xdr:col>
      <xdr:colOff>1047750</xdr:colOff>
      <xdr:row>78</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63</xdr:row>
      <xdr:rowOff>53975</xdr:rowOff>
    </xdr:from>
    <xdr:to>
      <xdr:col>6</xdr:col>
      <xdr:colOff>6350</xdr:colOff>
      <xdr:row>63</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58</xdr:row>
      <xdr:rowOff>114300</xdr:rowOff>
    </xdr:from>
    <xdr:to>
      <xdr:col>5</xdr:col>
      <xdr:colOff>1568450</xdr:colOff>
      <xdr:row>59</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53</xdr:row>
      <xdr:rowOff>95250</xdr:rowOff>
    </xdr:from>
    <xdr:to>
      <xdr:col>5</xdr:col>
      <xdr:colOff>9525</xdr:colOff>
      <xdr:row>53</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56</xdr:row>
      <xdr:rowOff>76200</xdr:rowOff>
    </xdr:from>
    <xdr:to>
      <xdr:col>5</xdr:col>
      <xdr:colOff>9525</xdr:colOff>
      <xdr:row>57</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48</xdr:row>
      <xdr:rowOff>17319</xdr:rowOff>
    </xdr:from>
    <xdr:to>
      <xdr:col>5</xdr:col>
      <xdr:colOff>25977</xdr:colOff>
      <xdr:row>48</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67</xdr:row>
      <xdr:rowOff>9525</xdr:rowOff>
    </xdr:from>
    <xdr:to>
      <xdr:col>5</xdr:col>
      <xdr:colOff>9525</xdr:colOff>
      <xdr:row>68</xdr:row>
      <xdr:rowOff>114300</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200525" y="12792075"/>
          <a:ext cx="1495425" cy="342900"/>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22860</xdr:colOff>
      <xdr:row>18</xdr:row>
      <xdr:rowOff>171450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28575</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28575</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75" zeroHeight="1"/>
  <cols>
    <col min="1" max="1" width="22.7109375" style="417" customWidth="1"/>
    <col min="2" max="2" width="26.5703125" style="417" customWidth="1"/>
    <col min="3" max="3" width="20.5703125" style="417" customWidth="1"/>
    <col min="4" max="4" width="26.5703125" style="417" customWidth="1"/>
    <col min="5" max="5" width="12.42578125" style="416" customWidth="1"/>
  </cols>
  <sheetData>
    <row r="1" spans="1:5" s="418" customFormat="1">
      <c r="A1" s="2474"/>
      <c r="B1" s="2475"/>
      <c r="C1" s="2475"/>
      <c r="D1" s="2475"/>
      <c r="E1" s="2182"/>
    </row>
    <row r="2" spans="1:5" s="417" customFormat="1" ht="15.75">
      <c r="A2" s="2183" t="s">
        <v>1217</v>
      </c>
      <c r="B2" s="2184"/>
      <c r="C2" s="2185"/>
      <c r="D2" s="2185"/>
      <c r="E2" s="2186"/>
    </row>
    <row r="3" spans="1:5" s="417" customFormat="1" ht="15.75">
      <c r="A3" s="2187"/>
      <c r="B3" s="2188"/>
      <c r="C3" s="2185"/>
      <c r="D3" s="2185"/>
      <c r="E3" s="2186"/>
    </row>
    <row r="4" spans="1:5" s="417" customFormat="1" ht="15.75">
      <c r="A4" s="1919" t="str">
        <f>"Invånare 31 dec. "&amp;År&amp;""</f>
        <v>Invånare 31 dec. 2022</v>
      </c>
      <c r="B4" s="2189">
        <v>10521.556</v>
      </c>
      <c r="C4" s="2190">
        <v>10521556</v>
      </c>
      <c r="D4" s="2185"/>
      <c r="E4" s="2186"/>
    </row>
    <row r="5" spans="1:5" s="417" customFormat="1" ht="19.5" customHeight="1">
      <c r="A5" s="1919" t="str">
        <f>"Inv. 7-15 år 31 dec. "&amp;År&amp;""</f>
        <v>Inv. 7-15 år 31 dec. 2022</v>
      </c>
      <c r="B5" s="2189">
        <v>1129.029</v>
      </c>
      <c r="C5" s="2190">
        <v>1129029</v>
      </c>
      <c r="D5" s="2185"/>
      <c r="E5" s="2186"/>
    </row>
    <row r="6" spans="1:5" s="417" customFormat="1">
      <c r="A6" s="2191"/>
      <c r="B6" s="2191"/>
      <c r="C6" s="2191"/>
      <c r="D6" s="2191"/>
      <c r="E6" s="2191"/>
    </row>
    <row r="7" spans="1:5" s="417" customFormat="1">
      <c r="A7" s="2191"/>
      <c r="B7" s="2191"/>
      <c r="C7" s="2191"/>
      <c r="D7" s="2191"/>
      <c r="E7" s="2191"/>
    </row>
    <row r="8" spans="1:5" s="417" customFormat="1" ht="22.5" customHeight="1">
      <c r="A8" s="2191"/>
      <c r="B8" s="2191"/>
      <c r="C8" s="2191"/>
      <c r="D8" s="2191"/>
      <c r="E8" s="2191"/>
    </row>
    <row r="9" spans="1:5" s="417" customFormat="1" ht="12.75" customHeight="1">
      <c r="A9" s="2191"/>
      <c r="B9" s="2191"/>
      <c r="C9" s="2191"/>
      <c r="D9" s="2191"/>
      <c r="E9" s="2191"/>
    </row>
    <row r="10" spans="1:5" s="417" customFormat="1">
      <c r="A10" s="2191"/>
      <c r="B10" s="2191"/>
      <c r="C10" s="2191"/>
      <c r="D10" s="2191"/>
      <c r="E10" s="2191"/>
    </row>
    <row r="11" spans="1:5" s="417" customFormat="1">
      <c r="A11" s="2191"/>
      <c r="B11" s="2191"/>
      <c r="C11" s="2191"/>
      <c r="D11" s="2191"/>
      <c r="E11" s="2191"/>
    </row>
    <row r="12" spans="1:5" s="417" customFormat="1" ht="33">
      <c r="A12" s="2192" t="s">
        <v>1218</v>
      </c>
      <c r="B12" s="2191"/>
      <c r="C12" s="2191"/>
      <c r="D12" s="2191"/>
      <c r="E12" s="2191"/>
    </row>
    <row r="13" spans="1:5" s="417" customFormat="1">
      <c r="A13" s="2191"/>
      <c r="B13" s="2191"/>
      <c r="C13" s="2191"/>
      <c r="D13" s="2191"/>
      <c r="E13" s="2191"/>
    </row>
    <row r="14" spans="1:5" s="417" customFormat="1" ht="33">
      <c r="A14" s="2192" t="s">
        <v>1219</v>
      </c>
      <c r="B14" s="2191"/>
      <c r="C14" s="2191"/>
      <c r="D14" s="2191"/>
      <c r="E14" s="2191"/>
    </row>
    <row r="15" spans="1:5" s="417" customFormat="1">
      <c r="A15" s="2191"/>
      <c r="B15" s="2191"/>
      <c r="C15" s="2191"/>
      <c r="D15" s="2191"/>
      <c r="E15" s="2191"/>
    </row>
    <row r="16" spans="1:5" s="417" customFormat="1">
      <c r="A16" s="2191"/>
      <c r="B16" s="2191"/>
      <c r="C16" s="2191"/>
      <c r="D16" s="2191"/>
      <c r="E16" s="2191"/>
    </row>
    <row r="17" spans="1:5" s="417" customFormat="1">
      <c r="A17" s="2191"/>
      <c r="B17" s="2191"/>
      <c r="C17" s="2191"/>
      <c r="D17" s="2191"/>
      <c r="E17" s="2191"/>
    </row>
    <row r="18" spans="1:5" s="417" customFormat="1" ht="13.35" customHeight="1">
      <c r="A18" s="2191"/>
      <c r="B18" s="2191"/>
      <c r="C18" s="2191"/>
      <c r="D18" s="2191"/>
      <c r="E18" s="2191"/>
    </row>
    <row r="19" spans="1:5" s="417" customFormat="1">
      <c r="A19" s="2191"/>
      <c r="B19" s="2191"/>
      <c r="C19" s="2191"/>
      <c r="D19" s="2191"/>
      <c r="E19" s="2191"/>
    </row>
    <row r="20" spans="1:5" s="417" customFormat="1">
      <c r="A20" s="2191"/>
      <c r="B20" s="2191"/>
      <c r="C20" s="2191"/>
      <c r="D20" s="2191"/>
      <c r="E20" s="2191"/>
    </row>
    <row r="21" spans="1:5" s="417" customFormat="1">
      <c r="A21" s="2191"/>
      <c r="B21" s="2191"/>
      <c r="C21" s="2191"/>
      <c r="D21" s="2191"/>
      <c r="E21" s="2191"/>
    </row>
    <row r="22" spans="1:5" s="417" customFormat="1">
      <c r="A22" s="2191"/>
      <c r="B22" s="2191"/>
      <c r="C22" s="2191"/>
      <c r="D22" s="2191"/>
      <c r="E22" s="2191"/>
    </row>
    <row r="23" spans="1:5" s="417" customFormat="1">
      <c r="A23" s="2191"/>
      <c r="B23" s="2191"/>
      <c r="C23" s="2191"/>
      <c r="D23" s="2191"/>
      <c r="E23" s="2191"/>
    </row>
    <row r="24" spans="1:5" s="417" customFormat="1">
      <c r="A24" s="2191"/>
      <c r="B24" s="2191"/>
      <c r="C24" s="2191"/>
      <c r="D24" s="2191"/>
      <c r="E24" s="2191"/>
    </row>
    <row r="25" spans="1:5" s="417" customFormat="1">
      <c r="A25" s="2191"/>
      <c r="B25" s="2191"/>
      <c r="C25" s="2191"/>
      <c r="D25" s="2191"/>
      <c r="E25" s="2191"/>
    </row>
    <row r="26" spans="1:5" s="417" customFormat="1">
      <c r="A26" s="2191"/>
      <c r="B26" s="2191"/>
      <c r="C26" s="2191"/>
      <c r="D26" s="2191"/>
      <c r="E26" s="2191"/>
    </row>
    <row r="27" spans="1:5" s="417" customFormat="1">
      <c r="A27" s="2191"/>
      <c r="B27" s="2191"/>
      <c r="C27" s="2191"/>
      <c r="D27" s="2191"/>
      <c r="E27" s="2191"/>
    </row>
    <row r="28" spans="1:5" s="417" customFormat="1">
      <c r="A28" s="2191"/>
      <c r="B28" s="2191"/>
      <c r="C28" s="2191"/>
      <c r="D28" s="2191"/>
      <c r="E28" s="2191"/>
    </row>
    <row r="29" spans="1:5" s="417" customFormat="1">
      <c r="A29" s="2191"/>
      <c r="B29" s="2191"/>
      <c r="C29" s="2191"/>
      <c r="D29" s="2191"/>
      <c r="E29" s="2191"/>
    </row>
    <row r="30" spans="1:5" s="417" customFormat="1">
      <c r="A30" s="2191"/>
      <c r="B30" s="2191"/>
      <c r="C30" s="2191"/>
      <c r="D30" s="2191"/>
      <c r="E30" s="2191"/>
    </row>
    <row r="31" spans="1:5" s="417" customFormat="1">
      <c r="A31" s="2191"/>
      <c r="B31" s="2191"/>
      <c r="C31" s="2191"/>
      <c r="D31" s="2191"/>
      <c r="E31" s="2191"/>
    </row>
    <row r="32" spans="1:5" s="417" customFormat="1">
      <c r="A32" s="2191"/>
      <c r="B32" s="2191"/>
      <c r="C32" s="2191"/>
      <c r="D32" s="2191"/>
      <c r="E32" s="2191"/>
    </row>
    <row r="33" spans="1:5" s="417" customFormat="1">
      <c r="A33" s="2191"/>
      <c r="B33" s="2191"/>
      <c r="C33" s="2191"/>
      <c r="D33" s="2191"/>
      <c r="E33" s="2191"/>
    </row>
    <row r="34" spans="1:5" s="417" customFormat="1">
      <c r="A34" s="2191"/>
      <c r="B34" s="2191"/>
      <c r="C34" s="2191"/>
      <c r="D34" s="2191"/>
      <c r="E34" s="2191"/>
    </row>
    <row r="35" spans="1:5" s="417" customFormat="1">
      <c r="A35" s="2191"/>
      <c r="B35" s="2191"/>
      <c r="C35" s="2191"/>
      <c r="D35" s="2191"/>
      <c r="E35" s="2191"/>
    </row>
    <row r="36" spans="1:5" s="417" customFormat="1">
      <c r="A36" s="2191"/>
      <c r="B36" s="2191"/>
      <c r="C36" s="2191"/>
      <c r="D36" s="2191"/>
      <c r="E36" s="2191"/>
    </row>
    <row r="37" spans="1:5" s="417" customFormat="1">
      <c r="A37" s="2191"/>
      <c r="B37" s="2191"/>
      <c r="C37" s="2191"/>
      <c r="D37" s="2191"/>
      <c r="E37" s="2191"/>
    </row>
    <row r="38" spans="1:5" s="417" customFormat="1">
      <c r="A38" s="2191"/>
      <c r="B38" s="2191"/>
      <c r="C38" s="2191"/>
      <c r="D38" s="2191"/>
      <c r="E38" s="2191"/>
    </row>
    <row r="39" spans="1:5" s="417" customFormat="1">
      <c r="A39" s="2191"/>
      <c r="B39" s="2191"/>
      <c r="C39" s="2191"/>
      <c r="D39" s="2191"/>
      <c r="E39" s="2191"/>
    </row>
    <row r="40" spans="1:5" s="417" customFormat="1">
      <c r="A40" s="2191"/>
      <c r="B40" s="2191"/>
      <c r="C40" s="2191"/>
      <c r="D40" s="2191"/>
      <c r="E40" s="2191"/>
    </row>
    <row r="41" spans="1:5" s="417" customFormat="1">
      <c r="A41" s="2191"/>
      <c r="B41" s="2191"/>
      <c r="C41" s="2191"/>
      <c r="D41" s="2191"/>
      <c r="E41" s="2191"/>
    </row>
    <row r="42" spans="1:5" s="417" customFormat="1">
      <c r="A42" s="2191"/>
      <c r="B42" s="2191"/>
      <c r="C42" s="2191"/>
      <c r="D42" s="2191"/>
      <c r="E42" s="2191"/>
    </row>
    <row r="43" spans="1:5" s="417" customFormat="1">
      <c r="A43" s="2191"/>
      <c r="B43" s="2191"/>
      <c r="C43" s="2191"/>
      <c r="D43" s="2191"/>
      <c r="E43" s="2191"/>
    </row>
    <row r="44" spans="1:5" s="417" customFormat="1">
      <c r="A44" s="2191"/>
      <c r="B44" s="2191"/>
      <c r="C44" s="2191"/>
      <c r="D44" s="2191"/>
      <c r="E44" s="2191"/>
    </row>
    <row r="45" spans="1:5" s="417" customFormat="1">
      <c r="A45" s="2191"/>
      <c r="B45" s="2191"/>
      <c r="C45" s="2191"/>
      <c r="D45" s="2191"/>
      <c r="E45" s="2191"/>
    </row>
    <row r="46" spans="1:5" s="417" customFormat="1">
      <c r="A46" s="2191"/>
      <c r="B46" s="2191"/>
      <c r="C46" s="2191"/>
      <c r="D46" s="2191"/>
      <c r="E46" s="2191"/>
    </row>
    <row r="47" spans="1:5" s="417" customFormat="1">
      <c r="A47" s="2191"/>
      <c r="B47" s="2191"/>
      <c r="C47" s="2191"/>
      <c r="D47" s="2191"/>
      <c r="E47" s="2191"/>
    </row>
    <row r="48" spans="1:5" s="417" customFormat="1">
      <c r="A48" s="2191"/>
      <c r="B48" s="2191"/>
      <c r="C48" s="2191"/>
      <c r="D48" s="2191"/>
      <c r="E48" s="2191"/>
    </row>
    <row r="49" spans="1:5" s="417" customFormat="1">
      <c r="A49" s="2193"/>
      <c r="B49" s="2186"/>
      <c r="C49" s="2186"/>
      <c r="D49" s="2186"/>
      <c r="E49" s="2186"/>
    </row>
    <row r="50" spans="1:5" s="303" customFormat="1" ht="54.75" customHeight="1">
      <c r="A50" s="2194" t="s">
        <v>1222</v>
      </c>
      <c r="B50" s="2195"/>
      <c r="C50" s="2195"/>
      <c r="D50" s="2195"/>
      <c r="E50" s="2195"/>
    </row>
  </sheetData>
  <sheetProtection algorithmName="SHA-512" hashValue="aaOnDACs83DbHCWA/YhYwqTcpEgAHUQoEarVssCAbmz6fF6IwzAFxV2hcXwPPMv+fxmsz6FKNfLfefVZRNV9Hw==" saltValue="X+J2jMoYT9MJF5QfMkf53w==" spinCount="100000" sheet="1" objects="1" scenarios="1"/>
  <customSheetViews>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1"/>
      <headerFooter alignWithMargins="0"/>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3"/>
    </customSheetView>
  </customSheetViews>
  <mergeCells count="1">
    <mergeCell ref="A1:D1"/>
  </mergeCells>
  <phoneticPr fontId="88" type="noConversion"/>
  <pageMargins left="0.70866141732283472" right="0.48" top="0.74803149606299213" bottom="0.74803149606299213" header="0.31496062992125984" footer="0.31496062992125984"/>
  <pageSetup paperSize="9" scale="84"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0"/>
  <sheetViews>
    <sheetView showGridLines="0" zoomScaleNormal="100" workbookViewId="0">
      <pane xSplit="2" ySplit="11" topLeftCell="C12" activePane="bottomRight" state="frozen"/>
      <selection sqref="A1:F1"/>
      <selection pane="topRight" sqref="A1:F1"/>
      <selection pane="bottomLeft" sqref="A1:F1"/>
      <selection pane="bottomRight" sqref="A1:F1"/>
    </sheetView>
  </sheetViews>
  <sheetFormatPr defaultColWidth="0" defaultRowHeight="0" customHeight="1" zeroHeight="1"/>
  <cols>
    <col min="1" max="1" width="5.42578125" style="268" customWidth="1"/>
    <col min="2" max="2" width="32.5703125" style="271" customWidth="1"/>
    <col min="3" max="3" width="11.42578125" style="274" customWidth="1"/>
    <col min="4" max="4" width="9.28515625" style="274" customWidth="1"/>
    <col min="5" max="7" width="8.5703125" style="274" customWidth="1"/>
    <col min="8" max="8" width="10" style="274" customWidth="1"/>
    <col min="9" max="9" width="9.5703125" style="274" customWidth="1"/>
    <col min="10" max="10" width="10" style="274" customWidth="1"/>
    <col min="11" max="11" width="9.5703125" style="274" customWidth="1"/>
    <col min="12" max="13" width="10.28515625" style="274" customWidth="1"/>
    <col min="14" max="14" width="13.28515625" style="274" customWidth="1"/>
    <col min="15" max="15" width="8" style="272" customWidth="1"/>
    <col min="16" max="16" width="2.5703125" style="268" customWidth="1"/>
    <col min="17" max="17" width="7.5703125" style="273" customWidth="1"/>
    <col min="18" max="18" width="18.5703125" style="268" customWidth="1"/>
    <col min="19" max="19" width="4.28515625" style="268" customWidth="1"/>
    <col min="20" max="20" width="14.5703125" style="268" customWidth="1"/>
    <col min="21" max="21" width="9.28515625" style="268" customWidth="1"/>
    <col min="22" max="22" width="9.28515625" style="267" customWidth="1"/>
    <col min="23" max="16384" width="0" style="267" hidden="1"/>
  </cols>
  <sheetData>
    <row r="1" spans="1:23" ht="21.75">
      <c r="A1" s="131" t="str">
        <f>"Specificering vård och omsorg om äldre och personer med funktionsnedsättning "&amp;År&amp;", miljoner kronor"</f>
        <v>Specificering vård och omsorg om äldre och personer med funktionsnedsättning 2022, miljoner kronor</v>
      </c>
      <c r="B1" s="132"/>
      <c r="C1" s="132"/>
      <c r="D1" s="265"/>
      <c r="E1" s="265"/>
      <c r="F1" s="265"/>
      <c r="G1" s="265"/>
      <c r="H1" s="265"/>
      <c r="I1" s="265"/>
      <c r="J1" s="265"/>
      <c r="K1" s="265"/>
      <c r="L1" s="265"/>
      <c r="M1" s="265"/>
      <c r="N1" s="265"/>
      <c r="O1" s="517" t="s">
        <v>453</v>
      </c>
      <c r="P1" s="518" t="str">
        <f>Information!A2</f>
        <v>RIKSTOTAL</v>
      </c>
      <c r="Q1" s="266"/>
      <c r="R1" s="265"/>
      <c r="S1" s="265"/>
      <c r="T1" s="265"/>
      <c r="U1" s="265"/>
    </row>
    <row r="2" spans="1:23" ht="12.75">
      <c r="A2" s="2196"/>
      <c r="B2" s="2196"/>
      <c r="C2" s="2196"/>
      <c r="D2" s="2196"/>
      <c r="E2" s="2196"/>
      <c r="F2" s="2196"/>
      <c r="G2" s="2196"/>
      <c r="H2" s="2196"/>
      <c r="I2" s="2196"/>
      <c r="J2" s="2196"/>
      <c r="K2" s="2196"/>
      <c r="L2" s="2196"/>
      <c r="M2" s="2196"/>
      <c r="N2" s="2196"/>
      <c r="O2" s="2196"/>
      <c r="P2" s="2196"/>
      <c r="Q2" s="2196"/>
      <c r="R2" s="2196"/>
      <c r="S2" s="2196"/>
      <c r="T2" s="2196"/>
      <c r="U2" s="2196"/>
      <c r="V2" s="2196"/>
    </row>
    <row r="3" spans="1:23" ht="12.75" customHeight="1" thickBot="1">
      <c r="A3" s="2196"/>
      <c r="B3" s="2196"/>
      <c r="C3" s="2196"/>
      <c r="D3" s="2196"/>
      <c r="E3" s="2196"/>
      <c r="F3" s="2196"/>
      <c r="G3" s="2196"/>
      <c r="H3" s="2196"/>
      <c r="I3" s="2196"/>
      <c r="J3" s="2196"/>
      <c r="K3" s="2196"/>
      <c r="L3" s="2196"/>
      <c r="M3" s="2196"/>
      <c r="N3" s="2196"/>
      <c r="O3" s="2196"/>
      <c r="P3" s="2196"/>
      <c r="Q3" s="2196"/>
      <c r="R3" s="2196"/>
      <c r="S3" s="2196"/>
      <c r="T3" s="2196"/>
      <c r="U3" s="2196"/>
      <c r="V3" s="2196"/>
    </row>
    <row r="4" spans="1:23" ht="12.75">
      <c r="A4" s="1101" t="s">
        <v>615</v>
      </c>
      <c r="B4" s="1102" t="s">
        <v>13</v>
      </c>
      <c r="C4" s="1514" t="s">
        <v>919</v>
      </c>
      <c r="D4" s="1514"/>
      <c r="E4" s="1728"/>
      <c r="F4" s="1333" t="s">
        <v>37</v>
      </c>
      <c r="G4" s="1104"/>
      <c r="H4" s="1104"/>
      <c r="I4" s="1103"/>
      <c r="J4" s="1335" t="s">
        <v>38</v>
      </c>
      <c r="K4" s="1334" t="s">
        <v>917</v>
      </c>
      <c r="L4" s="1897" t="s">
        <v>990</v>
      </c>
      <c r="M4" s="1571" t="s">
        <v>926</v>
      </c>
      <c r="N4" s="1568"/>
      <c r="O4" s="2614" t="str">
        <f>"Förändring kostnader för eget åtagande "&amp;År-1&amp;"-"&amp;År&amp;" procent"</f>
        <v>Förändring kostnader för eget åtagande 2021-2022 procent</v>
      </c>
      <c r="P4" s="2196"/>
      <c r="Q4" s="2391"/>
      <c r="R4" s="2408"/>
      <c r="S4" s="2196"/>
      <c r="T4" s="2196"/>
      <c r="U4" s="2196"/>
      <c r="V4" s="2196"/>
      <c r="W4" s="268"/>
    </row>
    <row r="5" spans="1:23" ht="12.75" customHeight="1">
      <c r="A5" s="1106" t="s">
        <v>618</v>
      </c>
      <c r="B5" s="1107"/>
      <c r="C5" s="1288" t="s">
        <v>41</v>
      </c>
      <c r="D5" s="1288"/>
      <c r="E5" s="1722"/>
      <c r="F5" s="1108"/>
      <c r="G5" s="2420"/>
      <c r="H5" s="1109"/>
      <c r="I5" s="1110"/>
      <c r="J5" s="1336" t="s">
        <v>40</v>
      </c>
      <c r="K5" s="1586" t="s">
        <v>932</v>
      </c>
      <c r="L5" s="1898" t="s">
        <v>42</v>
      </c>
      <c r="M5" s="1570" t="s">
        <v>925</v>
      </c>
      <c r="N5" s="1569"/>
      <c r="O5" s="2615"/>
      <c r="P5" s="2196"/>
      <c r="Q5" s="2392"/>
      <c r="R5" s="2409"/>
      <c r="S5" s="2196"/>
      <c r="T5" s="2196"/>
      <c r="U5" s="2196"/>
      <c r="V5" s="2196"/>
      <c r="W5" s="268"/>
    </row>
    <row r="6" spans="1:23" ht="33.75" customHeight="1">
      <c r="A6" s="1113"/>
      <c r="B6" s="1114"/>
      <c r="C6" s="1545"/>
      <c r="D6" s="2607" t="s">
        <v>989</v>
      </c>
      <c r="E6" s="2607" t="s">
        <v>1018</v>
      </c>
      <c r="F6" s="2598" t="s">
        <v>677</v>
      </c>
      <c r="G6" s="2600" t="s">
        <v>807</v>
      </c>
      <c r="H6" s="2602" t="s">
        <v>463</v>
      </c>
      <c r="I6" s="2609" t="s">
        <v>1052</v>
      </c>
      <c r="J6" s="1722"/>
      <c r="K6" s="1585" t="s">
        <v>931</v>
      </c>
      <c r="L6" s="1729"/>
      <c r="M6" s="1851"/>
      <c r="N6" s="1582"/>
      <c r="O6" s="2615"/>
      <c r="P6" s="2196"/>
      <c r="Q6" s="2616" t="str">
        <f>"Nämnare nyckeltal"</f>
        <v>Nämnare nyckeltal</v>
      </c>
      <c r="R6" s="2617"/>
      <c r="S6" s="2196"/>
      <c r="T6" s="2196"/>
      <c r="U6" s="2196"/>
      <c r="V6" s="2196"/>
      <c r="W6" s="268"/>
    </row>
    <row r="7" spans="1:23" ht="21" customHeight="1">
      <c r="A7" s="1116"/>
      <c r="B7" s="1114"/>
      <c r="C7" s="1288"/>
      <c r="D7" s="2611"/>
      <c r="E7" s="2608"/>
      <c r="F7" s="2599"/>
      <c r="G7" s="2601"/>
      <c r="H7" s="2603"/>
      <c r="I7" s="2610"/>
      <c r="J7" s="1722"/>
      <c r="K7" s="1574" t="s">
        <v>927</v>
      </c>
      <c r="L7" s="1734" t="s">
        <v>923</v>
      </c>
      <c r="M7" s="1735" t="s">
        <v>930</v>
      </c>
      <c r="N7" s="1581" t="s">
        <v>930</v>
      </c>
      <c r="O7" s="2381"/>
      <c r="P7" s="2196"/>
      <c r="Q7" s="2618"/>
      <c r="R7" s="2617"/>
      <c r="S7" s="2196"/>
      <c r="T7" s="2196"/>
      <c r="U7" s="2196"/>
      <c r="V7" s="2196"/>
      <c r="W7" s="268"/>
    </row>
    <row r="8" spans="1:23" ht="12.75">
      <c r="A8" s="1116"/>
      <c r="B8" s="1117"/>
      <c r="C8" s="1111"/>
      <c r="D8" s="1722"/>
      <c r="E8" s="1544"/>
      <c r="F8" s="1115"/>
      <c r="G8" s="1881"/>
      <c r="H8" s="1881"/>
      <c r="I8" s="1339"/>
      <c r="J8" s="1722"/>
      <c r="K8" s="1287" t="s">
        <v>1053</v>
      </c>
      <c r="L8" s="1736"/>
      <c r="M8" s="1737">
        <f>År</f>
        <v>2022</v>
      </c>
      <c r="N8" s="1573">
        <f>År-1</f>
        <v>2021</v>
      </c>
      <c r="O8" s="2382"/>
      <c r="P8" s="2196"/>
      <c r="Q8" s="2393"/>
      <c r="R8" s="2410"/>
      <c r="S8" s="2196"/>
      <c r="T8" s="2196"/>
      <c r="U8" s="2196"/>
      <c r="V8" s="2196"/>
      <c r="W8" s="268"/>
    </row>
    <row r="9" spans="1:23" ht="20.25" customHeight="1">
      <c r="A9" s="1116"/>
      <c r="B9" s="1114"/>
      <c r="C9" s="1111"/>
      <c r="D9" s="2612" t="s">
        <v>1073</v>
      </c>
      <c r="E9" s="1557" t="s">
        <v>785</v>
      </c>
      <c r="F9" s="1556" t="s">
        <v>817</v>
      </c>
      <c r="G9" s="1555" t="s">
        <v>45</v>
      </c>
      <c r="H9" s="2604" t="s">
        <v>806</v>
      </c>
      <c r="I9" s="2087" t="s">
        <v>1055</v>
      </c>
      <c r="J9" s="1112"/>
      <c r="K9" s="1989" t="s">
        <v>1054</v>
      </c>
      <c r="L9" s="1882"/>
      <c r="M9" s="1738"/>
      <c r="N9" s="1572"/>
      <c r="O9" s="2382"/>
      <c r="P9" s="2196"/>
      <c r="Q9" s="2394"/>
      <c r="R9" s="2411"/>
      <c r="S9" s="2196"/>
      <c r="T9" s="2196"/>
      <c r="U9" s="2196"/>
      <c r="V9" s="2196"/>
      <c r="W9" s="268"/>
    </row>
    <row r="10" spans="1:23" ht="12.75" customHeight="1">
      <c r="A10" s="1116"/>
      <c r="B10" s="1120"/>
      <c r="C10" s="1111"/>
      <c r="D10" s="2613"/>
      <c r="E10" s="1544"/>
      <c r="F10" s="1349"/>
      <c r="G10" s="1558"/>
      <c r="H10" s="2605"/>
      <c r="I10" s="1547"/>
      <c r="J10" s="1112"/>
      <c r="K10" s="1287" t="s">
        <v>1050</v>
      </c>
      <c r="L10" s="1730"/>
      <c r="M10" s="1583"/>
      <c r="N10" s="1584"/>
      <c r="O10" s="2383"/>
      <c r="P10" s="2196"/>
      <c r="Q10" s="2395"/>
      <c r="R10" s="2412"/>
      <c r="S10" s="2196"/>
      <c r="T10" s="2196"/>
      <c r="U10" s="2196"/>
      <c r="V10" s="2196"/>
      <c r="W10" s="268"/>
    </row>
    <row r="11" spans="1:23" ht="12.75">
      <c r="A11" s="1121"/>
      <c r="B11" s="1350"/>
      <c r="C11" s="1122"/>
      <c r="D11" s="1723"/>
      <c r="E11" s="1546"/>
      <c r="F11" s="1349"/>
      <c r="G11" s="1559"/>
      <c r="H11" s="2606"/>
      <c r="I11" s="1548"/>
      <c r="J11" s="1124"/>
      <c r="K11" s="2007" t="s">
        <v>1051</v>
      </c>
      <c r="L11" s="1731"/>
      <c r="M11" s="1726"/>
      <c r="N11" s="1727"/>
      <c r="O11" s="2384"/>
      <c r="P11" s="2196"/>
      <c r="Q11" s="2396"/>
      <c r="R11" s="2384"/>
      <c r="S11" s="2196"/>
      <c r="T11" s="2196"/>
      <c r="U11" s="2196"/>
      <c r="V11" s="2196"/>
      <c r="W11" s="268"/>
    </row>
    <row r="12" spans="1:23" ht="12.75">
      <c r="A12" s="1125">
        <v>510</v>
      </c>
      <c r="B12" s="1126" t="s">
        <v>483</v>
      </c>
      <c r="C12" s="333">
        <f>Drift!P73</f>
        <v>161955.25199999998</v>
      </c>
      <c r="D12" s="333">
        <f>SUM(Drift!C73:D73)</f>
        <v>88717.380999999994</v>
      </c>
      <c r="E12" s="333">
        <f>Drift!F73</f>
        <v>23533.920999999998</v>
      </c>
      <c r="F12" s="333">
        <f>Drift!R73</f>
        <v>5926.3220000000001</v>
      </c>
      <c r="G12" s="333">
        <f>Drift!S73</f>
        <v>4530.2950000000001</v>
      </c>
      <c r="H12" s="333">
        <f>Drift!T73</f>
        <v>13594.163</v>
      </c>
      <c r="I12" s="333">
        <f>Motpart!Y27+Motpart!Z27</f>
        <v>426.97299999999996</v>
      </c>
      <c r="J12" s="333">
        <f>Drift!V73</f>
        <v>14891.838</v>
      </c>
      <c r="K12" s="1721">
        <f t="shared" ref="K12:K18" si="0">C12-I12-J12</f>
        <v>146636.44099999999</v>
      </c>
      <c r="L12" s="1724">
        <f t="shared" ref="L12:L18" si="1">C12-SUM(F12:H12,J12)</f>
        <v>123012.63399999998</v>
      </c>
      <c r="M12" s="1143">
        <f>IF(C12&gt;0,K12*1000000/Q12,"")</f>
        <v>68293.937927575185</v>
      </c>
      <c r="N12" s="1733">
        <v>65508.811000000002</v>
      </c>
      <c r="O12" s="2385"/>
      <c r="P12" s="2196"/>
      <c r="Q12" s="2397">
        <v>2147137</v>
      </c>
      <c r="R12" s="2413" t="s">
        <v>1012</v>
      </c>
      <c r="S12" s="2196"/>
      <c r="T12" s="2196"/>
      <c r="U12" s="2196"/>
      <c r="V12" s="2196"/>
      <c r="W12" s="269"/>
    </row>
    <row r="13" spans="1:23" ht="13.5" customHeight="1">
      <c r="A13" s="1127">
        <v>5101</v>
      </c>
      <c r="B13" s="1128" t="s">
        <v>440</v>
      </c>
      <c r="C13" s="133">
        <v>57751.082999999999</v>
      </c>
      <c r="D13" s="133">
        <v>34508.500999999997</v>
      </c>
      <c r="E13" s="133">
        <v>7585.2479999999996</v>
      </c>
      <c r="F13" s="133">
        <v>2849.7869999999998</v>
      </c>
      <c r="G13" s="2152"/>
      <c r="H13" s="133">
        <v>4380.03</v>
      </c>
      <c r="I13" s="133">
        <v>156.358</v>
      </c>
      <c r="J13" s="133">
        <v>5973.8159999999998</v>
      </c>
      <c r="K13" s="1724">
        <f t="shared" si="0"/>
        <v>51620.909</v>
      </c>
      <c r="L13" s="1724">
        <f t="shared" si="1"/>
        <v>44547.45</v>
      </c>
      <c r="M13" s="1143">
        <f>IF(C13&gt;0,K13*1000000/Q12,"")</f>
        <v>24041.739767886258</v>
      </c>
      <c r="N13" s="1143">
        <v>23085.992999999999</v>
      </c>
      <c r="O13" s="2386">
        <f>IF(ISERROR((M13-N13)/N13),"",((M13-N13)/N13))</f>
        <v>4.1399422060218918E-2</v>
      </c>
      <c r="P13" s="2196"/>
      <c r="Q13" s="2398"/>
      <c r="R13" s="2414"/>
      <c r="S13" s="2196"/>
      <c r="T13" s="2196"/>
      <c r="U13" s="2196"/>
      <c r="V13" s="2196"/>
      <c r="W13" s="269"/>
    </row>
    <row r="14" spans="1:23" ht="13.5" customHeight="1">
      <c r="A14" s="1127">
        <v>5103</v>
      </c>
      <c r="B14" s="1128" t="s">
        <v>738</v>
      </c>
      <c r="C14" s="275">
        <v>8040.7380000000003</v>
      </c>
      <c r="D14" s="133">
        <v>4702.3860000000004</v>
      </c>
      <c r="E14" s="275">
        <v>672.1</v>
      </c>
      <c r="F14" s="133">
        <v>211.71299999999999</v>
      </c>
      <c r="G14" s="275">
        <v>55.667999999999999</v>
      </c>
      <c r="H14" s="133">
        <v>555.63199999999995</v>
      </c>
      <c r="I14" s="275">
        <v>48.375999999999998</v>
      </c>
      <c r="J14" s="133">
        <v>898.66899999999998</v>
      </c>
      <c r="K14" s="1724">
        <f>C14-I14-J14</f>
        <v>7093.6930000000002</v>
      </c>
      <c r="L14" s="1724">
        <f t="shared" si="1"/>
        <v>6319.0560000000005</v>
      </c>
      <c r="M14" s="1144">
        <f>IF(C14&gt;0,K14*1000000/Q12,"")</f>
        <v>3303.7915140021341</v>
      </c>
      <c r="N14" s="1144">
        <v>3221.375</v>
      </c>
      <c r="O14" s="2386">
        <f>IF(ISERROR((M14-N14)/N14),"",((M14-N14)/N14))</f>
        <v>2.5584265725702264E-2</v>
      </c>
      <c r="P14" s="2196"/>
      <c r="Q14" s="2399"/>
      <c r="R14" s="2619"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2196"/>
      <c r="T14" s="2196"/>
      <c r="U14" s="2196"/>
      <c r="V14" s="2196"/>
      <c r="W14" s="269"/>
    </row>
    <row r="15" spans="1:23" ht="13.5" customHeight="1">
      <c r="A15" s="1127">
        <v>5104</v>
      </c>
      <c r="B15" s="1128" t="s">
        <v>441</v>
      </c>
      <c r="C15" s="275">
        <v>1570.056</v>
      </c>
      <c r="D15" s="275">
        <v>887.75599999999997</v>
      </c>
      <c r="E15" s="275">
        <v>104.667</v>
      </c>
      <c r="F15" s="275">
        <v>43.115000000000002</v>
      </c>
      <c r="G15" s="2152"/>
      <c r="H15" s="275">
        <v>111.081</v>
      </c>
      <c r="I15" s="275">
        <v>1.351</v>
      </c>
      <c r="J15" s="275">
        <v>153.905</v>
      </c>
      <c r="K15" s="1724">
        <f>C15-I15-J15</f>
        <v>1414.8</v>
      </c>
      <c r="L15" s="1724">
        <f t="shared" si="1"/>
        <v>1261.9549999999999</v>
      </c>
      <c r="M15" s="1144">
        <f>IF(C15&gt;0,K15*1000000/Q12,"")</f>
        <v>658.9239531525003</v>
      </c>
      <c r="N15" s="1144">
        <v>601.68399999999997</v>
      </c>
      <c r="O15" s="2386">
        <f>IF(ISERROR((M15-N15)/N15),"",((M15-N15)/N15))</f>
        <v>9.5132915537890883E-2</v>
      </c>
      <c r="P15" s="2196"/>
      <c r="Q15" s="2399"/>
      <c r="R15" s="2620"/>
      <c r="S15" s="2196"/>
      <c r="T15" s="2196"/>
      <c r="U15" s="2196"/>
      <c r="V15" s="2196"/>
      <c r="W15" s="269"/>
    </row>
    <row r="16" spans="1:23" ht="13.5" customHeight="1">
      <c r="A16" s="1127">
        <v>5105</v>
      </c>
      <c r="B16" s="1128" t="s">
        <v>474</v>
      </c>
      <c r="C16" s="133">
        <v>91023.764999999999</v>
      </c>
      <c r="D16" s="133">
        <v>47259.461000000003</v>
      </c>
      <c r="E16" s="133">
        <v>15045.138999999999</v>
      </c>
      <c r="F16" s="276">
        <v>2771.7820000000002</v>
      </c>
      <c r="G16" s="133">
        <v>4354.3180000000002</v>
      </c>
      <c r="H16" s="276">
        <v>8167.2020000000002</v>
      </c>
      <c r="I16" s="276">
        <v>211.99100000000001</v>
      </c>
      <c r="J16" s="276">
        <v>7633.11</v>
      </c>
      <c r="K16" s="1724">
        <f t="shared" si="0"/>
        <v>83178.664000000004</v>
      </c>
      <c r="L16" s="1724">
        <f t="shared" si="1"/>
        <v>68097.353000000003</v>
      </c>
      <c r="M16" s="1145">
        <f>IF(C16&gt;0,K16*1000000/Q12,"")</f>
        <v>38739.337080027966</v>
      </c>
      <c r="N16" s="1145">
        <v>37167.64</v>
      </c>
      <c r="O16" s="2386">
        <f>IF(ISERROR((M16-N16)/N16),"",((M16-N16)/N16))</f>
        <v>4.2286706393733012E-2</v>
      </c>
      <c r="P16" s="2196"/>
      <c r="Q16" s="2399"/>
      <c r="R16" s="2620"/>
      <c r="S16" s="2196"/>
      <c r="T16" s="2196"/>
      <c r="U16" s="2196"/>
      <c r="V16" s="2196"/>
      <c r="W16" s="269"/>
    </row>
    <row r="17" spans="1:23" ht="13.5" customHeight="1">
      <c r="A17" s="1127">
        <v>5106</v>
      </c>
      <c r="B17" s="1129" t="s">
        <v>101</v>
      </c>
      <c r="C17" s="275">
        <v>1749.135</v>
      </c>
      <c r="D17" s="133">
        <v>826.60400000000004</v>
      </c>
      <c r="E17" s="133">
        <v>37.298000000000002</v>
      </c>
      <c r="F17" s="133">
        <v>31.100999999999999</v>
      </c>
      <c r="G17" s="133">
        <v>9.8260000000000005</v>
      </c>
      <c r="H17" s="133">
        <v>242.56299999999999</v>
      </c>
      <c r="I17" s="133">
        <v>3.1349999999999998</v>
      </c>
      <c r="J17" s="133">
        <v>159.4</v>
      </c>
      <c r="K17" s="1724">
        <f t="shared" si="0"/>
        <v>1586.6</v>
      </c>
      <c r="L17" s="1724">
        <f t="shared" si="1"/>
        <v>1306.2449999999999</v>
      </c>
      <c r="M17" s="1143">
        <f>IF(C17&gt;0,K17*1000000/Q12,"")</f>
        <v>738.9374781394946</v>
      </c>
      <c r="N17" s="1143">
        <v>681.87800000000004</v>
      </c>
      <c r="O17" s="2386">
        <f>IF(ISERROR((M17-N17)/N17),"",((M17-N17)/N17))</f>
        <v>8.3679893088638366E-2</v>
      </c>
      <c r="P17" s="2196"/>
      <c r="Q17" s="2399"/>
      <c r="R17" s="2620"/>
      <c r="S17" s="2196"/>
      <c r="T17" s="2196"/>
      <c r="U17" s="2196"/>
      <c r="V17" s="2196"/>
      <c r="W17" s="269"/>
    </row>
    <row r="18" spans="1:23" ht="13.5" customHeight="1">
      <c r="A18" s="1127">
        <v>5109</v>
      </c>
      <c r="B18" s="1128" t="s">
        <v>363</v>
      </c>
      <c r="C18" s="275">
        <v>1820.4749999999999</v>
      </c>
      <c r="D18" s="133">
        <v>532.673</v>
      </c>
      <c r="E18" s="133">
        <v>89.468999999999994</v>
      </c>
      <c r="F18" s="133">
        <v>18.823</v>
      </c>
      <c r="G18" s="133">
        <v>110.483</v>
      </c>
      <c r="H18" s="133">
        <v>137.654</v>
      </c>
      <c r="I18" s="133">
        <v>5.7629999999999999</v>
      </c>
      <c r="J18" s="275">
        <v>72.938000000000002</v>
      </c>
      <c r="K18" s="1142">
        <f t="shared" si="0"/>
        <v>1741.7739999999999</v>
      </c>
      <c r="L18" s="1724">
        <f t="shared" si="1"/>
        <v>1480.5769999999998</v>
      </c>
      <c r="M18" s="1146"/>
      <c r="N18" s="1146"/>
      <c r="O18" s="2387"/>
      <c r="P18" s="2196"/>
      <c r="Q18" s="2399"/>
      <c r="R18" s="2620"/>
      <c r="S18" s="2196"/>
      <c r="T18" s="2196"/>
      <c r="U18" s="2196"/>
      <c r="V18" s="2196"/>
      <c r="W18" s="269"/>
    </row>
    <row r="19" spans="1:23" ht="12.75">
      <c r="A19" s="1130">
        <v>51099</v>
      </c>
      <c r="B19" s="1131" t="s">
        <v>156</v>
      </c>
      <c r="C19" s="318">
        <f>SUM(C13:C18)</f>
        <v>161955.25200000001</v>
      </c>
      <c r="D19" s="318">
        <f>SUM(D13:D18)</f>
        <v>88717.380999999994</v>
      </c>
      <c r="E19" s="318">
        <f t="shared" ref="E19:J19" si="2">SUM(E13:E18)</f>
        <v>23533.920999999998</v>
      </c>
      <c r="F19" s="318">
        <f t="shared" si="2"/>
        <v>5926.3209999999999</v>
      </c>
      <c r="G19" s="318">
        <f t="shared" si="2"/>
        <v>4530.2950000000001</v>
      </c>
      <c r="H19" s="318">
        <f>SUM(H13:H18)</f>
        <v>13594.162</v>
      </c>
      <c r="I19" s="318">
        <f t="shared" si="2"/>
        <v>426.97399999999999</v>
      </c>
      <c r="J19" s="318">
        <f t="shared" si="2"/>
        <v>14891.838</v>
      </c>
      <c r="K19" s="1147"/>
      <c r="L19" s="1732"/>
      <c r="M19" s="1148"/>
      <c r="N19" s="1148"/>
      <c r="O19" s="2388"/>
      <c r="P19" s="2196"/>
      <c r="Q19" s="2399"/>
      <c r="R19" s="2620"/>
      <c r="S19" s="2196"/>
      <c r="T19" s="2196"/>
      <c r="U19" s="2196"/>
      <c r="V19" s="2196"/>
      <c r="W19" s="269"/>
    </row>
    <row r="20" spans="1:23" ht="13.5" thickBot="1">
      <c r="A20" s="1132"/>
      <c r="B20" s="1658"/>
      <c r="C20" s="319"/>
      <c r="D20" s="319"/>
      <c r="E20" s="319"/>
      <c r="F20" s="319"/>
      <c r="G20" s="319"/>
      <c r="H20" s="319"/>
      <c r="I20" s="319"/>
      <c r="J20" s="319"/>
      <c r="K20" s="1149"/>
      <c r="L20" s="1740"/>
      <c r="M20" s="1150"/>
      <c r="N20" s="1150"/>
      <c r="O20" s="2389"/>
      <c r="P20" s="2196"/>
      <c r="Q20" s="2400"/>
      <c r="R20" s="2415"/>
      <c r="S20" s="2196"/>
      <c r="T20" s="2196"/>
      <c r="U20" s="2196"/>
      <c r="V20" s="2196"/>
      <c r="W20" s="269"/>
    </row>
    <row r="21" spans="1:23" ht="22.5" customHeight="1">
      <c r="A21" s="1133">
        <v>520</v>
      </c>
      <c r="B21" s="1134" t="s">
        <v>110</v>
      </c>
      <c r="C21" s="334">
        <f>Drift!P74</f>
        <v>17485.842000000001</v>
      </c>
      <c r="D21" s="333">
        <f>SUM(Drift!C74:D74)</f>
        <v>8841.0789999999997</v>
      </c>
      <c r="E21" s="334">
        <f>Drift!F74</f>
        <v>3694.2539999999999</v>
      </c>
      <c r="F21" s="334">
        <f>Drift!R74</f>
        <v>317.50599999999997</v>
      </c>
      <c r="G21" s="334">
        <f>Drift!S74</f>
        <v>340.00799999999998</v>
      </c>
      <c r="H21" s="334">
        <f>Drift!T74</f>
        <v>1161.308</v>
      </c>
      <c r="I21" s="334">
        <f>Motpart!Y28+Motpart!Z28</f>
        <v>53.454999999999998</v>
      </c>
      <c r="J21" s="334">
        <f>Drift!V74</f>
        <v>1335.261</v>
      </c>
      <c r="K21" s="1151">
        <f t="shared" ref="K21:K28" si="3">C21-I21-J21</f>
        <v>16097.125999999998</v>
      </c>
      <c r="L21" s="1151">
        <f t="shared" ref="L21:L28" si="4">C21-SUM(F21:H21,J21)</f>
        <v>14331.759000000002</v>
      </c>
      <c r="M21" s="1152">
        <f>IF(C21&gt;0,K21*1000000/Q21,"")</f>
        <v>1922.178243051846</v>
      </c>
      <c r="N21" s="1152">
        <v>1855.126</v>
      </c>
      <c r="O21" s="2390"/>
      <c r="P21" s="2196"/>
      <c r="Q21" s="2401">
        <v>8374419</v>
      </c>
      <c r="R21" s="2416" t="s">
        <v>1013</v>
      </c>
      <c r="S21" s="2196"/>
      <c r="T21" s="2196"/>
      <c r="U21" s="2196"/>
      <c r="V21" s="2196"/>
      <c r="W21" s="269"/>
    </row>
    <row r="22" spans="1:23" ht="12.75">
      <c r="A22" s="1127">
        <v>5201</v>
      </c>
      <c r="B22" s="1128" t="s">
        <v>442</v>
      </c>
      <c r="C22" s="133">
        <v>4675.4530000000004</v>
      </c>
      <c r="D22" s="133">
        <v>2525.1570000000002</v>
      </c>
      <c r="E22" s="133">
        <v>732.75900000000001</v>
      </c>
      <c r="F22" s="133">
        <v>169.72399999999999</v>
      </c>
      <c r="G22" s="2152"/>
      <c r="H22" s="133">
        <v>296.39699999999999</v>
      </c>
      <c r="I22" s="133">
        <v>12.891</v>
      </c>
      <c r="J22" s="133">
        <v>428.44</v>
      </c>
      <c r="K22" s="1153">
        <f t="shared" si="3"/>
        <v>4234.1220000000012</v>
      </c>
      <c r="L22" s="1724">
        <f t="shared" si="4"/>
        <v>3780.8920000000007</v>
      </c>
      <c r="M22" s="1144">
        <f>IF(C22&gt;0,K22*1000000/Q21,"")</f>
        <v>505.60188115736764</v>
      </c>
      <c r="N22" s="1144">
        <v>496.82600000000002</v>
      </c>
      <c r="O22" s="2386">
        <f t="shared" ref="O22:O27" si="5">IF(ISERROR((M22-N22)/N22),"",((M22-N22)/N22))</f>
        <v>1.7663892705630586E-2</v>
      </c>
      <c r="P22" s="2196"/>
      <c r="Q22" s="2398"/>
      <c r="R22" s="2417"/>
      <c r="S22" s="2196"/>
      <c r="T22" s="2196"/>
      <c r="U22" s="2196"/>
      <c r="V22" s="2196"/>
      <c r="W22" s="269"/>
    </row>
    <row r="23" spans="1:23" ht="12.75">
      <c r="A23" s="1127">
        <v>5202</v>
      </c>
      <c r="B23" s="1128" t="s">
        <v>443</v>
      </c>
      <c r="C23" s="275">
        <v>2975.8449999999998</v>
      </c>
      <c r="D23" s="133">
        <v>2033.0309999999999</v>
      </c>
      <c r="E23" s="133">
        <v>275.84199999999998</v>
      </c>
      <c r="F23" s="133">
        <v>20.411999999999999</v>
      </c>
      <c r="G23" s="2152"/>
      <c r="H23" s="133">
        <v>86.015000000000001</v>
      </c>
      <c r="I23" s="133">
        <v>2.452</v>
      </c>
      <c r="J23" s="133">
        <v>229.99799999999999</v>
      </c>
      <c r="K23" s="1153">
        <f t="shared" si="3"/>
        <v>2743.3949999999995</v>
      </c>
      <c r="L23" s="1724">
        <f t="shared" si="4"/>
        <v>2639.42</v>
      </c>
      <c r="M23" s="1144">
        <f>IF(C23&gt;0,K23*1000000/Q21,"")</f>
        <v>327.59227834193626</v>
      </c>
      <c r="N23" s="1144">
        <v>307.64999999999998</v>
      </c>
      <c r="O23" s="2386">
        <f t="shared" si="5"/>
        <v>6.4821317542455029E-2</v>
      </c>
      <c r="P23" s="2196"/>
      <c r="Q23" s="2402"/>
      <c r="R23" s="2621"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3" s="2196"/>
      <c r="T23" s="2196"/>
      <c r="U23" s="2196"/>
      <c r="V23" s="2196"/>
      <c r="W23" s="269"/>
    </row>
    <row r="24" spans="1:23" ht="12.75">
      <c r="A24" s="1127">
        <v>5203</v>
      </c>
      <c r="B24" s="1128" t="s">
        <v>738</v>
      </c>
      <c r="C24" s="275">
        <v>819.38400000000001</v>
      </c>
      <c r="D24" s="133">
        <v>324.67599999999999</v>
      </c>
      <c r="E24" s="133">
        <v>319.45699999999999</v>
      </c>
      <c r="F24" s="133">
        <v>14.137</v>
      </c>
      <c r="G24" s="133">
        <v>5.7350000000000003</v>
      </c>
      <c r="H24" s="133">
        <v>50.674999999999997</v>
      </c>
      <c r="I24" s="133">
        <v>1.7669999999999999</v>
      </c>
      <c r="J24" s="275">
        <v>41.106999999999999</v>
      </c>
      <c r="K24" s="1153">
        <f>C24-I24-J24</f>
        <v>776.51</v>
      </c>
      <c r="L24" s="1724">
        <f t="shared" si="4"/>
        <v>707.73</v>
      </c>
      <c r="M24" s="1144">
        <f>IF(C24&gt;0,K24*1000000/Q21,"")</f>
        <v>92.724044497892933</v>
      </c>
      <c r="N24" s="1144">
        <v>90.022999999999996</v>
      </c>
      <c r="O24" s="2386">
        <f t="shared" si="5"/>
        <v>3.0003937859135302E-2</v>
      </c>
      <c r="P24" s="2196"/>
      <c r="Q24" s="2403"/>
      <c r="R24" s="2622"/>
      <c r="S24" s="2196"/>
      <c r="T24" s="2196"/>
      <c r="U24" s="2196"/>
      <c r="V24" s="2196"/>
      <c r="W24" s="269"/>
    </row>
    <row r="25" spans="1:23" ht="12.75">
      <c r="A25" s="1906">
        <v>5204</v>
      </c>
      <c r="B25" s="1128" t="s">
        <v>991</v>
      </c>
      <c r="C25" s="275">
        <v>558.62099999999998</v>
      </c>
      <c r="D25" s="133">
        <v>328.06</v>
      </c>
      <c r="E25" s="133">
        <v>46.588000000000001</v>
      </c>
      <c r="F25" s="133">
        <v>1.2809999999999999</v>
      </c>
      <c r="G25" s="2152"/>
      <c r="H25" s="133">
        <v>52.750999999999998</v>
      </c>
      <c r="I25" s="133">
        <v>4.6239999999999997</v>
      </c>
      <c r="J25" s="133">
        <v>45.697000000000003</v>
      </c>
      <c r="K25" s="1153">
        <f t="shared" si="3"/>
        <v>508.29999999999995</v>
      </c>
      <c r="L25" s="1724">
        <f t="shared" si="4"/>
        <v>458.892</v>
      </c>
      <c r="M25" s="1144">
        <f>IF(C25&gt;0,K25*1000000/Q21,"")</f>
        <v>60.696748037087701</v>
      </c>
      <c r="N25" s="1144">
        <v>57.865000000000002</v>
      </c>
      <c r="O25" s="2386">
        <f t="shared" si="5"/>
        <v>4.8937147448158629E-2</v>
      </c>
      <c r="P25" s="2196"/>
      <c r="Q25" s="2403"/>
      <c r="R25" s="2622"/>
      <c r="S25" s="2196"/>
      <c r="T25" s="2196"/>
      <c r="U25" s="2196"/>
      <c r="V25" s="2196"/>
      <c r="W25" s="269"/>
    </row>
    <row r="26" spans="1:23" ht="12.75">
      <c r="A26" s="1127">
        <v>5205</v>
      </c>
      <c r="B26" s="1128" t="s">
        <v>474</v>
      </c>
      <c r="C26" s="275">
        <v>6544.7340000000004</v>
      </c>
      <c r="D26" s="133">
        <v>2844.2890000000002</v>
      </c>
      <c r="E26" s="133">
        <v>2128.0030000000002</v>
      </c>
      <c r="F26" s="133">
        <v>103.26300000000001</v>
      </c>
      <c r="G26" s="133">
        <v>283.69400000000002</v>
      </c>
      <c r="H26" s="133">
        <v>396.50799999999998</v>
      </c>
      <c r="I26" s="133">
        <v>18.225999999999999</v>
      </c>
      <c r="J26" s="133">
        <v>461.892</v>
      </c>
      <c r="K26" s="1153">
        <f t="shared" si="3"/>
        <v>6064.6160000000009</v>
      </c>
      <c r="L26" s="1724">
        <f t="shared" si="4"/>
        <v>5299.3770000000004</v>
      </c>
      <c r="M26" s="1144">
        <f>IF(C26&gt;0,K26*1000000/Q21,"")</f>
        <v>724.1834926100546</v>
      </c>
      <c r="N26" s="1144">
        <v>707.81899999999996</v>
      </c>
      <c r="O26" s="2386">
        <f t="shared" si="5"/>
        <v>2.3119600646570156E-2</v>
      </c>
      <c r="P26" s="2196"/>
      <c r="Q26" s="2403"/>
      <c r="R26" s="2622"/>
      <c r="S26" s="2196"/>
      <c r="T26" s="2196"/>
      <c r="U26" s="2196"/>
      <c r="V26" s="2196"/>
      <c r="W26" s="269"/>
    </row>
    <row r="27" spans="1:23" ht="12.75">
      <c r="A27" s="1127">
        <v>5206</v>
      </c>
      <c r="B27" s="1128" t="s">
        <v>101</v>
      </c>
      <c r="C27" s="275">
        <v>852.96299999999997</v>
      </c>
      <c r="D27" s="133">
        <v>414.745</v>
      </c>
      <c r="E27" s="133">
        <v>38.134999999999998</v>
      </c>
      <c r="F27" s="133">
        <v>4.33</v>
      </c>
      <c r="G27" s="133">
        <v>5.0670000000000002</v>
      </c>
      <c r="H27" s="133">
        <v>172.69</v>
      </c>
      <c r="I27" s="133">
        <v>2.8580000000000001</v>
      </c>
      <c r="J27" s="133">
        <v>75.173000000000002</v>
      </c>
      <c r="K27" s="1154">
        <f t="shared" si="3"/>
        <v>774.93200000000002</v>
      </c>
      <c r="L27" s="1724">
        <f t="shared" si="4"/>
        <v>595.70299999999997</v>
      </c>
      <c r="M27" s="1143">
        <f>IF(C27&gt;0,K27*1000000/Q21,"")</f>
        <v>92.535613515397301</v>
      </c>
      <c r="N27" s="1143">
        <v>85.802999999999997</v>
      </c>
      <c r="O27" s="2386">
        <f t="shared" si="5"/>
        <v>7.8465945426119191E-2</v>
      </c>
      <c r="P27" s="2196"/>
      <c r="Q27" s="2403"/>
      <c r="R27" s="2622"/>
      <c r="S27" s="2196"/>
      <c r="T27" s="2196"/>
      <c r="U27" s="2196"/>
      <c r="V27" s="2196"/>
      <c r="W27" s="269"/>
    </row>
    <row r="28" spans="1:23" ht="12.75">
      <c r="A28" s="1127">
        <v>5209</v>
      </c>
      <c r="B28" s="1128" t="s">
        <v>363</v>
      </c>
      <c r="C28" s="275">
        <v>1058.8420000000001</v>
      </c>
      <c r="D28" s="133">
        <v>371.12</v>
      </c>
      <c r="E28" s="133">
        <v>153.47</v>
      </c>
      <c r="F28" s="133">
        <v>4.359</v>
      </c>
      <c r="G28" s="133">
        <v>45.512</v>
      </c>
      <c r="H28" s="133">
        <v>106.271</v>
      </c>
      <c r="I28" s="133">
        <v>10.638</v>
      </c>
      <c r="J28" s="133">
        <v>52.954999999999998</v>
      </c>
      <c r="K28" s="1153">
        <f t="shared" si="3"/>
        <v>995.24900000000014</v>
      </c>
      <c r="L28" s="1724">
        <f t="shared" si="4"/>
        <v>849.74500000000012</v>
      </c>
      <c r="M28" s="1147"/>
      <c r="N28" s="1146"/>
      <c r="O28" s="2387"/>
      <c r="P28" s="2196"/>
      <c r="Q28" s="2403"/>
      <c r="R28" s="2622"/>
      <c r="S28" s="2196"/>
      <c r="T28" s="2196"/>
      <c r="U28" s="2196"/>
      <c r="V28" s="2196"/>
      <c r="W28" s="269"/>
    </row>
    <row r="29" spans="1:23" ht="21.75" customHeight="1">
      <c r="A29" s="1130">
        <v>52099</v>
      </c>
      <c r="B29" s="1135" t="s">
        <v>608</v>
      </c>
      <c r="C29" s="2151">
        <f>SUM(C22:C28)</f>
        <v>17485.842000000001</v>
      </c>
      <c r="D29" s="2151">
        <f t="shared" ref="D29:J29" si="6">SUM(D22:D28)</f>
        <v>8841.0780000000032</v>
      </c>
      <c r="E29" s="2151">
        <f t="shared" si="6"/>
        <v>3694.2540000000004</v>
      </c>
      <c r="F29" s="2151">
        <f t="shared" si="6"/>
        <v>317.50599999999997</v>
      </c>
      <c r="G29" s="2151">
        <f t="shared" si="6"/>
        <v>340.00800000000004</v>
      </c>
      <c r="H29" s="2151">
        <f t="shared" si="6"/>
        <v>1161.307</v>
      </c>
      <c r="I29" s="2151">
        <f t="shared" si="6"/>
        <v>53.455999999999989</v>
      </c>
      <c r="J29" s="2151">
        <f t="shared" si="6"/>
        <v>1335.2619999999999</v>
      </c>
      <c r="K29" s="1147"/>
      <c r="L29" s="1732"/>
      <c r="M29" s="1148"/>
      <c r="N29" s="1148"/>
      <c r="O29" s="2388"/>
      <c r="P29" s="2196"/>
      <c r="Q29" s="2398"/>
      <c r="R29" s="2622"/>
      <c r="S29" s="2196"/>
      <c r="T29" s="2196"/>
      <c r="U29" s="2196"/>
      <c r="V29" s="2196"/>
      <c r="W29" s="269"/>
    </row>
    <row r="30" spans="1:23" ht="13.5" thickBot="1">
      <c r="A30" s="1136"/>
      <c r="B30" s="1658"/>
      <c r="C30" s="317"/>
      <c r="D30" s="317"/>
      <c r="E30" s="317"/>
      <c r="F30" s="317"/>
      <c r="G30" s="317"/>
      <c r="H30" s="317"/>
      <c r="I30" s="317"/>
      <c r="J30" s="317"/>
      <c r="K30" s="1149"/>
      <c r="L30" s="1740"/>
      <c r="M30" s="1150"/>
      <c r="N30" s="1150"/>
      <c r="O30" s="2389"/>
      <c r="P30" s="2196"/>
      <c r="Q30" s="2400"/>
      <c r="R30" s="2415"/>
      <c r="S30" s="2196"/>
      <c r="T30" s="2196"/>
      <c r="U30" s="2196"/>
      <c r="V30" s="2196"/>
      <c r="W30" s="269"/>
    </row>
    <row r="31" spans="1:23" ht="12.75">
      <c r="A31" s="1137">
        <v>513</v>
      </c>
      <c r="B31" s="1138" t="s">
        <v>609</v>
      </c>
      <c r="C31" s="333">
        <f>Drift!P75</f>
        <v>75894.986000000004</v>
      </c>
      <c r="D31" s="333">
        <f>SUM(Drift!C75:D75)</f>
        <v>40504.364000000001</v>
      </c>
      <c r="E31" s="333">
        <f>Drift!F75</f>
        <v>14748.707</v>
      </c>
      <c r="F31" s="333">
        <f>Drift!R75</f>
        <v>137.92099999999999</v>
      </c>
      <c r="G31" s="333">
        <f>Drift!S75</f>
        <v>1444.3579999999999</v>
      </c>
      <c r="H31" s="334">
        <f>Drift!T75</f>
        <v>8164.7929999999997</v>
      </c>
      <c r="I31" s="2421">
        <f>Motpart!Y29+Motpart!Z29</f>
        <v>262.56200000000001</v>
      </c>
      <c r="J31" s="333">
        <f>Drift!V75</f>
        <v>4605.32</v>
      </c>
      <c r="K31" s="1155">
        <f>C31-I31-J31-G41-G43</f>
        <v>65968.514999999999</v>
      </c>
      <c r="L31" s="1739">
        <f t="shared" ref="L31:L36" si="7">C31-SUM(F31:H31,J31)</f>
        <v>61542.594000000005</v>
      </c>
      <c r="M31" s="1852">
        <f>IF(C31&gt;0,K31*1000000/Q31,"")</f>
        <v>6269.8440230703518</v>
      </c>
      <c r="N31" s="1852">
        <v>5994.652</v>
      </c>
      <c r="O31" s="2386">
        <f>IF(ISERROR((M31-N31)/N31),"",((M31-N31)/N31))</f>
        <v>4.5906254953640639E-2</v>
      </c>
      <c r="P31" s="2196"/>
      <c r="Q31" s="2404">
        <v>10521556</v>
      </c>
      <c r="R31" s="2416" t="s">
        <v>512</v>
      </c>
      <c r="S31" s="2196"/>
      <c r="T31" s="2196"/>
      <c r="U31" s="2196"/>
      <c r="V31" s="2196"/>
      <c r="W31" s="269"/>
    </row>
    <row r="32" spans="1:23" ht="12.75">
      <c r="A32" s="1139">
        <v>5131</v>
      </c>
      <c r="B32" s="1140" t="s">
        <v>193</v>
      </c>
      <c r="C32" s="275">
        <v>37945.298000000003</v>
      </c>
      <c r="D32" s="133">
        <v>22605.361000000001</v>
      </c>
      <c r="E32" s="133">
        <v>6624.5789999999997</v>
      </c>
      <c r="F32" s="133">
        <v>67.972999999999999</v>
      </c>
      <c r="G32" s="133">
        <v>1413.481</v>
      </c>
      <c r="H32" s="133">
        <v>1369.1679999999999</v>
      </c>
      <c r="I32" s="133">
        <v>58.645000000000003</v>
      </c>
      <c r="J32" s="133">
        <v>2481.3530000000001</v>
      </c>
      <c r="K32" s="1153">
        <f>C32-I32-J32</f>
        <v>35405.300000000003</v>
      </c>
      <c r="L32" s="1732">
        <f t="shared" si="7"/>
        <v>32613.323000000004</v>
      </c>
      <c r="M32" s="1144">
        <f>IF(C32&gt;0,K32*1000000/Q32,"")</f>
        <v>4571.5698667599781</v>
      </c>
      <c r="N32" s="1144">
        <v>4341.5749999999998</v>
      </c>
      <c r="O32" s="2386">
        <f>IF(ISERROR((M32-N32)/N32),"",((M32-N32)/N32))</f>
        <v>5.297498413823977E-2</v>
      </c>
      <c r="P32" s="2196"/>
      <c r="Q32" s="2405">
        <v>7744670</v>
      </c>
      <c r="R32" s="2418" t="s">
        <v>1014</v>
      </c>
      <c r="S32" s="2196"/>
      <c r="T32" s="2196"/>
      <c r="U32" s="2196"/>
      <c r="V32" s="2196"/>
      <c r="W32" s="269"/>
    </row>
    <row r="33" spans="1:23" ht="12.75">
      <c r="A33" s="1139">
        <v>5132</v>
      </c>
      <c r="B33" s="1141" t="s">
        <v>529</v>
      </c>
      <c r="C33" s="275">
        <v>2422.3000000000002</v>
      </c>
      <c r="D33" s="133">
        <v>738.78599999999994</v>
      </c>
      <c r="E33" s="133">
        <v>1301.5809999999999</v>
      </c>
      <c r="F33" s="133">
        <v>8.3989999999999991</v>
      </c>
      <c r="G33" s="133">
        <v>10.260999999999999</v>
      </c>
      <c r="H33" s="133">
        <v>173.029</v>
      </c>
      <c r="I33" s="133">
        <v>60.009</v>
      </c>
      <c r="J33" s="275">
        <v>123.468</v>
      </c>
      <c r="K33" s="1153">
        <f>C33-I33-J33</f>
        <v>2238.8230000000003</v>
      </c>
      <c r="L33" s="1732">
        <f t="shared" si="7"/>
        <v>2107.143</v>
      </c>
      <c r="M33" s="1144">
        <f>IF(C33&gt;0,K33*1000000/Q33,"")</f>
        <v>806.23511372090911</v>
      </c>
      <c r="N33" s="1144">
        <v>791.45100000000002</v>
      </c>
      <c r="O33" s="2386">
        <f>IF(ISERROR((M33-N33)/N33),"",((M33-N33)/N33))</f>
        <v>1.8679758722787754E-2</v>
      </c>
      <c r="P33" s="2196"/>
      <c r="Q33" s="2405">
        <v>2776886</v>
      </c>
      <c r="R33" s="2419" t="s">
        <v>1015</v>
      </c>
      <c r="S33" s="2196"/>
      <c r="T33" s="2196"/>
      <c r="U33" s="2196"/>
      <c r="V33" s="2196"/>
      <c r="W33" s="269"/>
    </row>
    <row r="34" spans="1:23" ht="12.75">
      <c r="A34" s="1139">
        <v>5133</v>
      </c>
      <c r="B34" s="1140" t="s">
        <v>610</v>
      </c>
      <c r="C34" s="275">
        <v>18233.187000000002</v>
      </c>
      <c r="D34" s="133">
        <v>8034.4830000000002</v>
      </c>
      <c r="E34" s="133">
        <v>4213.7659999999996</v>
      </c>
      <c r="F34" s="133">
        <v>12.680999999999999</v>
      </c>
      <c r="G34" s="133">
        <v>12.36</v>
      </c>
      <c r="H34" s="133">
        <v>5602.2539999999999</v>
      </c>
      <c r="I34" s="133">
        <v>24.661000000000001</v>
      </c>
      <c r="J34" s="133">
        <v>331.27600000000001</v>
      </c>
      <c r="K34" s="1153">
        <f>C34-I34-J34</f>
        <v>17877.25</v>
      </c>
      <c r="L34" s="1732">
        <f t="shared" si="7"/>
        <v>12274.616000000002</v>
      </c>
      <c r="M34" s="1144">
        <f>IF(C34&gt;0,K34*1000000/Q34,"")</f>
        <v>1699.107052226876</v>
      </c>
      <c r="N34" s="1144">
        <v>1709.721</v>
      </c>
      <c r="O34" s="2386">
        <f>IF(ISERROR((M34-N34)/N34),"",((M34-N34)/N34))</f>
        <v>-6.2079998860188196E-3</v>
      </c>
      <c r="P34" s="2196"/>
      <c r="Q34" s="2405">
        <v>10521556</v>
      </c>
      <c r="R34" s="2419" t="s">
        <v>512</v>
      </c>
      <c r="S34" s="2196"/>
      <c r="T34" s="2196"/>
      <c r="U34" s="2196"/>
      <c r="V34" s="2196"/>
      <c r="W34" s="269"/>
    </row>
    <row r="35" spans="1:23" ht="12.75">
      <c r="A35" s="1139">
        <v>5135</v>
      </c>
      <c r="B35" s="1128" t="s">
        <v>157</v>
      </c>
      <c r="C35" s="275">
        <v>11307.870999999999</v>
      </c>
      <c r="D35" s="133">
        <v>5448.7650000000003</v>
      </c>
      <c r="E35" s="133">
        <v>1940.7860000000001</v>
      </c>
      <c r="F35" s="133">
        <v>29.193000000000001</v>
      </c>
      <c r="G35" s="133">
        <v>2.8809999999999998</v>
      </c>
      <c r="H35" s="133">
        <v>752.30200000000002</v>
      </c>
      <c r="I35" s="133">
        <v>32.578000000000003</v>
      </c>
      <c r="J35" s="133">
        <v>1109.9100000000001</v>
      </c>
      <c r="K35" s="1153">
        <f>C35-I35-J35</f>
        <v>10165.383</v>
      </c>
      <c r="L35" s="1732">
        <f t="shared" si="7"/>
        <v>9413.5849999999991</v>
      </c>
      <c r="M35" s="1144">
        <f>IF(C35&gt;0,K35*1000000/Q35,"")</f>
        <v>1816.0469978470874</v>
      </c>
      <c r="N35" s="1144">
        <v>1683.0239999999999</v>
      </c>
      <c r="O35" s="2386">
        <f>IF(ISERROR((M35-N35)/N35),"",((M35-N35)/N35))</f>
        <v>7.9038087304214022E-2</v>
      </c>
      <c r="P35" s="2196"/>
      <c r="Q35" s="2405">
        <v>5597533</v>
      </c>
      <c r="R35" s="2419" t="s">
        <v>1016</v>
      </c>
      <c r="S35" s="2196"/>
      <c r="T35" s="2196"/>
      <c r="U35" s="2196"/>
      <c r="V35" s="2196"/>
      <c r="W35" s="269"/>
    </row>
    <row r="36" spans="1:23" ht="12.75">
      <c r="A36" s="1139">
        <v>5139</v>
      </c>
      <c r="B36" s="1128" t="s">
        <v>158</v>
      </c>
      <c r="C36" s="275">
        <v>5986.3289999999997</v>
      </c>
      <c r="D36" s="133">
        <v>3676.9690000000001</v>
      </c>
      <c r="E36" s="133">
        <v>667.99599999999998</v>
      </c>
      <c r="F36" s="133">
        <v>19.675000000000001</v>
      </c>
      <c r="G36" s="133">
        <v>5.375</v>
      </c>
      <c r="H36" s="133">
        <v>268.04000000000002</v>
      </c>
      <c r="I36" s="133">
        <v>86.668000000000006</v>
      </c>
      <c r="J36" s="133">
        <v>559.31299999999999</v>
      </c>
      <c r="K36" s="1153">
        <f>C36-I36-J36</f>
        <v>5340.348</v>
      </c>
      <c r="L36" s="1732">
        <f t="shared" si="7"/>
        <v>5133.9259999999995</v>
      </c>
      <c r="M36" s="1147"/>
      <c r="N36" s="1146"/>
      <c r="O36" s="2387"/>
      <c r="P36" s="2196"/>
      <c r="Q36" s="2402"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6" s="2623"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6" s="2196"/>
      <c r="T36" s="2196"/>
      <c r="U36" s="2196"/>
      <c r="V36" s="2196"/>
      <c r="W36" s="269"/>
    </row>
    <row r="37" spans="1:23" ht="17.25" customHeight="1">
      <c r="A37" s="1130">
        <v>51399</v>
      </c>
      <c r="B37" s="1131" t="s">
        <v>611</v>
      </c>
      <c r="C37" s="2151">
        <f>SUM(C32:C36)</f>
        <v>75894.985000000001</v>
      </c>
      <c r="D37" s="2151">
        <f t="shared" ref="D37:J37" si="8">SUM(D32:D36)</f>
        <v>40504.364000000001</v>
      </c>
      <c r="E37" s="2151">
        <f t="shared" si="8"/>
        <v>14748.707999999999</v>
      </c>
      <c r="F37" s="2151">
        <f t="shared" si="8"/>
        <v>137.92099999999999</v>
      </c>
      <c r="G37" s="2151">
        <f t="shared" si="8"/>
        <v>1444.3579999999999</v>
      </c>
      <c r="H37" s="2151">
        <f t="shared" si="8"/>
        <v>8164.7929999999997</v>
      </c>
      <c r="I37" s="2151">
        <f t="shared" si="8"/>
        <v>262.56100000000004</v>
      </c>
      <c r="J37" s="2151">
        <f t="shared" si="8"/>
        <v>4605.32</v>
      </c>
      <c r="K37" s="1147"/>
      <c r="L37" s="1148"/>
      <c r="M37" s="1148"/>
      <c r="N37" s="1148"/>
      <c r="O37" s="2388"/>
      <c r="P37" s="2196"/>
      <c r="Q37" s="2406"/>
      <c r="R37" s="2624"/>
      <c r="S37" s="2196"/>
      <c r="T37" s="2196"/>
      <c r="U37" s="2196"/>
      <c r="V37" s="2196"/>
      <c r="W37" s="269"/>
    </row>
    <row r="38" spans="1:23" ht="13.5" thickBot="1">
      <c r="A38" s="1132"/>
      <c r="B38" s="1658"/>
      <c r="C38" s="317"/>
      <c r="D38" s="317"/>
      <c r="E38" s="317"/>
      <c r="F38" s="317"/>
      <c r="G38" s="317"/>
      <c r="H38" s="317"/>
      <c r="I38" s="320"/>
      <c r="J38" s="317"/>
      <c r="K38" s="1149"/>
      <c r="L38" s="1725"/>
      <c r="M38" s="1150"/>
      <c r="N38" s="1150"/>
      <c r="O38" s="2389"/>
      <c r="P38" s="2196"/>
      <c r="Q38" s="2407"/>
      <c r="R38" s="2625"/>
      <c r="S38" s="2196"/>
      <c r="T38" s="2196"/>
      <c r="U38" s="2196"/>
      <c r="V38" s="2196"/>
      <c r="W38" s="269"/>
    </row>
    <row r="39" spans="1:23" ht="12.75">
      <c r="A39" s="271"/>
      <c r="B39" s="299" t="s">
        <v>613</v>
      </c>
      <c r="C39" s="299"/>
      <c r="D39" s="299"/>
      <c r="E39" s="299"/>
      <c r="F39" s="299"/>
      <c r="G39" s="299"/>
      <c r="H39" s="299"/>
      <c r="I39" s="299"/>
      <c r="J39" s="1776"/>
      <c r="K39" s="1776"/>
      <c r="L39" s="1776"/>
      <c r="M39" s="1776"/>
      <c r="N39" s="1776"/>
      <c r="O39" s="332"/>
      <c r="P39" s="2380"/>
      <c r="Q39" s="1771"/>
      <c r="R39" s="270"/>
      <c r="S39" s="269"/>
      <c r="T39" s="269"/>
      <c r="U39" s="269"/>
      <c r="V39" s="269"/>
    </row>
    <row r="40" spans="1:23" ht="12.75">
      <c r="B40" s="299" t="s">
        <v>612</v>
      </c>
      <c r="C40" s="300"/>
      <c r="D40" s="300"/>
      <c r="E40" s="300"/>
      <c r="F40" s="300"/>
      <c r="G40" s="301"/>
      <c r="H40" s="301"/>
      <c r="I40" s="301"/>
      <c r="J40" s="301"/>
      <c r="K40" s="271"/>
      <c r="L40" s="271"/>
      <c r="M40" s="271"/>
      <c r="N40" s="271"/>
    </row>
    <row r="41" spans="1:23" ht="12.75">
      <c r="B41" s="1156" t="s">
        <v>162</v>
      </c>
      <c r="C41" s="1157"/>
      <c r="D41" s="1157"/>
      <c r="E41" s="1158"/>
      <c r="F41" s="1159"/>
      <c r="G41" s="134">
        <f>'Verks int o kostn'!D21</f>
        <v>5056.0110000000004</v>
      </c>
      <c r="H41" s="1938"/>
      <c r="I41" s="271"/>
      <c r="J41" s="271"/>
      <c r="K41" s="271"/>
      <c r="L41" s="271"/>
      <c r="M41" s="271"/>
      <c r="N41" s="271"/>
    </row>
    <row r="42" spans="1:23" ht="12.75">
      <c r="B42" s="1156" t="s">
        <v>163</v>
      </c>
      <c r="C42" s="1157"/>
      <c r="D42" s="1157"/>
      <c r="E42" s="1158"/>
      <c r="F42" s="1159"/>
      <c r="G42" s="134">
        <f>'Verks int o kostn'!I41</f>
        <v>4415.1589999999997</v>
      </c>
      <c r="H42" s="1938"/>
      <c r="I42" s="271"/>
      <c r="J42" s="271"/>
      <c r="K42" s="271"/>
      <c r="L42" s="271"/>
      <c r="M42" s="271"/>
      <c r="N42" s="271"/>
    </row>
    <row r="43" spans="1:23" ht="12.75">
      <c r="A43" s="431">
        <v>51398</v>
      </c>
      <c r="B43" s="1160" t="s">
        <v>189</v>
      </c>
      <c r="C43" s="1157"/>
      <c r="D43" s="1157"/>
      <c r="E43" s="1158"/>
      <c r="F43" s="1159"/>
      <c r="G43" s="133">
        <v>2.5779999999999998</v>
      </c>
      <c r="H43" s="316"/>
      <c r="I43" s="271"/>
      <c r="J43" s="271"/>
      <c r="K43" s="271"/>
      <c r="L43" s="271"/>
      <c r="M43" s="271"/>
      <c r="N43" s="271"/>
    </row>
    <row r="44" spans="1:23" ht="13.5" thickBot="1">
      <c r="E44" s="425" t="s">
        <v>711</v>
      </c>
      <c r="F44" s="425" t="s">
        <v>712</v>
      </c>
      <c r="G44" s="425" t="s">
        <v>713</v>
      </c>
      <c r="H44" s="425" t="s">
        <v>714</v>
      </c>
      <c r="I44" s="425" t="s">
        <v>715</v>
      </c>
      <c r="J44" s="425" t="s">
        <v>716</v>
      </c>
      <c r="K44" s="425" t="s">
        <v>717</v>
      </c>
      <c r="L44" s="425" t="s">
        <v>718</v>
      </c>
      <c r="M44" s="425" t="s">
        <v>719</v>
      </c>
    </row>
    <row r="45" spans="1:23" ht="14.25" customHeight="1">
      <c r="A45" s="2592" t="s">
        <v>793</v>
      </c>
      <c r="B45" s="2593"/>
      <c r="C45" s="1281" t="s">
        <v>775</v>
      </c>
      <c r="D45" s="1161" t="s">
        <v>127</v>
      </c>
      <c r="E45" s="1103" t="s">
        <v>195</v>
      </c>
      <c r="F45" s="1103" t="s">
        <v>487</v>
      </c>
      <c r="G45" s="1103" t="s">
        <v>196</v>
      </c>
      <c r="H45" s="1103" t="s">
        <v>124</v>
      </c>
      <c r="I45" s="1161" t="s">
        <v>1038</v>
      </c>
      <c r="J45" s="1103" t="s">
        <v>126</v>
      </c>
      <c r="K45" s="2596" t="s">
        <v>804</v>
      </c>
      <c r="L45" s="1103" t="s">
        <v>125</v>
      </c>
      <c r="M45" s="1103" t="s">
        <v>150</v>
      </c>
      <c r="N45" s="1105"/>
      <c r="O45" s="1104"/>
      <c r="P45" s="1162"/>
      <c r="R45" s="2196"/>
      <c r="S45" s="2196"/>
      <c r="T45" s="2196"/>
      <c r="U45" s="2196"/>
      <c r="V45" s="2196"/>
    </row>
    <row r="46" spans="1:23" ht="12.75">
      <c r="A46" s="2594"/>
      <c r="B46" s="2595"/>
      <c r="C46" s="1337" t="s">
        <v>787</v>
      </c>
      <c r="D46" s="1107"/>
      <c r="E46" s="1163" t="s">
        <v>128</v>
      </c>
      <c r="F46" s="1163" t="s">
        <v>194</v>
      </c>
      <c r="G46" s="1163" t="s">
        <v>129</v>
      </c>
      <c r="H46" s="1163"/>
      <c r="I46" s="1710"/>
      <c r="J46" s="1163" t="s">
        <v>131</v>
      </c>
      <c r="K46" s="2597"/>
      <c r="L46" s="1163" t="s">
        <v>130</v>
      </c>
      <c r="M46" s="1163"/>
      <c r="N46" s="1114"/>
      <c r="O46" s="1119"/>
      <c r="P46" s="1164"/>
      <c r="R46" s="2196"/>
      <c r="S46" s="2196"/>
      <c r="T46" s="2196"/>
      <c r="U46" s="2196"/>
      <c r="V46" s="2196"/>
    </row>
    <row r="47" spans="1:23" ht="30" customHeight="1">
      <c r="A47" s="2594"/>
      <c r="B47" s="2595"/>
      <c r="C47" s="1549"/>
      <c r="D47" s="1282"/>
      <c r="E47" s="1550" t="s">
        <v>764</v>
      </c>
      <c r="F47" s="1535" t="s">
        <v>765</v>
      </c>
      <c r="G47" s="1535" t="s">
        <v>766</v>
      </c>
      <c r="H47" s="1535" t="s">
        <v>767</v>
      </c>
      <c r="I47" s="1535" t="s">
        <v>768</v>
      </c>
      <c r="J47" s="1535" t="s">
        <v>769</v>
      </c>
      <c r="K47" s="1535" t="s">
        <v>770</v>
      </c>
      <c r="L47" s="1535" t="s">
        <v>771</v>
      </c>
      <c r="M47" s="1535" t="s">
        <v>772</v>
      </c>
      <c r="N47" s="1114"/>
      <c r="O47" s="1119"/>
      <c r="P47" s="1164"/>
      <c r="R47" s="2196"/>
      <c r="S47" s="2196"/>
      <c r="T47" s="2196"/>
      <c r="U47" s="2196"/>
      <c r="V47" s="2196"/>
    </row>
    <row r="48" spans="1:23" ht="6.75" customHeight="1">
      <c r="A48" s="1481"/>
      <c r="B48" s="1482"/>
      <c r="C48" s="1551"/>
      <c r="D48" s="1552"/>
      <c r="E48" s="1553"/>
      <c r="F48" s="1553"/>
      <c r="G48" s="1553"/>
      <c r="H48" s="1553"/>
      <c r="I48" s="1554"/>
      <c r="J48" s="1553"/>
      <c r="K48" s="1554"/>
      <c r="L48" s="1553"/>
      <c r="M48" s="1163"/>
      <c r="N48" s="1114"/>
      <c r="O48" s="1119"/>
      <c r="P48" s="1164"/>
      <c r="R48" s="2196"/>
      <c r="S48" s="2196"/>
      <c r="T48" s="2196"/>
      <c r="U48" s="2196"/>
      <c r="V48" s="2196"/>
    </row>
    <row r="49" spans="1:22" ht="12" customHeight="1">
      <c r="A49" s="1165">
        <v>510</v>
      </c>
      <c r="B49" s="1166" t="s">
        <v>508</v>
      </c>
      <c r="C49" s="426">
        <f>E12</f>
        <v>23533.920999999998</v>
      </c>
      <c r="D49" s="293"/>
      <c r="E49" s="426">
        <f>Motpart!D27</f>
        <v>2207.84</v>
      </c>
      <c r="F49" s="426">
        <f>Motpart!E27</f>
        <v>606.20699999999999</v>
      </c>
      <c r="G49" s="426">
        <f>Motpart!F27</f>
        <v>19299.021000000001</v>
      </c>
      <c r="H49" s="426">
        <f>Motpart!G27</f>
        <v>293.83300000000003</v>
      </c>
      <c r="I49" s="426">
        <f>Motpart!H27</f>
        <v>206.066</v>
      </c>
      <c r="J49" s="426">
        <f>Motpart!I27</f>
        <v>40.156999999999996</v>
      </c>
      <c r="K49" s="1871"/>
      <c r="L49" s="426">
        <f>Motpart!K27</f>
        <v>878.47799999999995</v>
      </c>
      <c r="M49" s="430">
        <f>Motpart!L27</f>
        <v>2.319</v>
      </c>
      <c r="N49" s="1939"/>
      <c r="O49" s="324"/>
      <c r="P49" s="328"/>
      <c r="R49" s="2196"/>
      <c r="S49" s="2196"/>
      <c r="T49" s="2196"/>
      <c r="U49" s="2196"/>
      <c r="V49" s="2196"/>
    </row>
    <row r="50" spans="1:22" ht="12.75">
      <c r="A50" s="1139">
        <v>5101</v>
      </c>
      <c r="B50" s="1167" t="s">
        <v>440</v>
      </c>
      <c r="C50" s="427">
        <f>E13</f>
        <v>7585.2479999999996</v>
      </c>
      <c r="D50" s="136"/>
      <c r="E50" s="133">
        <v>275.79000000000002</v>
      </c>
      <c r="F50" s="133">
        <v>280.21300000000002</v>
      </c>
      <c r="G50" s="133">
        <v>6666.866</v>
      </c>
      <c r="H50" s="133">
        <v>62.981999999999999</v>
      </c>
      <c r="I50" s="133">
        <v>40.619</v>
      </c>
      <c r="J50" s="133">
        <v>15.082000000000001</v>
      </c>
      <c r="K50" s="1872"/>
      <c r="L50" s="133">
        <v>243.69300000000001</v>
      </c>
      <c r="M50" s="323">
        <v>1E-3</v>
      </c>
      <c r="N50" s="1940"/>
      <c r="O50" s="325"/>
      <c r="P50" s="329"/>
      <c r="R50" s="2196"/>
      <c r="S50" s="2196"/>
      <c r="T50" s="2196"/>
      <c r="U50" s="2196"/>
      <c r="V50" s="2196"/>
    </row>
    <row r="51" spans="1:22" ht="12.75">
      <c r="A51" s="1139">
        <v>5103</v>
      </c>
      <c r="B51" s="1168" t="s">
        <v>439</v>
      </c>
      <c r="C51" s="427">
        <f>E14</f>
        <v>672.1</v>
      </c>
      <c r="D51" s="135"/>
      <c r="E51" s="133">
        <v>28.053999999999998</v>
      </c>
      <c r="F51" s="133">
        <v>34.212000000000003</v>
      </c>
      <c r="G51" s="133">
        <v>445.19600000000003</v>
      </c>
      <c r="H51" s="133">
        <v>38.329000000000001</v>
      </c>
      <c r="I51" s="133">
        <v>103.44199999999999</v>
      </c>
      <c r="J51" s="133">
        <v>2.8490000000000002</v>
      </c>
      <c r="K51" s="1872"/>
      <c r="L51" s="133">
        <v>18.969000000000001</v>
      </c>
      <c r="M51" s="310">
        <v>1.0429999999999999</v>
      </c>
      <c r="N51" s="1941"/>
      <c r="O51" s="326"/>
      <c r="P51" s="329"/>
      <c r="R51" s="2196"/>
      <c r="S51" s="2196"/>
      <c r="T51" s="2196"/>
      <c r="U51" s="2196"/>
      <c r="V51" s="2196"/>
    </row>
    <row r="52" spans="1:22" ht="12.75">
      <c r="A52" s="1169">
        <v>5105</v>
      </c>
      <c r="B52" s="1123" t="s">
        <v>474</v>
      </c>
      <c r="C52" s="428">
        <f>E16</f>
        <v>15045.138999999999</v>
      </c>
      <c r="D52" s="137"/>
      <c r="E52" s="309">
        <v>1885.8720000000001</v>
      </c>
      <c r="F52" s="309">
        <v>275.78300000000002</v>
      </c>
      <c r="G52" s="309">
        <v>12027.864</v>
      </c>
      <c r="H52" s="309">
        <v>183.11099999999999</v>
      </c>
      <c r="I52" s="309">
        <v>54.704999999999998</v>
      </c>
      <c r="J52" s="309">
        <v>21.7</v>
      </c>
      <c r="K52" s="1873"/>
      <c r="L52" s="309">
        <v>594.78700000000003</v>
      </c>
      <c r="M52" s="311">
        <v>1.2749999999999999</v>
      </c>
      <c r="N52" s="1942"/>
      <c r="O52" s="505"/>
      <c r="P52" s="506"/>
      <c r="R52" s="2196"/>
      <c r="S52" s="2196"/>
      <c r="T52" s="2196"/>
      <c r="U52" s="2196"/>
      <c r="V52" s="2196"/>
    </row>
    <row r="53" spans="1:22" ht="12.75">
      <c r="A53" s="1170">
        <v>520</v>
      </c>
      <c r="B53" s="1120" t="s">
        <v>448</v>
      </c>
      <c r="C53" s="426">
        <f>E21</f>
        <v>3694.2539999999999</v>
      </c>
      <c r="D53" s="136"/>
      <c r="E53" s="426">
        <f>Motpart!D28</f>
        <v>252.79599999999999</v>
      </c>
      <c r="F53" s="426">
        <f>Motpart!E28</f>
        <v>20.324000000000002</v>
      </c>
      <c r="G53" s="426">
        <f>Motpart!F28</f>
        <v>3214.4690000000001</v>
      </c>
      <c r="H53" s="426">
        <f>Motpart!G28</f>
        <v>61.235999999999997</v>
      </c>
      <c r="I53" s="426">
        <f>Motpart!H28</f>
        <v>30.387</v>
      </c>
      <c r="J53" s="426">
        <f>Motpart!I28</f>
        <v>7.0190000000000001</v>
      </c>
      <c r="K53" s="1871"/>
      <c r="L53" s="426">
        <f>Motpart!K28</f>
        <v>107.643</v>
      </c>
      <c r="M53" s="426">
        <f>Motpart!L28</f>
        <v>0.38</v>
      </c>
      <c r="N53" s="1943"/>
      <c r="O53" s="324"/>
      <c r="P53" s="328"/>
      <c r="R53" s="2196"/>
      <c r="S53" s="2196"/>
      <c r="T53" s="2196"/>
      <c r="U53" s="2196"/>
      <c r="V53" s="2196"/>
    </row>
    <row r="54" spans="1:22" ht="12.75">
      <c r="A54" s="1139">
        <v>5201</v>
      </c>
      <c r="B54" s="1167" t="s">
        <v>442</v>
      </c>
      <c r="C54" s="427">
        <f>E22</f>
        <v>732.75900000000001</v>
      </c>
      <c r="D54" s="135"/>
      <c r="E54" s="133">
        <v>13.920999999999999</v>
      </c>
      <c r="F54" s="133">
        <v>9.5739999999999998</v>
      </c>
      <c r="G54" s="133">
        <v>697.74199999999996</v>
      </c>
      <c r="H54" s="133">
        <v>5.7290000000000001</v>
      </c>
      <c r="I54" s="133">
        <v>1.214</v>
      </c>
      <c r="J54" s="133">
        <v>1.1850000000000001</v>
      </c>
      <c r="K54" s="1872"/>
      <c r="L54" s="133">
        <v>3.3820000000000001</v>
      </c>
      <c r="M54" s="310">
        <v>0</v>
      </c>
      <c r="N54" s="1944"/>
      <c r="O54" s="326"/>
      <c r="P54" s="329"/>
      <c r="R54" s="2196"/>
      <c r="S54" s="2196"/>
      <c r="T54" s="2196"/>
      <c r="U54" s="2196"/>
      <c r="V54" s="2196"/>
    </row>
    <row r="55" spans="1:22" ht="12.75">
      <c r="A55" s="1139">
        <v>5203</v>
      </c>
      <c r="B55" s="1167" t="s">
        <v>439</v>
      </c>
      <c r="C55" s="427">
        <f>E24</f>
        <v>319.45699999999999</v>
      </c>
      <c r="D55" s="135"/>
      <c r="E55" s="133">
        <v>33.886000000000003</v>
      </c>
      <c r="F55" s="133">
        <v>0.434</v>
      </c>
      <c r="G55" s="133">
        <v>271.846</v>
      </c>
      <c r="H55" s="133">
        <v>1.2569999999999999</v>
      </c>
      <c r="I55" s="133">
        <v>5.6630000000000003</v>
      </c>
      <c r="J55" s="133">
        <v>0.38700000000000001</v>
      </c>
      <c r="K55" s="1872"/>
      <c r="L55" s="133">
        <v>5.9749999999999996</v>
      </c>
      <c r="M55" s="310">
        <v>0</v>
      </c>
      <c r="N55" s="1941"/>
      <c r="O55" s="326"/>
      <c r="P55" s="329"/>
      <c r="R55" s="2196"/>
      <c r="S55" s="2196"/>
      <c r="T55" s="2196"/>
      <c r="U55" s="2196"/>
      <c r="V55" s="2196"/>
    </row>
    <row r="56" spans="1:22" ht="12.75">
      <c r="A56" s="1171">
        <v>5205</v>
      </c>
      <c r="B56" s="1117" t="s">
        <v>474</v>
      </c>
      <c r="C56" s="428">
        <f>E26</f>
        <v>2128.0030000000002</v>
      </c>
      <c r="D56" s="292"/>
      <c r="E56" s="133">
        <v>153.727</v>
      </c>
      <c r="F56" s="133">
        <v>3.641</v>
      </c>
      <c r="G56" s="133">
        <v>1855.3510000000001</v>
      </c>
      <c r="H56" s="133">
        <v>40.651000000000003</v>
      </c>
      <c r="I56" s="133">
        <v>14.119</v>
      </c>
      <c r="J56" s="133">
        <v>2.335</v>
      </c>
      <c r="K56" s="1872"/>
      <c r="L56" s="133">
        <v>57.793999999999997</v>
      </c>
      <c r="M56" s="311">
        <v>0.379</v>
      </c>
      <c r="N56" s="1942"/>
      <c r="O56" s="505"/>
      <c r="P56" s="506"/>
      <c r="R56" s="2196"/>
      <c r="S56" s="2196"/>
      <c r="T56" s="2196"/>
      <c r="U56" s="2196"/>
      <c r="V56" s="2196"/>
    </row>
    <row r="57" spans="1:22" ht="12.75">
      <c r="A57" s="1172">
        <v>513</v>
      </c>
      <c r="B57" s="1173" t="s">
        <v>447</v>
      </c>
      <c r="C57" s="426">
        <f>E31</f>
        <v>14748.707</v>
      </c>
      <c r="D57" s="293"/>
      <c r="E57" s="426">
        <f>Motpart!D29</f>
        <v>1546.115</v>
      </c>
      <c r="F57" s="426">
        <f>Motpart!E29</f>
        <v>293.76100000000002</v>
      </c>
      <c r="G57" s="426">
        <f>Motpart!F29</f>
        <v>12068.27</v>
      </c>
      <c r="H57" s="426">
        <f>Motpart!G29</f>
        <v>293.03300000000002</v>
      </c>
      <c r="I57" s="426">
        <f>Motpart!H29</f>
        <v>100.53100000000001</v>
      </c>
      <c r="J57" s="426">
        <f>Motpart!I29</f>
        <v>30.978000000000002</v>
      </c>
      <c r="K57" s="1871"/>
      <c r="L57" s="426">
        <f>Motpart!K29</f>
        <v>415.74099999999999</v>
      </c>
      <c r="M57" s="426">
        <f>Motpart!L29</f>
        <v>0.27900000000000003</v>
      </c>
      <c r="N57" s="1945"/>
      <c r="O57" s="507"/>
      <c r="P57" s="328"/>
      <c r="R57" s="2196"/>
      <c r="S57" s="2196"/>
      <c r="T57" s="2196"/>
      <c r="U57" s="2196"/>
      <c r="V57" s="2196"/>
    </row>
    <row r="58" spans="1:22" ht="13.5" thickBot="1">
      <c r="A58" s="1132">
        <v>5131</v>
      </c>
      <c r="B58" s="1174" t="s">
        <v>193</v>
      </c>
      <c r="C58" s="429">
        <f>E32</f>
        <v>6624.5789999999997</v>
      </c>
      <c r="D58" s="294"/>
      <c r="E58" s="312">
        <v>846.47199999999998</v>
      </c>
      <c r="F58" s="312">
        <v>143.94300000000001</v>
      </c>
      <c r="G58" s="312">
        <v>5364.8329999999996</v>
      </c>
      <c r="H58" s="312">
        <v>50.686999999999998</v>
      </c>
      <c r="I58" s="312">
        <v>20.11</v>
      </c>
      <c r="J58" s="312">
        <v>2.032</v>
      </c>
      <c r="K58" s="1874"/>
      <c r="L58" s="312">
        <v>196.505</v>
      </c>
      <c r="M58" s="313">
        <v>2E-3</v>
      </c>
      <c r="N58" s="1946"/>
      <c r="O58" s="327"/>
      <c r="P58" s="330"/>
      <c r="R58" s="2196"/>
      <c r="S58" s="2196"/>
      <c r="T58" s="2196"/>
      <c r="U58" s="2196"/>
      <c r="V58" s="2196"/>
    </row>
    <row r="59" spans="1:22" ht="12.75">
      <c r="D59" s="331"/>
      <c r="N59" s="314"/>
      <c r="O59" s="315"/>
      <c r="R59" s="2196"/>
      <c r="S59" s="2196"/>
      <c r="T59" s="2196"/>
      <c r="U59" s="2196"/>
      <c r="V59" s="2196"/>
    </row>
    <row r="60" spans="1:22" ht="12.75">
      <c r="R60" s="2196"/>
      <c r="S60" s="2196"/>
      <c r="T60" s="2196"/>
      <c r="U60" s="2196"/>
      <c r="V60" s="2196"/>
    </row>
  </sheetData>
  <sheetProtection algorithmName="SHA-512" hashValue="nTOX5j6Dref4e+5oAqD3PH7qjxygMVCg4hB/s6LKR/x44Iuf1EP5fnIHOq5HHwS32h5c2H7odfmA96D4/89LiA==" saltValue="q+ppBQpPLp/+R8AQJmXFGw==" spinCount="100000" sheet="1" objects="1" scenarios="1"/>
  <customSheetViews>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1"/>
      <headerFooter alignWithMargins="0">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3"/>
      <headerFooter>
        <oddHeader>&amp;L&amp;8Statistiska Centralbyrån
Offentlig ekonomi&amp;R&amp;P</oddHeader>
      </headerFooter>
    </customSheetView>
  </customSheetViews>
  <mergeCells count="15">
    <mergeCell ref="O4:O6"/>
    <mergeCell ref="Q6:R7"/>
    <mergeCell ref="R14:R19"/>
    <mergeCell ref="R23:R29"/>
    <mergeCell ref="R36:R38"/>
    <mergeCell ref="A45:B47"/>
    <mergeCell ref="K45:K46"/>
    <mergeCell ref="F6:F7"/>
    <mergeCell ref="G6:G7"/>
    <mergeCell ref="H6:H7"/>
    <mergeCell ref="H9:H11"/>
    <mergeCell ref="E6:E7"/>
    <mergeCell ref="I6:I7"/>
    <mergeCell ref="D6:D7"/>
    <mergeCell ref="D9:D10"/>
  </mergeCells>
  <phoneticPr fontId="88" type="noConversion"/>
  <conditionalFormatting sqref="E58:M58 G43 E50:M52 E54:M56 C24:J24 C13:F13 H13:J13 C22:F23 H22:J23 C26:J28 C25:F25 H25:J25 C14:J14 C16:J18 C15:F15 H15:J15">
    <cfRule type="cellIs" dxfId="23" priority="30" stopIfTrue="1" operator="lessThan">
      <formula>0</formula>
    </cfRule>
  </conditionalFormatting>
  <conditionalFormatting sqref="B20 B30 B38">
    <cfRule type="expression" dxfId="22" priority="93" stopIfTrue="1">
      <formula>OR(C20&gt;5,C20&lt;-5,E20&gt;5,E20&lt;-5,F20&gt;5,F20&lt;-5,G20&gt;5,G20&lt;-5,H20&gt;5,H20&lt;-5,I20&gt;5,I20&lt;-5,J20&gt;5,J20&lt;-5)</formula>
    </cfRule>
  </conditionalFormatting>
  <conditionalFormatting sqref="R14:R19">
    <cfRule type="expression" dxfId="21" priority="13">
      <formula>IF(C12=0,"",IF(C17&gt;1,"",IF(K17=0,N17&lt;&gt;0)))</formula>
    </cfRule>
    <cfRule type="expression" dxfId="20" priority="14">
      <formula>IF(C12=0,"",IF(C16&gt;1,"",IF(K16=0,N16&lt;&gt;0)))</formula>
    </cfRule>
    <cfRule type="expression" dxfId="19" priority="15">
      <formula>IF(C12=0,"",IF(C15&gt;1,"",IF(K15=0,N15&lt;&gt;0)))</formula>
    </cfRule>
    <cfRule type="expression" dxfId="18" priority="16">
      <formula>IF(C12=0,"",IF(C14&gt;1,"",IF(K14=0,N14&lt;&gt;0)))</formula>
    </cfRule>
    <cfRule type="expression" dxfId="17" priority="22">
      <formula>IF(C12=0,"",IF(C13&gt;1,"",IF(K13=0,N13&lt;&gt;0)))</formula>
    </cfRule>
  </conditionalFormatting>
  <conditionalFormatting sqref="R36:R38">
    <cfRule type="expression" dxfId="16" priority="9">
      <formula>IF(C31=0,"",IF(C35&gt;1,"",IF(K35=0,N35&lt;&gt;0)))</formula>
    </cfRule>
    <cfRule type="expression" dxfId="15" priority="10">
      <formula>IF(C31=0,"",IF(C34&gt;1,"",IF(K34=0,N34&lt;&gt;0)))</formula>
    </cfRule>
    <cfRule type="expression" dxfId="14" priority="11">
      <formula>IF(C31=0,"",IF(C33&gt;1,"",IF(K33=0,N33&lt;&gt;0)))</formula>
    </cfRule>
    <cfRule type="expression" dxfId="13" priority="12">
      <formula>IF(C31=0,"",IF(C32&gt;1,"",IF(K32=0,N32&lt;&gt;0)))</formula>
    </cfRule>
  </conditionalFormatting>
  <conditionalFormatting sqref="R23:R28">
    <cfRule type="expression" dxfId="12" priority="17">
      <formula>IF(C21=0,"",IF(C27&gt;1,"",IF(K27=0,N27&lt;&gt;0)))</formula>
    </cfRule>
    <cfRule type="expression" dxfId="11" priority="18">
      <formula>IF(C21=0,"",IF(C26&gt;1,"",IF(K26=0,N26&lt;&gt;0)))</formula>
    </cfRule>
    <cfRule type="expression" dxfId="10" priority="19">
      <formula>IF(C21=0,"",IF(C25&gt;1,"",IF(K25=0,N25&lt;&gt;0)))</formula>
    </cfRule>
    <cfRule type="expression" dxfId="9" priority="20">
      <formula>IF(C21=0,"",IF(C23&gt;1,"",IF(K23=0,N23&lt;&gt;0)))</formula>
    </cfRule>
    <cfRule type="expression" dxfId="8" priority="21">
      <formula>IF(C21=0,"",IF(C22&gt;1,"",IF(K22=0,N22&lt;&gt;0)))</formula>
    </cfRule>
  </conditionalFormatting>
  <conditionalFormatting sqref="R23:R29">
    <cfRule type="expression" dxfId="7" priority="8">
      <formula>IF(C21=0,"",IF(C24&gt;1,"",IF(K24=0,N24&lt;&gt;0)))</formula>
    </cfRule>
  </conditionalFormatting>
  <conditionalFormatting sqref="C32:J36">
    <cfRule type="cellIs" dxfId="6" priority="6" stopIfTrue="1" operator="lessThan">
      <formula>0</formula>
    </cfRule>
  </conditionalFormatting>
  <conditionalFormatting sqref="G13">
    <cfRule type="cellIs" dxfId="5" priority="5" stopIfTrue="1" operator="lessThan">
      <formula>0</formula>
    </cfRule>
  </conditionalFormatting>
  <conditionalFormatting sqref="G22:G23">
    <cfRule type="cellIs" dxfId="4" priority="3" stopIfTrue="1" operator="lessThan">
      <formula>0</formula>
    </cfRule>
  </conditionalFormatting>
  <conditionalFormatting sqref="G25">
    <cfRule type="cellIs" dxfId="3" priority="2" stopIfTrue="1" operator="lessThan">
      <formula>0</formula>
    </cfRule>
  </conditionalFormatting>
  <conditionalFormatting sqref="G15">
    <cfRule type="cellIs" dxfId="2" priority="1" stopIfTrue="1" operator="lessThan">
      <formula>0</formula>
    </cfRule>
  </conditionalFormatting>
  <dataValidations count="2">
    <dataValidation type="decimal" operator="lessThan" allowBlank="1" showInputMessage="1" showErrorMessage="1" error="Beloppen ska vara i 1000 tal kronor" sqref="E58:M58 J29:J31 C30:H31 I21 G43 E50:M56 D29:H29 C32:J37 I29:I30 C22:C29 D22:J28 C13:J20" xr:uid="{00000000-0002-0000-0900-000000000000}">
      <formula1>99999999</formula1>
    </dataValidation>
    <dataValidation type="decimal" operator="lessThan" allowBlank="1" showInputMessage="1" showErrorMessage="1" error="Beloppet ska vara i 1000 tal kr" sqref="I31"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sqref="A1:F1"/>
      <selection pane="topRight" sqref="A1:F1"/>
      <selection pane="bottomLeft" sqref="A1:F1"/>
      <selection pane="bottomRight" activeCell="B8" sqref="B8"/>
    </sheetView>
  </sheetViews>
  <sheetFormatPr defaultColWidth="0" defaultRowHeight="12.75" zeroHeight="1"/>
  <cols>
    <col min="1" max="1" width="5.5703125" style="278" customWidth="1"/>
    <col min="2" max="2" width="34.28515625" style="1768" customWidth="1"/>
    <col min="3" max="3" width="9.42578125" style="1768" customWidth="1"/>
    <col min="4" max="4" width="8.5703125" style="1768" customWidth="1"/>
    <col min="5" max="5" width="10.42578125" style="1768" customWidth="1"/>
    <col min="6" max="6" width="10.5703125" style="1768" customWidth="1"/>
    <col min="7" max="7" width="9.42578125" style="1768" customWidth="1"/>
    <col min="8" max="8" width="11.5703125" style="1768" customWidth="1"/>
    <col min="9" max="9" width="8.5703125" style="1768" customWidth="1"/>
    <col min="10" max="10" width="14.42578125" style="1768" customWidth="1"/>
    <col min="11" max="11" width="9.5703125" style="281" customWidth="1"/>
    <col min="12" max="12" width="1" style="281" customWidth="1"/>
    <col min="13" max="14" width="10.42578125" style="281" customWidth="1"/>
    <col min="15" max="19" width="9.28515625" style="281" customWidth="1"/>
    <col min="20" max="16384" width="0" style="281" hidden="1"/>
  </cols>
  <sheetData>
    <row r="1" spans="1:19" s="1744" customFormat="1" ht="21.75">
      <c r="A1" s="76" t="str">
        <f>"Specificering individ- och familjeomsorg "&amp;År&amp;", miljoner kronor"</f>
        <v>Specificering individ- och familjeomsorg 2022, miljoner kronor</v>
      </c>
      <c r="B1" s="77"/>
      <c r="C1" s="77"/>
      <c r="D1" s="77"/>
      <c r="E1" s="279"/>
      <c r="F1" s="279"/>
      <c r="G1" s="279"/>
      <c r="H1" s="279"/>
      <c r="I1" s="519" t="s">
        <v>453</v>
      </c>
      <c r="J1" s="520" t="str">
        <f>Information!A2</f>
        <v>RIKSTOTAL</v>
      </c>
      <c r="K1" s="279"/>
      <c r="L1" s="279"/>
      <c r="M1" s="279"/>
      <c r="N1" s="279"/>
      <c r="O1" s="279"/>
      <c r="P1" s="279"/>
      <c r="Q1" s="279"/>
      <c r="R1" s="279"/>
      <c r="S1" s="279"/>
    </row>
    <row r="2" spans="1:19" s="280" customFormat="1" ht="12.75" customHeight="1">
      <c r="A2" s="2196"/>
      <c r="B2" s="2196"/>
      <c r="C2" s="2196"/>
      <c r="D2" s="2196"/>
      <c r="E2" s="2196"/>
      <c r="F2" s="2196"/>
      <c r="G2" s="2196"/>
      <c r="H2" s="2196"/>
      <c r="I2" s="2196"/>
      <c r="J2" s="2196"/>
      <c r="K2" s="2196"/>
      <c r="L2" s="2196"/>
      <c r="M2" s="2196"/>
      <c r="N2" s="2196"/>
      <c r="O2" s="2196"/>
      <c r="P2" s="2196"/>
      <c r="Q2" s="2196"/>
      <c r="R2" s="2196"/>
      <c r="S2" s="2196"/>
    </row>
    <row r="3" spans="1:19" s="1744" customFormat="1" ht="12.75" customHeight="1" thickBot="1">
      <c r="A3" s="2196"/>
      <c r="B3" s="2196"/>
      <c r="C3" s="2196"/>
      <c r="D3" s="2196"/>
      <c r="E3" s="2196"/>
      <c r="F3" s="2196"/>
      <c r="G3" s="2196"/>
      <c r="H3" s="2196"/>
      <c r="I3" s="2196"/>
      <c r="J3" s="2196"/>
      <c r="K3" s="2196"/>
      <c r="L3" s="2196"/>
      <c r="M3" s="2196"/>
      <c r="N3" s="2196"/>
      <c r="O3" s="2196"/>
      <c r="P3" s="2196"/>
      <c r="Q3" s="2196"/>
      <c r="R3" s="2196"/>
      <c r="S3" s="2196"/>
    </row>
    <row r="4" spans="1:19" s="282" customFormat="1" ht="18" customHeight="1">
      <c r="A4" s="650" t="s">
        <v>615</v>
      </c>
      <c r="B4" s="1745" t="s">
        <v>13</v>
      </c>
      <c r="C4" s="1742"/>
      <c r="D4" s="1899"/>
      <c r="E4" s="1899"/>
      <c r="F4" s="1741"/>
      <c r="G4" s="1742"/>
      <c r="H4" s="1746" t="s">
        <v>918</v>
      </c>
      <c r="I4" s="1576" t="s">
        <v>928</v>
      </c>
      <c r="J4" s="1577"/>
      <c r="K4" s="2633" t="str">
        <f>"Förändring kostnader för eget åtagande "&amp;År-1&amp;"-"&amp;År&amp;" procent"</f>
        <v>Förändring kostnader för eget åtagande 2021-2022 procent</v>
      </c>
      <c r="L4" s="2196"/>
      <c r="M4" s="2442"/>
      <c r="N4" s="2454"/>
      <c r="O4" s="2196"/>
      <c r="P4" s="2196"/>
      <c r="Q4" s="2196"/>
      <c r="R4" s="2196"/>
      <c r="S4" s="2196"/>
    </row>
    <row r="5" spans="1:19" s="282" customFormat="1" ht="15" customHeight="1">
      <c r="A5" s="652" t="s">
        <v>618</v>
      </c>
      <c r="B5" s="1538"/>
      <c r="C5" s="1338" t="s">
        <v>39</v>
      </c>
      <c r="D5" s="1338"/>
      <c r="E5" s="1338"/>
      <c r="F5" s="1743"/>
      <c r="G5" s="1743"/>
      <c r="H5" s="1587" t="s">
        <v>932</v>
      </c>
      <c r="I5" s="1578" t="s">
        <v>925</v>
      </c>
      <c r="J5" s="1579"/>
      <c r="K5" s="2634"/>
      <c r="L5" s="2196"/>
      <c r="M5" s="2443"/>
      <c r="N5" s="2455"/>
      <c r="O5" s="2196"/>
      <c r="P5" s="2196"/>
      <c r="Q5" s="2196"/>
      <c r="R5" s="2196"/>
      <c r="S5" s="2196"/>
    </row>
    <row r="6" spans="1:19" s="282" customFormat="1" ht="24" customHeight="1">
      <c r="A6" s="1176"/>
      <c r="B6" s="1748"/>
      <c r="C6" s="1338" t="s">
        <v>41</v>
      </c>
      <c r="D6" s="2628" t="s">
        <v>989</v>
      </c>
      <c r="E6" s="2628" t="s">
        <v>995</v>
      </c>
      <c r="F6" s="2630" t="s">
        <v>145</v>
      </c>
      <c r="G6" s="2626" t="s">
        <v>1057</v>
      </c>
      <c r="H6" s="1588" t="s">
        <v>931</v>
      </c>
      <c r="I6" s="1749"/>
      <c r="J6" s="1750"/>
      <c r="K6" s="2634"/>
      <c r="L6" s="2196"/>
      <c r="M6" s="2444" t="str">
        <f>"Nämnare nyckeltal"</f>
        <v>Nämnare nyckeltal</v>
      </c>
      <c r="N6" s="2456"/>
      <c r="O6" s="2196"/>
      <c r="P6" s="2196"/>
      <c r="Q6" s="2196"/>
      <c r="R6" s="2196"/>
      <c r="S6" s="2196"/>
    </row>
    <row r="7" spans="1:19" s="282" customFormat="1" ht="27.75" customHeight="1">
      <c r="A7" s="1037"/>
      <c r="B7" s="1751"/>
      <c r="C7" s="1338"/>
      <c r="D7" s="2629"/>
      <c r="E7" s="2629"/>
      <c r="F7" s="2631"/>
      <c r="G7" s="2626"/>
      <c r="H7" s="1574" t="s">
        <v>1058</v>
      </c>
      <c r="I7" s="1590" t="s">
        <v>930</v>
      </c>
      <c r="J7" s="1589" t="s">
        <v>930</v>
      </c>
      <c r="K7" s="2431"/>
      <c r="L7" s="2196"/>
      <c r="M7" s="2444"/>
      <c r="N7" s="2456"/>
      <c r="O7" s="2196"/>
      <c r="P7" s="2196"/>
      <c r="Q7" s="2196"/>
      <c r="R7" s="2196"/>
      <c r="S7" s="2196"/>
    </row>
    <row r="8" spans="1:19" s="282" customFormat="1" ht="12" customHeight="1">
      <c r="A8" s="1176"/>
      <c r="B8" s="1752"/>
      <c r="C8" s="1743"/>
      <c r="D8" s="2629"/>
      <c r="E8" s="2629"/>
      <c r="F8" s="2631"/>
      <c r="G8" s="2632"/>
      <c r="H8" s="1988" t="s">
        <v>1059</v>
      </c>
      <c r="I8" s="1118">
        <f>År</f>
        <v>2022</v>
      </c>
      <c r="J8" s="1118">
        <f>År-1</f>
        <v>2021</v>
      </c>
      <c r="K8" s="2432"/>
      <c r="L8" s="2196"/>
      <c r="M8" s="2445"/>
      <c r="N8" s="2457"/>
      <c r="O8" s="2196"/>
      <c r="P8" s="2196"/>
      <c r="Q8" s="2196"/>
      <c r="R8" s="2196"/>
      <c r="S8" s="2196"/>
    </row>
    <row r="9" spans="1:19" s="282" customFormat="1" ht="21" customHeight="1">
      <c r="A9" s="1176"/>
      <c r="B9" s="1752"/>
      <c r="C9" s="1743"/>
      <c r="D9" s="2626" t="s">
        <v>1074</v>
      </c>
      <c r="E9" s="1770" t="s">
        <v>785</v>
      </c>
      <c r="F9" s="1743"/>
      <c r="G9" s="2088" t="s">
        <v>1056</v>
      </c>
      <c r="H9" s="1575" t="s">
        <v>1054</v>
      </c>
      <c r="I9" s="1753"/>
      <c r="J9" s="1753"/>
      <c r="K9" s="2433"/>
      <c r="L9" s="2196"/>
      <c r="M9" s="2445"/>
      <c r="N9" s="2457"/>
      <c r="O9" s="2196"/>
      <c r="P9" s="2196"/>
      <c r="Q9" s="2196"/>
      <c r="R9" s="2196"/>
      <c r="S9" s="2196"/>
    </row>
    <row r="10" spans="1:19" s="282" customFormat="1" ht="14.25" customHeight="1">
      <c r="A10" s="1176"/>
      <c r="B10" s="1752"/>
      <c r="C10" s="1743"/>
      <c r="D10" s="2613"/>
      <c r="E10" s="1743"/>
      <c r="F10" s="1743"/>
      <c r="G10" s="1743"/>
      <c r="H10" s="1287" t="s">
        <v>1223</v>
      </c>
      <c r="I10" s="1580"/>
      <c r="J10" s="1580"/>
      <c r="K10" s="2433"/>
      <c r="L10" s="2196"/>
      <c r="M10" s="2445"/>
      <c r="N10" s="2457"/>
      <c r="O10" s="2196"/>
      <c r="P10" s="2196"/>
      <c r="Q10" s="2196"/>
      <c r="R10" s="2196"/>
      <c r="S10" s="2196"/>
    </row>
    <row r="11" spans="1:19" s="282" customFormat="1" ht="13.5" customHeight="1">
      <c r="A11" s="1177"/>
      <c r="B11" s="1754"/>
      <c r="C11" s="1185"/>
      <c r="D11" s="2627"/>
      <c r="E11" s="1185"/>
      <c r="F11" s="1185"/>
      <c r="G11" s="1560"/>
      <c r="H11" s="2008" t="s">
        <v>1051</v>
      </c>
      <c r="I11" s="1186"/>
      <c r="J11" s="1186"/>
      <c r="K11" s="2434"/>
      <c r="L11" s="2196"/>
      <c r="M11" s="2446"/>
      <c r="N11" s="2458"/>
      <c r="O11" s="2196"/>
      <c r="P11" s="2196"/>
      <c r="Q11" s="2196"/>
      <c r="R11" s="2196"/>
      <c r="S11" s="2196"/>
    </row>
    <row r="12" spans="1:19" s="282" customFormat="1">
      <c r="A12" s="1178">
        <v>559</v>
      </c>
      <c r="B12" s="1755" t="s">
        <v>484</v>
      </c>
      <c r="C12" s="1756">
        <f>Drift!P79</f>
        <v>9260.5270000000019</v>
      </c>
      <c r="D12" s="1990">
        <f>SUM(Drift!C79:D79)</f>
        <v>3691.6849999999999</v>
      </c>
      <c r="E12" s="1756">
        <f>Drift!F79</f>
        <v>3154.09</v>
      </c>
      <c r="F12" s="1756">
        <f>Drift!V79</f>
        <v>501.74599999999998</v>
      </c>
      <c r="G12" s="1757">
        <f>Motpart!Y31+Motpart!Z31</f>
        <v>43.453999999999994</v>
      </c>
      <c r="H12" s="1187">
        <f t="shared" ref="H12:H18" si="0">C12-F12-G12</f>
        <v>8715.327000000003</v>
      </c>
      <c r="I12" s="1188">
        <f>IF(C12&gt;0,H12*1000000/M12,"")</f>
        <v>1495.7687551037018</v>
      </c>
      <c r="J12" s="1188">
        <v>1491.6790000000001</v>
      </c>
      <c r="K12" s="2435">
        <f>IF(ISERROR((I12-J12)/J12),"",((I12-J12)/J12))</f>
        <v>2.7417125961427965E-3</v>
      </c>
      <c r="L12" s="2196"/>
      <c r="M12" s="2447">
        <v>5826654</v>
      </c>
      <c r="N12" s="2459" t="s">
        <v>509</v>
      </c>
      <c r="O12" s="2196"/>
      <c r="P12" s="2196"/>
      <c r="Q12" s="2196"/>
      <c r="R12" s="2196"/>
      <c r="S12" s="2196"/>
    </row>
    <row r="13" spans="1:19" s="282" customFormat="1">
      <c r="A13" s="1179">
        <v>552</v>
      </c>
      <c r="B13" s="1538" t="s">
        <v>434</v>
      </c>
      <c r="C13" s="53">
        <v>3621.453</v>
      </c>
      <c r="D13" s="53">
        <v>872.58600000000001</v>
      </c>
      <c r="E13" s="1747">
        <v>2191.7710000000002</v>
      </c>
      <c r="F13" s="53">
        <v>84.185000000000002</v>
      </c>
      <c r="G13" s="1747">
        <f>Motpart!Y32+Motpart!Z32</f>
        <v>20.344000000000001</v>
      </c>
      <c r="H13" s="1189">
        <f t="shared" si="0"/>
        <v>3516.924</v>
      </c>
      <c r="I13" s="1190">
        <f>IF(C13&gt;0,H13*1000000/M12,"")</f>
        <v>603.5923876722386</v>
      </c>
      <c r="J13" s="1190">
        <v>585.06799999999998</v>
      </c>
      <c r="K13" s="2436">
        <f t="shared" ref="K13:K18" si="1">IF(ISERROR((I13-J13)/J13),"",((I13-J13)/J13))</f>
        <v>3.1661939590335857E-2</v>
      </c>
      <c r="L13" s="2196"/>
      <c r="M13" s="2448"/>
      <c r="N13" s="2460"/>
      <c r="O13" s="2196"/>
      <c r="P13" s="2196"/>
      <c r="Q13" s="2196"/>
      <c r="R13" s="2196"/>
      <c r="S13" s="2196"/>
    </row>
    <row r="14" spans="1:19" s="282" customFormat="1">
      <c r="A14" s="1179">
        <v>556</v>
      </c>
      <c r="B14" s="1758" t="s">
        <v>490</v>
      </c>
      <c r="C14" s="53">
        <v>144.46199999999999</v>
      </c>
      <c r="D14" s="53">
        <v>45.35</v>
      </c>
      <c r="E14" s="53">
        <v>71.194999999999993</v>
      </c>
      <c r="F14" s="53">
        <v>1.7869999999999999</v>
      </c>
      <c r="G14" s="53">
        <v>0.104</v>
      </c>
      <c r="H14" s="1189">
        <f t="shared" si="0"/>
        <v>142.57099999999997</v>
      </c>
      <c r="I14" s="1190">
        <f>IF(C14&gt;0,H14*1000000/M12,"")</f>
        <v>24.46876028677865</v>
      </c>
      <c r="J14" s="1190">
        <v>26.745000000000001</v>
      </c>
      <c r="K14" s="2436">
        <f t="shared" si="1"/>
        <v>-8.5108981612314477E-2</v>
      </c>
      <c r="L14" s="2196"/>
      <c r="M14" s="2448"/>
      <c r="N14" s="2460"/>
      <c r="O14" s="2196"/>
      <c r="P14" s="2196"/>
      <c r="Q14" s="2196"/>
      <c r="R14" s="2196"/>
      <c r="S14" s="2196"/>
    </row>
    <row r="15" spans="1:19" s="282" customFormat="1">
      <c r="A15" s="1179">
        <v>5581</v>
      </c>
      <c r="B15" s="1758" t="s">
        <v>160</v>
      </c>
      <c r="C15" s="53">
        <v>3170.5749999999998</v>
      </c>
      <c r="D15" s="53">
        <v>1253.2439999999999</v>
      </c>
      <c r="E15" s="53">
        <v>701.92700000000002</v>
      </c>
      <c r="F15" s="53">
        <v>296.92099999999999</v>
      </c>
      <c r="G15" s="53">
        <v>7.593</v>
      </c>
      <c r="H15" s="1189">
        <f t="shared" si="0"/>
        <v>2866.0610000000001</v>
      </c>
      <c r="I15" s="1191">
        <f>IF(C15&gt;0,H15*1000000/M12,"")</f>
        <v>491.88796863517211</v>
      </c>
      <c r="J15" s="1191">
        <v>492.50099999999998</v>
      </c>
      <c r="K15" s="2436">
        <f t="shared" si="1"/>
        <v>-1.2447312083180779E-3</v>
      </c>
      <c r="L15" s="2196"/>
      <c r="M15" s="2448"/>
      <c r="N15" s="2460"/>
      <c r="O15" s="2196"/>
      <c r="P15" s="2196"/>
      <c r="Q15" s="2196"/>
      <c r="R15" s="2196"/>
      <c r="S15" s="2196"/>
    </row>
    <row r="16" spans="1:19" s="282" customFormat="1">
      <c r="A16" s="1179">
        <v>5582</v>
      </c>
      <c r="B16" s="1758" t="s">
        <v>159</v>
      </c>
      <c r="C16" s="53">
        <v>1459.03</v>
      </c>
      <c r="D16" s="53">
        <v>964.10699999999997</v>
      </c>
      <c r="E16" s="53">
        <v>136.88900000000001</v>
      </c>
      <c r="F16" s="53">
        <v>61.6</v>
      </c>
      <c r="G16" s="53">
        <v>7.1760000000000002</v>
      </c>
      <c r="H16" s="1189">
        <f t="shared" si="0"/>
        <v>1390.2540000000001</v>
      </c>
      <c r="I16" s="1190">
        <f>IF(C16&gt;0,H16*1000000/M12,"")</f>
        <v>238.6024637810998</v>
      </c>
      <c r="J16" s="1190">
        <v>233.09399999999999</v>
      </c>
      <c r="K16" s="2436">
        <f t="shared" si="1"/>
        <v>2.3631941539034921E-2</v>
      </c>
      <c r="L16" s="2196"/>
      <c r="M16" s="2448"/>
      <c r="N16" s="2460"/>
      <c r="O16" s="2196"/>
      <c r="P16" s="2196"/>
      <c r="Q16" s="2196"/>
      <c r="R16" s="2196"/>
      <c r="S16" s="2196"/>
    </row>
    <row r="17" spans="1:19" s="282" customFormat="1">
      <c r="A17" s="1179">
        <v>5583</v>
      </c>
      <c r="B17" s="1758" t="s">
        <v>161</v>
      </c>
      <c r="C17" s="53">
        <v>865.00699999999995</v>
      </c>
      <c r="D17" s="53">
        <v>556.39700000000005</v>
      </c>
      <c r="E17" s="53">
        <v>52.308</v>
      </c>
      <c r="F17" s="53">
        <v>57.253</v>
      </c>
      <c r="G17" s="53">
        <v>8.2370000000000001</v>
      </c>
      <c r="H17" s="1189">
        <f t="shared" si="0"/>
        <v>799.51699999999994</v>
      </c>
      <c r="I17" s="1190">
        <f>IF(C17&gt;0,H17*1000000/M12,"")</f>
        <v>137.21717472841186</v>
      </c>
      <c r="J17" s="1191">
        <v>154.27199999999999</v>
      </c>
      <c r="K17" s="2436">
        <f t="shared" si="1"/>
        <v>-0.11055036086644453</v>
      </c>
      <c r="L17" s="2196"/>
      <c r="M17" s="2448"/>
      <c r="N17" s="2460"/>
      <c r="O17" s="2196"/>
      <c r="P17" s="2196"/>
      <c r="Q17" s="2196"/>
      <c r="R17" s="2196"/>
      <c r="S17" s="2196"/>
    </row>
    <row r="18" spans="1:19" s="282" customFormat="1">
      <c r="A18" s="1180">
        <v>558</v>
      </c>
      <c r="B18" s="1759" t="s">
        <v>197</v>
      </c>
      <c r="C18" s="321">
        <f>SUM(C15:C17)</f>
        <v>5494.6119999999992</v>
      </c>
      <c r="D18" s="321">
        <f>SUM(D15:D17)</f>
        <v>2773.7479999999996</v>
      </c>
      <c r="E18" s="321">
        <f>SUM(E15:E17)</f>
        <v>891.12400000000002</v>
      </c>
      <c r="F18" s="321">
        <f>SUM(F15:F17)</f>
        <v>415.774</v>
      </c>
      <c r="G18" s="321">
        <f>SUM(G15:G17)</f>
        <v>23.006</v>
      </c>
      <c r="H18" s="1189">
        <f t="shared" si="0"/>
        <v>5055.8319999999985</v>
      </c>
      <c r="I18" s="1190">
        <f>IF(C18&gt;0,H18*1000000/M12,"")</f>
        <v>867.70760714468338</v>
      </c>
      <c r="J18" s="1190">
        <v>879.86699999999996</v>
      </c>
      <c r="K18" s="2436">
        <f t="shared" si="1"/>
        <v>-1.3819580522188676E-2</v>
      </c>
      <c r="L18" s="2196"/>
      <c r="M18" s="2448"/>
      <c r="N18" s="2460"/>
      <c r="O18" s="2196"/>
      <c r="P18" s="2196"/>
      <c r="Q18" s="2196"/>
      <c r="R18" s="2196"/>
      <c r="S18" s="2196"/>
    </row>
    <row r="19" spans="1:19" s="172" customFormat="1">
      <c r="A19" s="1181">
        <v>55999</v>
      </c>
      <c r="B19" s="1759" t="s">
        <v>202</v>
      </c>
      <c r="C19" s="321">
        <f>C13+C14+C15+C16+C17</f>
        <v>9260.527</v>
      </c>
      <c r="D19" s="321">
        <f>D13+D14+D15+D16+D17</f>
        <v>3691.6839999999997</v>
      </c>
      <c r="E19" s="321">
        <f>E13+E14+E15+E16+E17</f>
        <v>3154.0900000000006</v>
      </c>
      <c r="F19" s="321">
        <f>F13+F14+F15+F16+F17</f>
        <v>501.74600000000004</v>
      </c>
      <c r="G19" s="321">
        <f>G13+G14+G15+G16+G17</f>
        <v>43.454000000000001</v>
      </c>
      <c r="H19" s="1192"/>
      <c r="I19" s="1193"/>
      <c r="J19" s="1193"/>
      <c r="K19" s="2437"/>
      <c r="L19" s="2196"/>
      <c r="M19" s="2448"/>
      <c r="N19" s="2460"/>
      <c r="O19" s="2196"/>
      <c r="P19" s="2196"/>
      <c r="Q19" s="2196"/>
      <c r="R19" s="2196"/>
      <c r="S19" s="2196"/>
    </row>
    <row r="20" spans="1:19" s="172" customFormat="1" ht="13.5" thickBot="1">
      <c r="A20" s="2423"/>
      <c r="B20" s="2422"/>
      <c r="C20" s="2422"/>
      <c r="D20" s="2422"/>
      <c r="E20" s="2422"/>
      <c r="F20" s="2422"/>
      <c r="G20" s="2422"/>
      <c r="H20" s="2422"/>
      <c r="I20" s="2422"/>
      <c r="J20" s="2422"/>
      <c r="K20" s="2438"/>
      <c r="L20" s="2196"/>
      <c r="M20" s="2449"/>
      <c r="N20" s="2461"/>
      <c r="O20" s="2196"/>
      <c r="P20" s="2196"/>
      <c r="Q20" s="2196"/>
      <c r="R20" s="2196"/>
      <c r="S20" s="2196"/>
    </row>
    <row r="21" spans="1:19" s="282" customFormat="1">
      <c r="A21" s="2424">
        <v>569</v>
      </c>
      <c r="B21" s="1760" t="s">
        <v>485</v>
      </c>
      <c r="C21" s="1761">
        <f>Drift!P80</f>
        <v>28199.556999999997</v>
      </c>
      <c r="D21" s="1991">
        <f>SUM(Drift!C80:D80)</f>
        <v>13873.073</v>
      </c>
      <c r="E21" s="1761">
        <f>Drift!F80</f>
        <v>9141.2530000000006</v>
      </c>
      <c r="F21" s="1761">
        <f>Drift!V80</f>
        <v>750.50400000000002</v>
      </c>
      <c r="G21" s="1762">
        <f>Motpart!Y33+Motpart!Z33</f>
        <v>174.66899999999998</v>
      </c>
      <c r="H21" s="1195">
        <f t="shared" ref="H21:H26" si="2">C21-F21-G21</f>
        <v>27274.383999999995</v>
      </c>
      <c r="I21" s="1190">
        <f>IF(C21&gt;0,H21*1000000/M21,"")</f>
        <v>10705.219672929017</v>
      </c>
      <c r="J21" s="1190">
        <v>10068.259</v>
      </c>
      <c r="K21" s="2439">
        <f t="shared" ref="K21:K26" si="3">IF(ISERROR((I21-J21)/J21),"",((I21-J21)/J21))</f>
        <v>6.3264231971884827E-2</v>
      </c>
      <c r="L21" s="2196"/>
      <c r="M21" s="2450">
        <v>2547765</v>
      </c>
      <c r="N21" s="2462" t="s">
        <v>511</v>
      </c>
      <c r="O21" s="2196"/>
      <c r="P21" s="2196"/>
      <c r="Q21" s="2196"/>
      <c r="R21" s="2196"/>
      <c r="S21" s="2196"/>
    </row>
    <row r="22" spans="1:19" s="282" customFormat="1" ht="12.6" customHeight="1">
      <c r="A22" s="2425">
        <v>554</v>
      </c>
      <c r="B22" s="1763" t="s">
        <v>198</v>
      </c>
      <c r="C22" s="53">
        <v>9309.2099999999991</v>
      </c>
      <c r="D22" s="53">
        <v>2489.1529999999998</v>
      </c>
      <c r="E22" s="1747">
        <v>5498.0259999999998</v>
      </c>
      <c r="F22" s="53">
        <v>288.28500000000003</v>
      </c>
      <c r="G22" s="1747">
        <f>Motpart!Y34+Motpart!Z34</f>
        <v>60.076000000000001</v>
      </c>
      <c r="H22" s="1195">
        <f t="shared" si="2"/>
        <v>8960.8490000000002</v>
      </c>
      <c r="I22" s="1190">
        <f>IF(C22&gt;0,H22*1000000/M21,"")</f>
        <v>3517.1411021032159</v>
      </c>
      <c r="J22" s="1190">
        <v>3439.6909999999998</v>
      </c>
      <c r="K22" s="2436">
        <f t="shared" si="3"/>
        <v>2.2516587130418424E-2</v>
      </c>
      <c r="L22" s="2196"/>
      <c r="M22" s="2448"/>
      <c r="N22" s="2460"/>
      <c r="O22" s="2196"/>
      <c r="P22" s="2196"/>
      <c r="Q22" s="2196"/>
      <c r="R22" s="2196"/>
      <c r="S22" s="2196"/>
    </row>
    <row r="23" spans="1:19" s="282" customFormat="1">
      <c r="A23" s="2425">
        <v>557</v>
      </c>
      <c r="B23" s="1763" t="s">
        <v>164</v>
      </c>
      <c r="C23" s="53">
        <v>10557.072</v>
      </c>
      <c r="D23" s="53">
        <v>5824.7830000000004</v>
      </c>
      <c r="E23" s="53">
        <v>2907.6030000000001</v>
      </c>
      <c r="F23" s="53">
        <v>101.60299999999999</v>
      </c>
      <c r="G23" s="53">
        <v>35.642000000000003</v>
      </c>
      <c r="H23" s="1195">
        <f t="shared" si="2"/>
        <v>10419.827000000001</v>
      </c>
      <c r="I23" s="1190">
        <f>IF(C23&gt;0,H23*1000000/M21,"")</f>
        <v>4089.7912484079193</v>
      </c>
      <c r="J23" s="1190">
        <v>3779.1819999999998</v>
      </c>
      <c r="K23" s="2436">
        <f t="shared" si="3"/>
        <v>8.2189544829521177E-2</v>
      </c>
      <c r="L23" s="2196"/>
      <c r="M23" s="2448"/>
      <c r="N23" s="2460"/>
      <c r="O23" s="2196"/>
      <c r="P23" s="2196"/>
      <c r="Q23" s="2196"/>
      <c r="R23" s="2196"/>
      <c r="S23" s="2196"/>
    </row>
    <row r="24" spans="1:19" s="282" customFormat="1">
      <c r="A24" s="2425">
        <v>5681</v>
      </c>
      <c r="B24" s="1763" t="s">
        <v>159</v>
      </c>
      <c r="C24" s="53">
        <v>5003.0640000000003</v>
      </c>
      <c r="D24" s="53">
        <v>3317.0230000000001</v>
      </c>
      <c r="E24" s="53">
        <v>573.22299999999996</v>
      </c>
      <c r="F24" s="53">
        <v>158.78399999999999</v>
      </c>
      <c r="G24" s="53">
        <v>29.968</v>
      </c>
      <c r="H24" s="1195">
        <f t="shared" si="2"/>
        <v>4814.3120000000008</v>
      </c>
      <c r="I24" s="1190">
        <f>IF(C24&gt;0,H24*1000000/M21,"")</f>
        <v>1889.6216880285274</v>
      </c>
      <c r="J24" s="1190">
        <v>1750.7049999999999</v>
      </c>
      <c r="K24" s="2436">
        <f t="shared" si="3"/>
        <v>7.9348998276995528E-2</v>
      </c>
      <c r="L24" s="2196"/>
      <c r="M24" s="2448"/>
      <c r="N24" s="2460"/>
      <c r="O24" s="2196"/>
      <c r="P24" s="2196"/>
      <c r="Q24" s="2196"/>
      <c r="R24" s="2196"/>
      <c r="S24" s="2196"/>
    </row>
    <row r="25" spans="1:19" s="282" customFormat="1">
      <c r="A25" s="2425">
        <v>5682</v>
      </c>
      <c r="B25" s="1763" t="s">
        <v>161</v>
      </c>
      <c r="C25" s="53">
        <v>3330.21</v>
      </c>
      <c r="D25" s="53">
        <v>2242.1149999999998</v>
      </c>
      <c r="E25" s="53">
        <v>162.40100000000001</v>
      </c>
      <c r="F25" s="53">
        <v>201.83099999999999</v>
      </c>
      <c r="G25" s="54">
        <v>48.981999999999999</v>
      </c>
      <c r="H25" s="1195">
        <f t="shared" si="2"/>
        <v>3079.3969999999999</v>
      </c>
      <c r="I25" s="1190">
        <f>IF(C25&gt;0,H25*1000000/M21,"")</f>
        <v>1208.6660268902351</v>
      </c>
      <c r="J25" s="1190">
        <v>1098.683</v>
      </c>
      <c r="K25" s="2436">
        <f t="shared" si="3"/>
        <v>0.10010442219478696</v>
      </c>
      <c r="L25" s="2196"/>
      <c r="M25" s="2448"/>
      <c r="N25" s="2460"/>
      <c r="O25" s="2196"/>
      <c r="P25" s="2196"/>
      <c r="Q25" s="2196"/>
      <c r="R25" s="2196"/>
      <c r="S25" s="2196"/>
    </row>
    <row r="26" spans="1:19" s="282" customFormat="1">
      <c r="A26" s="2426">
        <v>568</v>
      </c>
      <c r="B26" s="1764" t="s">
        <v>204</v>
      </c>
      <c r="C26" s="321">
        <f>SUM(C24:C25)</f>
        <v>8333.2740000000013</v>
      </c>
      <c r="D26" s="321">
        <f>SUM(D24:D25)</f>
        <v>5559.1379999999999</v>
      </c>
      <c r="E26" s="321">
        <f>SUM(E24:E25)</f>
        <v>735.62400000000002</v>
      </c>
      <c r="F26" s="321">
        <f>SUM(F24:F25)</f>
        <v>360.61500000000001</v>
      </c>
      <c r="G26" s="321">
        <f>SUM(G24:G25)</f>
        <v>78.95</v>
      </c>
      <c r="H26" s="1195">
        <f t="shared" si="2"/>
        <v>7893.7090000000017</v>
      </c>
      <c r="I26" s="1190">
        <f>IF(C26&gt;0,H26*1000000/M21,"")</f>
        <v>3098.287714918763</v>
      </c>
      <c r="J26" s="1190">
        <v>2849.3890000000001</v>
      </c>
      <c r="K26" s="2436">
        <f t="shared" si="3"/>
        <v>8.7351609386701085E-2</v>
      </c>
      <c r="L26" s="2196"/>
      <c r="M26" s="2448"/>
      <c r="N26" s="2460"/>
      <c r="O26" s="2196"/>
      <c r="P26" s="2196"/>
      <c r="Q26" s="2196"/>
      <c r="R26" s="2196"/>
      <c r="S26" s="2196"/>
    </row>
    <row r="27" spans="1:19" s="282" customFormat="1">
      <c r="A27" s="2426">
        <v>56999</v>
      </c>
      <c r="B27" s="1759" t="s">
        <v>165</v>
      </c>
      <c r="C27" s="321">
        <f>SUM(C22+C23+C24+C25)</f>
        <v>28199.555999999997</v>
      </c>
      <c r="D27" s="321">
        <f>SUM(D22+D23+D24+D25)</f>
        <v>13873.073999999999</v>
      </c>
      <c r="E27" s="321">
        <f>SUM(E22+E23+E24+E25)</f>
        <v>9141.2530000000006</v>
      </c>
      <c r="F27" s="321">
        <f>SUM(F22+F23+F24+F25)</f>
        <v>750.50300000000004</v>
      </c>
      <c r="G27" s="321">
        <f>SUM(G22+G23+G24+G25)</f>
        <v>174.66800000000001</v>
      </c>
      <c r="H27" s="1192"/>
      <c r="I27" s="1193"/>
      <c r="J27" s="1193"/>
      <c r="K27" s="2437"/>
      <c r="L27" s="2196"/>
      <c r="M27" s="2448"/>
      <c r="N27" s="2460"/>
      <c r="O27" s="2196"/>
      <c r="P27" s="2196"/>
      <c r="Q27" s="2196"/>
      <c r="R27" s="2196"/>
      <c r="S27" s="2196"/>
    </row>
    <row r="28" spans="1:19" s="282" customFormat="1" ht="13.5" thickBot="1">
      <c r="A28" s="2427"/>
      <c r="B28" s="2422"/>
      <c r="C28" s="2422"/>
      <c r="D28" s="2422"/>
      <c r="E28" s="2422"/>
      <c r="F28" s="2422"/>
      <c r="G28" s="2422"/>
      <c r="H28" s="2422"/>
      <c r="I28" s="2422"/>
      <c r="J28" s="2422"/>
      <c r="K28" s="2438"/>
      <c r="L28" s="2196"/>
      <c r="M28" s="2448"/>
      <c r="N28" s="2460"/>
      <c r="O28" s="2196"/>
      <c r="P28" s="2196"/>
      <c r="Q28" s="2196"/>
      <c r="R28" s="2196"/>
      <c r="S28" s="2196"/>
    </row>
    <row r="29" spans="1:19" s="282" customFormat="1">
      <c r="A29" s="2428">
        <v>571</v>
      </c>
      <c r="B29" s="1763" t="s">
        <v>166</v>
      </c>
      <c r="C29" s="1761">
        <f>Drift!P81</f>
        <v>3641.1779999999994</v>
      </c>
      <c r="D29" s="1991">
        <f>SUM(Drift!C81:D81)</f>
        <v>1320.9459999999999</v>
      </c>
      <c r="E29" s="1761">
        <f>Drift!F81</f>
        <v>937.72199999999998</v>
      </c>
      <c r="F29" s="1761">
        <f>Drift!V81</f>
        <v>151.07300000000001</v>
      </c>
      <c r="G29" s="65">
        <v>44.055999999999997</v>
      </c>
      <c r="H29" s="1195">
        <f t="shared" ref="H29:H34" si="4">C29-F29-G29</f>
        <v>3446.0489999999995</v>
      </c>
      <c r="I29" s="1190">
        <f>IF(C29&gt;0,H29*1000000/M12,"")</f>
        <v>591.42845962708611</v>
      </c>
      <c r="J29" s="1190">
        <v>556.60400000000004</v>
      </c>
      <c r="K29" s="2439">
        <f t="shared" ref="K29:K34" si="5">IF(ISERROR((I29-J29)/J29),"",((I29-J29)/J29))</f>
        <v>6.2565952862512791E-2</v>
      </c>
      <c r="L29" s="2196"/>
      <c r="M29" s="2468"/>
      <c r="N29" s="2469"/>
      <c r="O29" s="2196"/>
      <c r="P29" s="2196"/>
      <c r="Q29" s="2196"/>
      <c r="R29" s="2196"/>
      <c r="S29" s="2196"/>
    </row>
    <row r="30" spans="1:19" s="282" customFormat="1">
      <c r="A30" s="2425">
        <v>575</v>
      </c>
      <c r="B30" s="1763" t="s">
        <v>105</v>
      </c>
      <c r="C30" s="1747">
        <f>Drift!P82</f>
        <v>14730.118999999999</v>
      </c>
      <c r="D30" s="1992">
        <f>SUM(Drift!C82:D82)</f>
        <v>3212.1020000000003</v>
      </c>
      <c r="E30" s="1747">
        <f>Drift!F82</f>
        <v>43.566000000000003</v>
      </c>
      <c r="F30" s="1747">
        <f>Drift!V82</f>
        <v>135.98599999999999</v>
      </c>
      <c r="G30" s="53">
        <v>21.434000000000001</v>
      </c>
      <c r="H30" s="1195">
        <f t="shared" si="4"/>
        <v>14572.698999999999</v>
      </c>
      <c r="I30" s="1190">
        <f>IF(C30&gt;0,H30*1000000/M30,"")</f>
        <v>1385.0326890813487</v>
      </c>
      <c r="J30" s="1190">
        <v>1465.04</v>
      </c>
      <c r="K30" s="2436">
        <f t="shared" si="5"/>
        <v>-5.4611007835042885E-2</v>
      </c>
      <c r="L30" s="2196"/>
      <c r="M30" s="2451">
        <v>10521556</v>
      </c>
      <c r="N30" s="2467" t="s">
        <v>512</v>
      </c>
      <c r="O30" s="2196"/>
      <c r="P30" s="2196"/>
      <c r="Q30" s="2196"/>
      <c r="R30" s="2196"/>
      <c r="S30" s="2196"/>
    </row>
    <row r="31" spans="1:19" s="282" customFormat="1" ht="13.5" thickBot="1">
      <c r="A31" s="2429">
        <v>580</v>
      </c>
      <c r="B31" s="1765" t="s">
        <v>169</v>
      </c>
      <c r="C31" s="79">
        <f>C12+C21+C29+C30</f>
        <v>55831.381000000001</v>
      </c>
      <c r="D31" s="79">
        <f>D12+D21+D29+D30</f>
        <v>22097.806</v>
      </c>
      <c r="E31" s="79">
        <f>E12+E21+E29+E30</f>
        <v>13276.631000000001</v>
      </c>
      <c r="F31" s="79">
        <f>F12+F21+F29+F30</f>
        <v>1539.3090000000002</v>
      </c>
      <c r="G31" s="79">
        <f>G12+G21+G29+G30</f>
        <v>283.613</v>
      </c>
      <c r="H31" s="1196">
        <f t="shared" si="4"/>
        <v>54008.459000000003</v>
      </c>
      <c r="I31" s="1197">
        <f>IF(C31&gt;0,H31*1000000/M30,"")</f>
        <v>5133.124701327446</v>
      </c>
      <c r="J31" s="1197">
        <v>5048.5010000000002</v>
      </c>
      <c r="K31" s="2440">
        <f t="shared" si="5"/>
        <v>1.6762144115143447E-2</v>
      </c>
      <c r="L31" s="2196"/>
      <c r="M31" s="2449"/>
      <c r="N31" s="2463"/>
      <c r="O31" s="2196"/>
      <c r="P31" s="2196"/>
      <c r="Q31" s="2196"/>
      <c r="R31" s="2196"/>
      <c r="S31" s="2196"/>
    </row>
    <row r="32" spans="1:19" s="282" customFormat="1">
      <c r="A32" s="2426">
        <v>585</v>
      </c>
      <c r="B32" s="1764" t="s">
        <v>486</v>
      </c>
      <c r="C32" s="1747">
        <f>Drift!P84</f>
        <v>1201.5230000000001</v>
      </c>
      <c r="D32" s="1992">
        <f>SUM(Drift!C84:D84)</f>
        <v>788.19200000000001</v>
      </c>
      <c r="E32" s="1747">
        <f>Drift!F84</f>
        <v>166.28100000000001</v>
      </c>
      <c r="F32" s="1747">
        <f>Drift!V84</f>
        <v>41.557000000000002</v>
      </c>
      <c r="G32" s="321">
        <f>SUM(G33:G34)</f>
        <v>84.808000000000007</v>
      </c>
      <c r="H32" s="1195">
        <f t="shared" si="4"/>
        <v>1075.1580000000001</v>
      </c>
      <c r="I32" s="1190">
        <f>IF(C32&gt;0,H32*1000000/M32,"")</f>
        <v>489.86939495212528</v>
      </c>
      <c r="J32" s="1190">
        <v>483.79199999999997</v>
      </c>
      <c r="K32" s="2441">
        <f t="shared" si="5"/>
        <v>1.2561999686074394E-2</v>
      </c>
      <c r="L32" s="2196"/>
      <c r="M32" s="2450">
        <v>2194785</v>
      </c>
      <c r="N32" s="2464" t="s">
        <v>513</v>
      </c>
      <c r="O32" s="2196"/>
      <c r="P32" s="2196"/>
      <c r="Q32" s="2196"/>
      <c r="R32" s="2196"/>
      <c r="S32" s="2196"/>
    </row>
    <row r="33" spans="1:19" s="282" customFormat="1">
      <c r="A33" s="2425">
        <v>5851</v>
      </c>
      <c r="B33" s="1763" t="s">
        <v>167</v>
      </c>
      <c r="C33" s="53">
        <v>850.25400000000002</v>
      </c>
      <c r="D33" s="53">
        <v>605.54399999999998</v>
      </c>
      <c r="E33" s="53">
        <v>71.046999999999997</v>
      </c>
      <c r="F33" s="53">
        <v>29.198</v>
      </c>
      <c r="G33" s="53">
        <v>53.359000000000002</v>
      </c>
      <c r="H33" s="1195">
        <f t="shared" si="4"/>
        <v>767.697</v>
      </c>
      <c r="I33" s="1190">
        <f>IF(C33&gt;0,H33*1000000/M33,"")</f>
        <v>349.78232492020857</v>
      </c>
      <c r="J33" s="1190">
        <v>346.08600000000001</v>
      </c>
      <c r="K33" s="2436">
        <f t="shared" si="5"/>
        <v>1.068036534332089E-2</v>
      </c>
      <c r="L33" s="2196"/>
      <c r="M33" s="2450">
        <v>2194785</v>
      </c>
      <c r="N33" s="2464" t="s">
        <v>513</v>
      </c>
      <c r="O33" s="2196"/>
      <c r="P33" s="2196"/>
      <c r="Q33" s="2196"/>
      <c r="R33" s="2196"/>
      <c r="S33" s="2196"/>
    </row>
    <row r="34" spans="1:19" s="282" customFormat="1">
      <c r="A34" s="2425">
        <v>5855</v>
      </c>
      <c r="B34" s="1763" t="s">
        <v>168</v>
      </c>
      <c r="C34" s="53">
        <v>351.26900000000001</v>
      </c>
      <c r="D34" s="53">
        <v>182.648</v>
      </c>
      <c r="E34" s="53">
        <v>95.233999999999995</v>
      </c>
      <c r="F34" s="53">
        <v>12.359</v>
      </c>
      <c r="G34" s="53">
        <v>31.449000000000002</v>
      </c>
      <c r="H34" s="1195">
        <f t="shared" si="4"/>
        <v>307.46100000000001</v>
      </c>
      <c r="I34" s="1190">
        <f>IF(C34&gt;0,H34*1000000/M34,"")</f>
        <v>45.736967327316215</v>
      </c>
      <c r="J34" s="1190">
        <v>45.345999999999997</v>
      </c>
      <c r="K34" s="2436">
        <f t="shared" si="5"/>
        <v>8.6218702270590229E-3</v>
      </c>
      <c r="L34" s="2196"/>
      <c r="M34" s="2450">
        <v>6722374</v>
      </c>
      <c r="N34" s="2464" t="s">
        <v>514</v>
      </c>
      <c r="O34" s="2196"/>
      <c r="P34" s="2196"/>
      <c r="Q34" s="2196"/>
      <c r="R34" s="2196"/>
      <c r="S34" s="2196"/>
    </row>
    <row r="35" spans="1:19" s="282" customFormat="1" ht="15" customHeight="1">
      <c r="A35" s="2430">
        <v>58599</v>
      </c>
      <c r="B35" s="2472" t="s">
        <v>510</v>
      </c>
      <c r="C35" s="321">
        <f>SUM(C33:C34)</f>
        <v>1201.5230000000001</v>
      </c>
      <c r="D35" s="321">
        <f>SUM(D33:D34)</f>
        <v>788.19200000000001</v>
      </c>
      <c r="E35" s="321">
        <f>SUM(E33:E34)</f>
        <v>166.28100000000001</v>
      </c>
      <c r="F35" s="321">
        <f>SUM(F33:F34)</f>
        <v>41.557000000000002</v>
      </c>
      <c r="G35" s="321">
        <f>SUM(G33:G34)</f>
        <v>84.808000000000007</v>
      </c>
      <c r="H35" s="2470"/>
      <c r="I35" s="1193"/>
      <c r="J35" s="1193"/>
      <c r="K35" s="2471"/>
      <c r="L35" s="2196"/>
      <c r="M35" s="2452"/>
      <c r="N35" s="2465"/>
      <c r="O35" s="2196"/>
      <c r="P35" s="2196"/>
      <c r="Q35" s="2196"/>
      <c r="R35" s="2196"/>
      <c r="S35" s="2196"/>
    </row>
    <row r="36" spans="1:19" s="282" customFormat="1" ht="15" customHeight="1" thickBot="1">
      <c r="A36" s="2423"/>
      <c r="B36" s="2473"/>
      <c r="C36" s="2422"/>
      <c r="D36" s="2422"/>
      <c r="E36" s="2422"/>
      <c r="F36" s="2422"/>
      <c r="G36" s="2422"/>
      <c r="H36" s="2422"/>
      <c r="I36" s="2422"/>
      <c r="J36" s="2422"/>
      <c r="K36" s="2438"/>
      <c r="L36" s="2196"/>
      <c r="M36" s="2453"/>
      <c r="N36" s="2466"/>
      <c r="O36" s="2196"/>
      <c r="P36" s="2196"/>
      <c r="Q36" s="2196"/>
      <c r="R36" s="2196"/>
      <c r="S36" s="2196"/>
    </row>
    <row r="37" spans="1:19" s="282" customFormat="1" ht="16.5" customHeight="1">
      <c r="A37" s="1766"/>
      <c r="B37" s="1766"/>
      <c r="C37" s="71"/>
      <c r="D37" s="71"/>
      <c r="E37" s="71"/>
      <c r="F37" s="1238"/>
      <c r="G37" s="1947"/>
      <c r="H37" s="280"/>
      <c r="I37" s="1767"/>
      <c r="J37" s="1767"/>
      <c r="K37" s="1767"/>
      <c r="L37" s="280"/>
      <c r="M37" s="280"/>
      <c r="N37" s="280"/>
      <c r="O37" s="2196"/>
      <c r="P37" s="2196"/>
      <c r="Q37" s="2196"/>
      <c r="R37" s="2196"/>
      <c r="S37" s="2196"/>
    </row>
    <row r="38" spans="1:19" ht="20.25" customHeight="1">
      <c r="A38" s="1214"/>
      <c r="D38" s="71"/>
      <c r="E38" s="71"/>
      <c r="O38" s="2196"/>
      <c r="P38" s="2196"/>
      <c r="Q38" s="2196"/>
      <c r="R38" s="2196"/>
      <c r="S38" s="2196"/>
    </row>
  </sheetData>
  <sheetProtection algorithmName="SHA-512" hashValue="W9fYgdgEE20p9nm4MXHm/c+h4ykoVWHR4LLv2g5uCBcsvoBQY5QMzsFjk90H0raipui+kCLkSQBYsE2T11aoqg==" saltValue="k7omJnZiRoVXhL8Esq1bnA==" spinCount="100000" sheet="1" objects="1" scenarios="1"/>
  <customSheetViews>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1"/>
      <headerFooter alignWithMargins="0">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3"/>
      <headerFooter>
        <oddHeader>&amp;L&amp;8Statistiska Centralbyrån
Offentlig ekonomi&amp;R&amp;P</oddHeader>
      </headerFooter>
    </customSheetView>
  </customSheetViews>
  <mergeCells count="6">
    <mergeCell ref="K4:K6"/>
    <mergeCell ref="D9:D11"/>
    <mergeCell ref="D6:D8"/>
    <mergeCell ref="E6:E8"/>
    <mergeCell ref="F6:F8"/>
    <mergeCell ref="G6:G8"/>
  </mergeCells>
  <phoneticPr fontId="88" type="noConversion"/>
  <conditionalFormatting sqref="G29:G30 C14:G17 C23:G25 C33:G34 C13:D13 F13 C22:D22 F22">
    <cfRule type="cellIs" dxfId="1" priority="34" stopIfTrue="1" operator="lessThan">
      <formula>-500</formula>
    </cfRule>
    <cfRule type="cellIs" dxfId="0" priority="35" stopIfTrue="1" operator="lessThan">
      <formula>0</formula>
    </cfRule>
  </conditionalFormatting>
  <dataValidations disablePrompts="1"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4"/>
  <sheetViews>
    <sheetView showGridLines="0" zoomScaleNormal="100" workbookViewId="0">
      <pane ySplit="1" topLeftCell="A2" activePane="bottomLeft" state="frozen"/>
      <selection sqref="A1:F1"/>
      <selection pane="bottomLeft" sqref="A1:F1"/>
    </sheetView>
  </sheetViews>
  <sheetFormatPr defaultColWidth="0" defaultRowHeight="12.75" customHeight="1" zeroHeight="1"/>
  <cols>
    <col min="1" max="1" width="4" style="168" customWidth="1"/>
    <col min="2" max="2" width="42.42578125" style="168" customWidth="1"/>
    <col min="3" max="4" width="11.5703125" style="168" customWidth="1"/>
    <col min="5" max="5" width="12.28515625" style="168" customWidth="1"/>
    <col min="6" max="6" width="5.5703125" style="168" customWidth="1"/>
    <col min="7" max="7" width="24" style="168" customWidth="1"/>
    <col min="8" max="8" width="15.85546875" style="168" customWidth="1"/>
    <col min="9" max="10" width="10" style="168" customWidth="1"/>
    <col min="11" max="11" width="10.28515625" style="168" customWidth="1"/>
    <col min="12" max="12" width="0" style="168" hidden="1" customWidth="1"/>
    <col min="13" max="16384" width="9.28515625" style="168" hidden="1"/>
  </cols>
  <sheetData>
    <row r="1" spans="1:11" ht="21.75">
      <c r="A1" s="76" t="str">
        <f>"Resultaträkning "&amp;År&amp;", miljoner kr"</f>
        <v>Resultaträkning 2022, miljoner kr</v>
      </c>
      <c r="B1" s="77"/>
      <c r="C1" s="77"/>
      <c r="D1" s="77"/>
      <c r="E1" s="77"/>
      <c r="F1" s="508" t="s">
        <v>453</v>
      </c>
      <c r="G1" s="509" t="str">
        <f>Information!A2</f>
        <v>RIKSTOTAL</v>
      </c>
      <c r="H1" s="167"/>
      <c r="I1" s="167"/>
      <c r="J1" s="167"/>
      <c r="K1" s="167"/>
    </row>
    <row r="2" spans="1:11" ht="12.75" customHeight="1">
      <c r="A2" s="2196"/>
      <c r="B2" s="2196"/>
      <c r="C2" s="2196"/>
      <c r="D2" s="2196"/>
      <c r="E2" s="2196"/>
      <c r="F2" s="2196"/>
      <c r="G2" s="2196"/>
      <c r="H2" s="2196"/>
      <c r="I2" s="2196"/>
      <c r="J2" s="2196"/>
      <c r="K2" s="2196"/>
    </row>
    <row r="3" spans="1:11" ht="12.75" customHeight="1" thickBot="1">
      <c r="A3" s="2196"/>
      <c r="B3" s="2196"/>
      <c r="C3" s="2196"/>
      <c r="D3" s="2196"/>
      <c r="E3" s="2196"/>
      <c r="F3" s="2196"/>
      <c r="G3" s="2196"/>
      <c r="H3" s="2196"/>
      <c r="I3" s="2196"/>
      <c r="J3" s="2196"/>
      <c r="K3" s="2196"/>
    </row>
    <row r="4" spans="1:11" ht="12.75" customHeight="1">
      <c r="A4" s="596" t="s">
        <v>615</v>
      </c>
      <c r="B4" s="597"/>
      <c r="C4" s="607" t="s">
        <v>617</v>
      </c>
      <c r="D4" s="608" t="s">
        <v>720</v>
      </c>
      <c r="G4" s="4"/>
      <c r="H4" s="4"/>
      <c r="I4" s="2476" t="s">
        <v>457</v>
      </c>
      <c r="J4" s="2482"/>
      <c r="K4" s="169"/>
    </row>
    <row r="5" spans="1:11" ht="12.75" customHeight="1">
      <c r="A5" s="598" t="s">
        <v>618</v>
      </c>
      <c r="B5" s="599"/>
      <c r="C5" s="609"/>
      <c r="D5" s="610"/>
      <c r="E5" s="2"/>
      <c r="F5" s="4"/>
      <c r="G5" s="4"/>
      <c r="H5" s="4"/>
      <c r="I5" s="613" t="s">
        <v>617</v>
      </c>
      <c r="J5" s="614" t="s">
        <v>720</v>
      </c>
      <c r="K5" s="169"/>
    </row>
    <row r="6" spans="1:11" ht="12.75" customHeight="1">
      <c r="A6" s="598"/>
      <c r="B6" s="600"/>
      <c r="C6" s="599"/>
      <c r="D6" s="611"/>
      <c r="E6" s="2"/>
      <c r="F6" s="4"/>
      <c r="G6" s="4"/>
      <c r="H6" s="4"/>
      <c r="I6" s="615"/>
      <c r="J6" s="616"/>
      <c r="K6" s="169"/>
    </row>
    <row r="7" spans="1:11">
      <c r="A7" s="581" t="s">
        <v>279</v>
      </c>
      <c r="B7" s="601" t="s">
        <v>731</v>
      </c>
      <c r="C7" s="173">
        <v>173010.867</v>
      </c>
      <c r="D7" s="174">
        <v>375446.40500000003</v>
      </c>
      <c r="E7" s="177"/>
      <c r="F7" s="66"/>
      <c r="G7" s="66"/>
      <c r="H7" s="4"/>
      <c r="I7" s="617">
        <f>C7*1000/invanare</f>
        <v>16443.46777225726</v>
      </c>
      <c r="J7" s="618">
        <f t="shared" ref="I7:J12" si="0">D7*1000/invanare</f>
        <v>35683.543859862548</v>
      </c>
      <c r="K7" s="169"/>
    </row>
    <row r="8" spans="1:11">
      <c r="A8" s="579" t="s">
        <v>280</v>
      </c>
      <c r="B8" s="601" t="s">
        <v>732</v>
      </c>
      <c r="C8" s="173">
        <v>781965.41599999997</v>
      </c>
      <c r="D8" s="174">
        <v>924035.64</v>
      </c>
      <c r="E8" s="177"/>
      <c r="F8" s="66"/>
      <c r="G8" s="66"/>
      <c r="H8" s="4"/>
      <c r="I8" s="619">
        <f>C8*1000/invanare*-1</f>
        <v>-74320.320682606252</v>
      </c>
      <c r="J8" s="618">
        <f>D8*1000/invanare*-1</f>
        <v>-87823.097648294599</v>
      </c>
      <c r="K8" s="169"/>
    </row>
    <row r="9" spans="1:11">
      <c r="A9" s="579" t="s">
        <v>281</v>
      </c>
      <c r="B9" s="601" t="s">
        <v>946</v>
      </c>
      <c r="C9" s="65">
        <v>34336.160000000003</v>
      </c>
      <c r="D9" s="175">
        <v>69691.600000000006</v>
      </c>
      <c r="E9" s="177"/>
      <c r="F9" s="66"/>
      <c r="G9" s="66"/>
      <c r="H9" s="4"/>
      <c r="I9" s="617">
        <f>C9*1000/invanare*-1</f>
        <v>-3263.410849117754</v>
      </c>
      <c r="J9" s="618">
        <f>D9*1000/invanare*-1</f>
        <v>-6623.6971033561949</v>
      </c>
      <c r="K9" s="169"/>
    </row>
    <row r="10" spans="1:11" ht="13.5" thickBot="1">
      <c r="A10" s="572" t="s">
        <v>282</v>
      </c>
      <c r="B10" s="602" t="s">
        <v>619</v>
      </c>
      <c r="C10" s="335">
        <f>C7-SUM(C8:C9)</f>
        <v>-643290.70900000003</v>
      </c>
      <c r="D10" s="336">
        <f>D7-SUM(D8:D9)</f>
        <v>-618280.83499999996</v>
      </c>
      <c r="E10" s="178"/>
      <c r="F10" s="66"/>
      <c r="G10" s="66"/>
      <c r="H10" s="4"/>
      <c r="I10" s="620">
        <f t="shared" si="0"/>
        <v>-61140.263759466754</v>
      </c>
      <c r="J10" s="618">
        <f t="shared" si="0"/>
        <v>-58763.250891788244</v>
      </c>
      <c r="K10" s="169"/>
    </row>
    <row r="11" spans="1:11">
      <c r="A11" s="603" t="s">
        <v>283</v>
      </c>
      <c r="B11" s="604" t="s">
        <v>620</v>
      </c>
      <c r="C11" s="96">
        <f>'Skatter, bidrag o fin poster'!D14</f>
        <v>547334.98300000001</v>
      </c>
      <c r="D11" s="1198">
        <f>C11</f>
        <v>547334.98300000001</v>
      </c>
      <c r="E11" s="178"/>
      <c r="F11" s="66"/>
      <c r="G11" s="66"/>
      <c r="H11" s="4"/>
      <c r="I11" s="621">
        <f t="shared" si="0"/>
        <v>52020.345945029418</v>
      </c>
      <c r="J11" s="622">
        <f t="shared" si="0"/>
        <v>52020.345945029418</v>
      </c>
      <c r="K11" s="169"/>
    </row>
    <row r="12" spans="1:11">
      <c r="A12" s="579" t="s">
        <v>284</v>
      </c>
      <c r="B12" s="1976" t="s">
        <v>1034</v>
      </c>
      <c r="C12" s="97">
        <f>'Skatter, bidrag o fin poster'!D28-'Skatter, bidrag o fin poster'!D39+'Skatter, bidrag o fin poster'!D41</f>
        <v>132956.22899999999</v>
      </c>
      <c r="D12" s="1199">
        <f>C12</f>
        <v>132956.22899999999</v>
      </c>
      <c r="E12" s="178"/>
      <c r="F12" s="66"/>
      <c r="G12" s="66"/>
      <c r="H12" s="4"/>
      <c r="I12" s="617">
        <f t="shared" si="0"/>
        <v>12636.55575278029</v>
      </c>
      <c r="J12" s="623">
        <f t="shared" si="0"/>
        <v>12636.55575278029</v>
      </c>
      <c r="K12" s="169"/>
    </row>
    <row r="13" spans="1:11" ht="13.5" thickBot="1">
      <c r="A13" s="583" t="s">
        <v>297</v>
      </c>
      <c r="B13" s="1977" t="s">
        <v>1081</v>
      </c>
      <c r="C13" s="335">
        <f>SUM(C10:C12)</f>
        <v>37000.502999999968</v>
      </c>
      <c r="D13" s="336">
        <f>SUM(D10:D12)</f>
        <v>62010.377000000037</v>
      </c>
      <c r="E13" s="178"/>
      <c r="F13" s="66"/>
      <c r="G13" s="66"/>
      <c r="H13" s="4"/>
      <c r="I13" s="620">
        <f t="shared" ref="I13" si="1">C13*1000/invanare</f>
        <v>3516.6379383429571</v>
      </c>
      <c r="J13" s="627">
        <f t="shared" ref="J13" si="2">D13*1000/invanare</f>
        <v>5893.6508060214701</v>
      </c>
      <c r="K13" s="169"/>
    </row>
    <row r="14" spans="1:11">
      <c r="A14" s="579" t="s">
        <v>285</v>
      </c>
      <c r="B14" s="601" t="s">
        <v>621</v>
      </c>
      <c r="C14" s="173">
        <v>13368.663</v>
      </c>
      <c r="D14" s="1815">
        <v>7786.5889999999999</v>
      </c>
      <c r="E14" s="177"/>
      <c r="F14" s="74"/>
      <c r="G14" s="66"/>
      <c r="H14" s="4"/>
      <c r="I14" s="2483">
        <f>(C14-C15)*1000/invanare</f>
        <v>-277.45164308396971</v>
      </c>
      <c r="J14" s="2485">
        <f>(D14-D15)*1000/invanare</f>
        <v>-1107.2184570419051</v>
      </c>
      <c r="K14" s="169"/>
    </row>
    <row r="15" spans="1:11">
      <c r="A15" s="581" t="s">
        <v>286</v>
      </c>
      <c r="B15" s="605" t="s">
        <v>622</v>
      </c>
      <c r="C15" s="173">
        <v>16287.886</v>
      </c>
      <c r="D15" s="1815">
        <v>19436.25</v>
      </c>
      <c r="E15" s="177"/>
      <c r="F15" s="74"/>
      <c r="G15" s="66"/>
      <c r="H15" s="4"/>
      <c r="I15" s="2484"/>
      <c r="J15" s="2486"/>
      <c r="K15" s="169"/>
    </row>
    <row r="16" spans="1:11" ht="13.5" thickBot="1">
      <c r="A16" s="535" t="s">
        <v>287</v>
      </c>
      <c r="B16" s="606" t="s">
        <v>1035</v>
      </c>
      <c r="C16" s="335">
        <f>SUM(C13:C14)-C15</f>
        <v>34081.27999999997</v>
      </c>
      <c r="D16" s="347">
        <f>SUM(D13:D14)-D15</f>
        <v>50360.716000000044</v>
      </c>
      <c r="E16" s="178"/>
      <c r="G16" s="2196"/>
      <c r="H16" s="4"/>
      <c r="I16" s="620">
        <f>C16*1000/invanare</f>
        <v>3239.1862952589872</v>
      </c>
      <c r="J16" s="627">
        <f>D16*1000/invanare</f>
        <v>4786.4323489795652</v>
      </c>
      <c r="K16" s="169"/>
    </row>
    <row r="17" spans="1:11">
      <c r="A17" s="603" t="s">
        <v>323</v>
      </c>
      <c r="B17" s="604" t="s">
        <v>1036</v>
      </c>
      <c r="C17" s="173">
        <v>-36</v>
      </c>
      <c r="D17" s="1815">
        <v>-62.348999999999997</v>
      </c>
      <c r="E17" s="2196"/>
      <c r="F17" s="169"/>
      <c r="G17" s="2196"/>
      <c r="H17" s="4"/>
      <c r="I17" s="2074">
        <f>(C17)*1000/invanare</f>
        <v>-3.4215471551926346</v>
      </c>
      <c r="J17" s="2075">
        <f>(D17)*1000/invanare</f>
        <v>-5.9258345438640445</v>
      </c>
      <c r="K17" s="169"/>
    </row>
    <row r="18" spans="1:11" ht="13.5" thickBot="1">
      <c r="A18" s="2093" t="s">
        <v>212</v>
      </c>
      <c r="B18" s="1243" t="s">
        <v>623</v>
      </c>
      <c r="C18" s="335">
        <f>SUM(C16:C17)</f>
        <v>34045.27999999997</v>
      </c>
      <c r="D18" s="347">
        <f>SUM(D16:D17)</f>
        <v>50298.367000000042</v>
      </c>
      <c r="E18" s="2196"/>
      <c r="F18" s="169"/>
      <c r="G18" s="2196"/>
      <c r="H18" s="170"/>
      <c r="I18" s="625"/>
      <c r="J18" s="626"/>
      <c r="K18" s="169"/>
    </row>
    <row r="19" spans="1:11" ht="13.5" thickBot="1">
      <c r="A19" s="2091"/>
      <c r="B19" s="2092"/>
      <c r="E19" s="2196"/>
      <c r="F19" s="169"/>
      <c r="G19" s="2196"/>
      <c r="H19" s="4"/>
      <c r="I19" s="620">
        <f>C18*1000/invanare</f>
        <v>3235.7647481037948</v>
      </c>
      <c r="J19" s="627">
        <f>D18*1000/invanare</f>
        <v>4780.5065144357013</v>
      </c>
      <c r="K19" s="169"/>
    </row>
    <row r="20" spans="1:11" ht="15.75" customHeight="1">
      <c r="A20" s="16"/>
      <c r="B20" s="3"/>
      <c r="C20" s="3"/>
      <c r="D20" s="3"/>
      <c r="E20" s="2196"/>
      <c r="F20" s="171"/>
      <c r="G20" s="2196"/>
      <c r="H20" s="4"/>
      <c r="I20" s="4"/>
      <c r="J20" s="4"/>
      <c r="K20" s="169"/>
    </row>
    <row r="21" spans="1:11" ht="15.75" customHeight="1" thickBot="1">
      <c r="A21" s="73" t="s">
        <v>1024</v>
      </c>
      <c r="B21" s="3"/>
      <c r="C21" s="3"/>
      <c r="D21" s="3"/>
      <c r="E21" s="2196"/>
      <c r="F21" s="171"/>
      <c r="G21" s="2196"/>
      <c r="H21" s="4"/>
      <c r="I21" s="4"/>
      <c r="J21" s="4"/>
      <c r="K21" s="169"/>
    </row>
    <row r="22" spans="1:11" ht="15.75" customHeight="1">
      <c r="A22" s="603"/>
      <c r="B22" s="1913"/>
      <c r="C22" s="1914"/>
      <c r="D22" s="3"/>
      <c r="E22" s="2196"/>
      <c r="F22" s="171"/>
      <c r="G22" s="2196"/>
      <c r="H22" s="4"/>
      <c r="I22" s="4"/>
      <c r="J22" s="4"/>
      <c r="K22" s="169"/>
    </row>
    <row r="23" spans="1:11" ht="15.75" customHeight="1">
      <c r="A23" s="581" t="s">
        <v>341</v>
      </c>
      <c r="B23" s="605" t="s">
        <v>1145</v>
      </c>
      <c r="C23" s="1917">
        <v>7094.9979999999996</v>
      </c>
      <c r="D23" s="3"/>
      <c r="E23" s="2196"/>
      <c r="F23" s="171"/>
      <c r="G23" s="2196"/>
      <c r="H23" s="4"/>
      <c r="I23" s="4"/>
      <c r="J23" s="4"/>
      <c r="K23" s="169"/>
    </row>
    <row r="24" spans="1:11" ht="15.75" customHeight="1">
      <c r="A24" s="581" t="s">
        <v>636</v>
      </c>
      <c r="B24" s="605" t="s">
        <v>1146</v>
      </c>
      <c r="C24" s="1917">
        <v>8562.6689999999999</v>
      </c>
      <c r="D24" s="3"/>
      <c r="E24" s="2196"/>
      <c r="F24" s="171"/>
      <c r="G24" s="2196"/>
      <c r="H24" s="4"/>
      <c r="I24" s="4"/>
      <c r="J24" s="4"/>
      <c r="K24" s="169"/>
    </row>
    <row r="25" spans="1:11" ht="15.75" customHeight="1">
      <c r="A25" s="581" t="s">
        <v>1025</v>
      </c>
      <c r="B25" s="605" t="s">
        <v>1147</v>
      </c>
      <c r="C25" s="1917">
        <v>240.91499999999999</v>
      </c>
      <c r="D25" s="3"/>
      <c r="E25" s="2196"/>
      <c r="F25" s="171"/>
      <c r="G25" s="2196"/>
      <c r="H25" s="4"/>
      <c r="I25" s="4"/>
      <c r="J25" s="4"/>
      <c r="K25" s="169"/>
    </row>
    <row r="26" spans="1:11" ht="15.75" customHeight="1">
      <c r="A26" s="581" t="s">
        <v>1026</v>
      </c>
      <c r="B26" s="605" t="s">
        <v>1149</v>
      </c>
      <c r="C26" s="1917">
        <v>1079.7840000000001</v>
      </c>
      <c r="D26" s="3"/>
      <c r="E26" s="2196"/>
      <c r="F26" s="171"/>
      <c r="G26" s="2196"/>
      <c r="H26" s="4"/>
      <c r="I26" s="4"/>
      <c r="J26" s="4"/>
      <c r="K26" s="169"/>
    </row>
    <row r="27" spans="1:11" ht="15.75" customHeight="1" thickBot="1">
      <c r="A27" s="583" t="s">
        <v>1027</v>
      </c>
      <c r="B27" s="2154" t="s">
        <v>1148</v>
      </c>
      <c r="C27" s="1918">
        <v>2970.893</v>
      </c>
      <c r="D27" s="3"/>
      <c r="E27" s="2196"/>
      <c r="F27" s="171"/>
      <c r="G27" s="2196"/>
      <c r="H27" s="4"/>
      <c r="I27" s="4"/>
      <c r="J27" s="4"/>
      <c r="K27" s="169"/>
    </row>
    <row r="28" spans="1:11" ht="15.75" customHeight="1" thickBot="1">
      <c r="A28" s="16"/>
      <c r="B28" s="3"/>
      <c r="C28" s="3"/>
      <c r="D28" s="3"/>
      <c r="E28" s="2"/>
      <c r="F28" s="171"/>
      <c r="G28" s="2196"/>
      <c r="H28" s="4"/>
      <c r="I28" s="4"/>
      <c r="J28" s="4"/>
      <c r="K28" s="169"/>
    </row>
    <row r="29" spans="1:11" ht="18" customHeight="1" thickBot="1">
      <c r="A29" s="73" t="s">
        <v>146</v>
      </c>
      <c r="B29" s="4"/>
      <c r="C29" s="4"/>
      <c r="D29" s="4"/>
      <c r="E29" s="4"/>
      <c r="F29" s="4"/>
      <c r="G29" s="2196"/>
      <c r="H29" s="4"/>
      <c r="I29" s="628" t="s">
        <v>457</v>
      </c>
      <c r="J29" s="172"/>
      <c r="K29" s="169"/>
    </row>
    <row r="30" spans="1:11">
      <c r="A30" s="122">
        <v>130</v>
      </c>
      <c r="B30" s="1438" t="s">
        <v>147</v>
      </c>
      <c r="C30" s="337">
        <f>C18</f>
        <v>34045.27999999997</v>
      </c>
      <c r="D30" s="4"/>
      <c r="E30" s="4"/>
      <c r="F30" s="4"/>
      <c r="G30" s="2196"/>
      <c r="H30" s="4"/>
      <c r="I30" s="629">
        <f>C30*1000/invanare</f>
        <v>3235.7647481037948</v>
      </c>
      <c r="J30" s="170"/>
      <c r="K30" s="169"/>
    </row>
    <row r="31" spans="1:11">
      <c r="A31" s="123">
        <v>131</v>
      </c>
      <c r="B31" s="612" t="str">
        <f>"- reducering av samtliga realisationsvinster"</f>
        <v>- reducering av samtliga realisationsvinster</v>
      </c>
      <c r="C31" s="98">
        <v>3758.625</v>
      </c>
      <c r="D31" s="177"/>
      <c r="E31" s="4"/>
      <c r="F31" s="4"/>
      <c r="G31" s="2196"/>
      <c r="H31" s="4"/>
      <c r="I31" s="630"/>
      <c r="J31" s="170"/>
      <c r="K31" s="169"/>
    </row>
    <row r="32" spans="1:11">
      <c r="A32" s="123">
        <v>132</v>
      </c>
      <c r="B32" s="612" t="str">
        <f>"+ justering för realisationsvinster enl. undantagsmöjlighet"</f>
        <v>+ justering för realisationsvinster enl. undantagsmöjlighet</v>
      </c>
      <c r="C32" s="98">
        <v>38.786000000000001</v>
      </c>
      <c r="D32" s="177"/>
      <c r="E32" s="4"/>
      <c r="G32" s="2196"/>
      <c r="H32" s="4"/>
      <c r="I32" s="632"/>
      <c r="J32" s="170"/>
      <c r="K32" s="169"/>
    </row>
    <row r="33" spans="1:11">
      <c r="A33" s="123">
        <v>135</v>
      </c>
      <c r="B33" s="612" t="str">
        <f>"+ justering av realisationsförluster enl. undantagsmöjlighet"</f>
        <v>+ justering av realisationsförluster enl. undantagsmöjlighet</v>
      </c>
      <c r="C33" s="176">
        <v>71.456999999999994</v>
      </c>
      <c r="D33" s="177"/>
      <c r="E33" s="4"/>
      <c r="F33" s="4"/>
      <c r="G33" s="2196"/>
      <c r="H33" s="4"/>
      <c r="I33" s="1250"/>
      <c r="J33" s="170"/>
      <c r="K33" s="169"/>
    </row>
    <row r="34" spans="1:11" ht="13.5" customHeight="1">
      <c r="A34" s="2082">
        <v>136</v>
      </c>
      <c r="B34" s="612" t="str">
        <f>"+/- orealiserade vinster och förluster i värdepapper"</f>
        <v>+/- orealiserade vinster och förluster i värdepapper</v>
      </c>
      <c r="C34" s="176">
        <v>5265.3630000000003</v>
      </c>
      <c r="D34" s="177"/>
      <c r="E34" s="4"/>
      <c r="F34" s="4"/>
      <c r="G34" s="2196"/>
      <c r="H34" s="4"/>
      <c r="I34" s="632"/>
      <c r="J34" s="170"/>
      <c r="K34" s="169"/>
    </row>
    <row r="35" spans="1:11" ht="12.75" customHeight="1">
      <c r="A35" s="556">
        <v>140</v>
      </c>
      <c r="B35" s="605" t="str">
        <f>"-/+ återföring av orealiserade vinster och förluster i värdepapper"</f>
        <v>-/+ återföring av orealiserade vinster och förluster i värdepapper</v>
      </c>
      <c r="C35" s="176">
        <v>1106.5329999999999</v>
      </c>
      <c r="D35" s="177"/>
      <c r="E35" s="4"/>
      <c r="F35" s="4"/>
      <c r="H35" s="4"/>
      <c r="I35" s="632"/>
      <c r="J35" s="4"/>
      <c r="K35" s="169"/>
    </row>
    <row r="36" spans="1:11" ht="12.75" customHeight="1">
      <c r="A36" s="1380">
        <v>141</v>
      </c>
      <c r="B36" s="1243" t="str">
        <f xml:space="preserve"> " = Årets resultat efter balanskravsjusteringar"</f>
        <v xml:space="preserve"> = Årets resultat efter balanskravsjusteringar</v>
      </c>
      <c r="C36" s="338">
        <f>C30-C31+C32+C33+C34+C35</f>
        <v>36768.793999999973</v>
      </c>
      <c r="D36" s="177"/>
      <c r="E36" s="4"/>
      <c r="F36" s="4"/>
      <c r="G36" s="1215"/>
      <c r="H36" s="4"/>
      <c r="I36" s="632"/>
      <c r="J36" s="4"/>
      <c r="K36" s="169"/>
    </row>
    <row r="37" spans="1:11" ht="13.5" customHeight="1">
      <c r="A37" s="568">
        <v>142</v>
      </c>
      <c r="B37" s="601" t="str">
        <f>"- reservering av medel till resultatutjämningsreserv"</f>
        <v>- reservering av medel till resultatutjämningsreserv</v>
      </c>
      <c r="C37" s="176">
        <v>7480.8540000000003</v>
      </c>
      <c r="D37" s="177"/>
      <c r="E37" s="4"/>
      <c r="F37" s="4"/>
      <c r="G37" s="1215"/>
      <c r="H37" s="4"/>
      <c r="I37" s="632"/>
      <c r="J37" s="4"/>
      <c r="K37" s="169"/>
    </row>
    <row r="38" spans="1:11" ht="12.75" customHeight="1">
      <c r="A38" s="556">
        <v>143</v>
      </c>
      <c r="B38" s="605" t="str">
        <f>"+ användning av medel från resultatutjämninsreserv"</f>
        <v>+ användning av medel från resultatutjämninsreserv</v>
      </c>
      <c r="C38" s="176">
        <v>2.508</v>
      </c>
      <c r="D38" s="177"/>
      <c r="E38" s="4"/>
      <c r="F38" s="4"/>
      <c r="G38" s="1215"/>
      <c r="H38" s="4"/>
      <c r="I38" s="632"/>
      <c r="J38" s="4"/>
      <c r="K38" s="169"/>
    </row>
    <row r="39" spans="1:11" ht="12.75" customHeight="1">
      <c r="A39" s="124">
        <v>133</v>
      </c>
      <c r="B39" s="1243" t="str">
        <f>"= Balanskravsresultat"</f>
        <v>= Balanskravsresultat</v>
      </c>
      <c r="C39" s="338">
        <f>C36-C37+C38</f>
        <v>29290.447999999975</v>
      </c>
      <c r="D39" s="177"/>
      <c r="E39" s="4"/>
      <c r="F39" s="4"/>
      <c r="G39" s="1216"/>
      <c r="H39" s="4"/>
      <c r="I39" s="1655">
        <f>C39*1000/invanare</f>
        <v>2783.8513619088253</v>
      </c>
      <c r="J39" s="4"/>
      <c r="K39" s="169"/>
    </row>
    <row r="40" spans="1:11" ht="33" customHeight="1">
      <c r="A40" s="1591"/>
      <c r="B40" s="1592" t="s">
        <v>933</v>
      </c>
      <c r="C40" s="724"/>
      <c r="D40" s="4"/>
      <c r="E40" s="4"/>
      <c r="F40" s="4"/>
      <c r="G40" s="1216"/>
      <c r="H40" s="4"/>
      <c r="I40" s="632"/>
      <c r="J40" s="4"/>
      <c r="K40" s="169"/>
    </row>
    <row r="41" spans="1:11" ht="12.75" customHeight="1">
      <c r="A41" s="1465">
        <v>144</v>
      </c>
      <c r="B41" s="1439" t="s">
        <v>934</v>
      </c>
      <c r="C41" s="1440">
        <v>314.10300000000001</v>
      </c>
      <c r="D41" s="4"/>
      <c r="E41" s="4"/>
      <c r="F41" s="4"/>
      <c r="G41" s="1216"/>
      <c r="H41" s="4"/>
      <c r="I41" s="632"/>
      <c r="J41" s="4"/>
      <c r="K41" s="169"/>
    </row>
    <row r="42" spans="1:11" ht="12.75" customHeight="1">
      <c r="A42" s="556">
        <v>145</v>
      </c>
      <c r="B42" s="1441" t="s">
        <v>935</v>
      </c>
      <c r="C42" s="176">
        <v>166.429</v>
      </c>
      <c r="D42" s="177"/>
      <c r="E42" s="4"/>
      <c r="F42" s="4"/>
      <c r="G42" s="1216"/>
      <c r="H42" s="4"/>
      <c r="I42" s="631"/>
      <c r="J42" s="4"/>
      <c r="K42" s="169"/>
    </row>
    <row r="43" spans="1:11" ht="13.5" customHeight="1" thickBot="1">
      <c r="A43" s="565">
        <v>146</v>
      </c>
      <c r="B43" s="1442" t="str">
        <f>"= Resultat efter synnerliga skäl m.m."</f>
        <v>= Resultat efter synnerliga skäl m.m.</v>
      </c>
      <c r="C43" s="336">
        <f>C39-C41+C42</f>
        <v>29142.773999999976</v>
      </c>
      <c r="D43" s="1224"/>
      <c r="E43" s="4"/>
      <c r="F43" s="4"/>
      <c r="G43" s="1216"/>
      <c r="H43" s="4"/>
      <c r="I43" s="633">
        <f>C43*1000/invanare</f>
        <v>2769.8159853922725</v>
      </c>
      <c r="J43" s="4"/>
      <c r="K43" s="169"/>
    </row>
    <row r="44" spans="1:11" ht="21.75" customHeight="1" thickBot="1">
      <c r="A44" s="1483">
        <v>137</v>
      </c>
      <c r="B44" s="1444" t="s">
        <v>936</v>
      </c>
      <c r="C44" s="1443">
        <v>71.66</v>
      </c>
      <c r="D44" s="1351"/>
      <c r="E44" s="4"/>
      <c r="F44" s="4"/>
      <c r="G44" s="4"/>
      <c r="H44" s="4"/>
      <c r="I44" s="4"/>
      <c r="J44" s="4"/>
      <c r="K44" s="169"/>
    </row>
    <row r="45" spans="1:11" ht="12.75" customHeight="1">
      <c r="A45" s="169"/>
      <c r="B45" s="169"/>
      <c r="C45" s="169"/>
      <c r="D45" s="4"/>
      <c r="E45" s="4"/>
      <c r="F45" s="4"/>
      <c r="G45" s="634" t="s">
        <v>515</v>
      </c>
      <c r="H45" s="635"/>
      <c r="I45" s="2476" t="s">
        <v>142</v>
      </c>
      <c r="J45" s="2477"/>
      <c r="K45" s="169"/>
    </row>
    <row r="46" spans="1:11" ht="21.75" customHeight="1">
      <c r="A46" s="169"/>
      <c r="B46" s="169"/>
      <c r="C46" s="169"/>
      <c r="D46" s="4"/>
      <c r="E46" s="4"/>
      <c r="F46" s="169"/>
      <c r="G46" s="636"/>
      <c r="H46" s="637"/>
      <c r="I46" s="638" t="s">
        <v>617</v>
      </c>
      <c r="J46" s="639" t="s">
        <v>720</v>
      </c>
      <c r="K46" s="169"/>
    </row>
    <row r="47" spans="1:11" ht="19.5" customHeight="1">
      <c r="A47" s="169"/>
      <c r="B47" s="169"/>
      <c r="C47" s="169"/>
      <c r="D47" s="169"/>
      <c r="E47" s="169"/>
      <c r="F47" s="169"/>
      <c r="G47" s="2478" t="s">
        <v>1197</v>
      </c>
      <c r="H47" s="2479"/>
      <c r="I47" s="617">
        <f>IF(ISERROR(C10*100/SUM(C11:C12)*-1),0,C10*100/SUM(C11:C12)*-1)</f>
        <v>94.561078792827331</v>
      </c>
      <c r="J47" s="640">
        <f>IF(ISERROR(D10*100/SUM(D11:D12)*-1),0,D10*100/SUM(D11:D12)*-1)</f>
        <v>90.884730552715112</v>
      </c>
      <c r="K47" s="169"/>
    </row>
    <row r="48" spans="1:11" ht="15" customHeight="1">
      <c r="A48" s="4"/>
      <c r="B48" s="4"/>
      <c r="C48" s="4"/>
      <c r="D48" s="169"/>
      <c r="E48" s="169"/>
      <c r="F48" s="169"/>
      <c r="G48" s="641" t="s">
        <v>1198</v>
      </c>
      <c r="H48" s="642"/>
      <c r="I48" s="619">
        <f>IF(ISERROR((C14-C15)*100/SUM(C11:C12)),0,(C14-C15)*100/SUM(C11:C12))</f>
        <v>-0.42911373078269305</v>
      </c>
      <c r="J48" s="640">
        <f>IF(ISERROR((D14-D15)*100/SUM(D11:D12)),0,(D14-D15)*100/SUM(D11:D12))</f>
        <v>-1.7124520785372133</v>
      </c>
      <c r="K48" s="169"/>
    </row>
    <row r="49" spans="1:11" ht="19.5" customHeight="1">
      <c r="A49" s="4"/>
      <c r="B49" s="4"/>
      <c r="C49" s="4"/>
      <c r="D49" s="169"/>
      <c r="E49" s="169"/>
      <c r="F49" s="169"/>
      <c r="G49" s="2480" t="s">
        <v>1199</v>
      </c>
      <c r="H49" s="2481"/>
      <c r="I49" s="619">
        <f>IF(ISERROR(C16*100/SUM(C11:C12)),0,C16*100/SUM(C11:C12))</f>
        <v>5.009807476389974</v>
      </c>
      <c r="J49" s="640">
        <f>IF(ISERROR(D16*100/SUM(D11:D12)),0,D16*100/SUM(D11:D12))</f>
        <v>7.4028173687476704</v>
      </c>
      <c r="K49" s="169"/>
    </row>
    <row r="50" spans="1:11" ht="19.5" customHeight="1">
      <c r="A50" s="169"/>
      <c r="B50" s="169"/>
      <c r="C50" s="169"/>
      <c r="D50" s="169"/>
      <c r="E50" s="169"/>
      <c r="F50" s="169"/>
      <c r="G50" s="641" t="s">
        <v>1200</v>
      </c>
      <c r="H50" s="642"/>
      <c r="I50" s="619">
        <f>IF(ISERROR(C18*100/SUM(C11:C12)),0,C18*100/SUM(C11:C12))</f>
        <v>5.0045156249938403</v>
      </c>
      <c r="J50" s="640">
        <f>IF(ISERROR(D18*100/SUM(D11:D12)),0,D18*100/SUM(D11:D12))</f>
        <v>7.3936523231171822</v>
      </c>
      <c r="K50" s="169"/>
    </row>
    <row r="51" spans="1:11" ht="13.5" customHeight="1">
      <c r="A51" s="169"/>
      <c r="B51" s="169"/>
      <c r="C51" s="169"/>
      <c r="D51" s="169"/>
      <c r="E51" s="169"/>
      <c r="F51" s="169"/>
      <c r="G51" s="643" t="s">
        <v>524</v>
      </c>
      <c r="H51" s="2058"/>
      <c r="I51" s="619">
        <f>IF(C8&gt;0,C7*100/(C8+C9),0)</f>
        <v>21.194479110009706</v>
      </c>
      <c r="J51" s="640">
        <f>IF(D8&gt;0,D7*100/(D8+D9),0)</f>
        <v>37.781635632731572</v>
      </c>
      <c r="K51" s="169"/>
    </row>
    <row r="52" spans="1:11" ht="14.25" customHeight="1">
      <c r="A52" s="169"/>
      <c r="B52" s="169"/>
      <c r="C52" s="169"/>
      <c r="D52" s="169"/>
      <c r="E52" s="169"/>
      <c r="F52" s="169"/>
      <c r="G52" s="643" t="s">
        <v>725</v>
      </c>
      <c r="H52" s="644"/>
      <c r="I52" s="619">
        <f>IF(ISERROR((Investeringar!C7+Investeringar!D7+Investeringar!E7-Investeringar!C78)*100/SUM(C11:C12)),0,(Investeringar!C7+Investeringar!D7+Investeringar!E7-Investeringar!C78)*100/SUM(C11:C12))</f>
        <v>11.989119594859622</v>
      </c>
      <c r="J52" s="645"/>
      <c r="K52" s="169"/>
    </row>
    <row r="53" spans="1:11" ht="12.75" customHeight="1">
      <c r="A53" s="169"/>
      <c r="B53" s="169"/>
      <c r="C53" s="169"/>
      <c r="D53" s="169"/>
      <c r="E53" s="169"/>
      <c r="F53" s="169"/>
      <c r="G53" s="643" t="s">
        <v>516</v>
      </c>
      <c r="H53" s="644"/>
      <c r="I53" s="619">
        <f>IF(ISERROR((Investeringar!C8+Investeringar!D8+Investeringar!E8)*100/SUM(C11:C12)*-1),0,(Investeringar!C8+Investeringar!D8+Investeringar!E8)*100/SUM(C11:C12)*-1)</f>
        <v>1.0068058912394124</v>
      </c>
      <c r="J53" s="646"/>
      <c r="K53" s="169"/>
    </row>
    <row r="54" spans="1:11" ht="12.75" customHeight="1">
      <c r="A54" s="169"/>
      <c r="B54" s="169"/>
      <c r="C54" s="169"/>
      <c r="D54" s="169"/>
      <c r="E54" s="169"/>
      <c r="F54" s="169"/>
      <c r="G54" s="643" t="s">
        <v>517</v>
      </c>
      <c r="H54" s="644"/>
      <c r="I54" s="619">
        <f>IF(ISERROR(SUM(Investeringar!C8:E8)/(Investeringar!C66)*-1),0,(SUM(Investeringar!C8:E8)/(Investeringar!C66)*-1)*100)</f>
        <v>8.2156343300160266</v>
      </c>
      <c r="J54" s="646"/>
      <c r="K54" s="169"/>
    </row>
    <row r="55" spans="1:11" ht="12.75" customHeight="1" thickBot="1">
      <c r="A55" s="169"/>
      <c r="B55" s="169"/>
      <c r="C55" s="169"/>
      <c r="D55" s="169"/>
      <c r="E55" s="169"/>
      <c r="F55" s="169"/>
      <c r="G55" s="647" t="s">
        <v>1072</v>
      </c>
      <c r="H55" s="2059"/>
      <c r="I55" s="648">
        <f>IF(ISERROR(BR!D31*100/RR!C8),0,BR!D31*100/RR!C8)</f>
        <v>6.0452700378759472</v>
      </c>
      <c r="J55" s="649"/>
      <c r="K55" s="169"/>
    </row>
    <row r="56" spans="1:11" ht="12.75" customHeight="1">
      <c r="A56" s="169"/>
      <c r="B56" s="169"/>
      <c r="C56" s="169"/>
      <c r="D56" s="169"/>
      <c r="E56" s="169"/>
      <c r="F56" s="169"/>
      <c r="G56" s="145"/>
      <c r="H56" s="1247"/>
      <c r="I56" s="1248"/>
      <c r="J56" s="1249"/>
      <c r="K56" s="197"/>
    </row>
    <row r="57" spans="1:11" ht="12.75" customHeight="1">
      <c r="A57" s="169"/>
      <c r="B57" s="169"/>
      <c r="C57" s="169"/>
      <c r="D57" s="169"/>
      <c r="E57" s="169"/>
      <c r="F57" s="169"/>
      <c r="G57" s="145"/>
      <c r="H57" s="1247"/>
      <c r="I57" s="1248"/>
      <c r="J57" s="1249"/>
      <c r="K57" s="197"/>
    </row>
    <row r="58" spans="1:11" ht="19.5" customHeight="1">
      <c r="A58" s="169"/>
      <c r="B58" s="169"/>
      <c r="C58" s="169"/>
      <c r="D58" s="169"/>
      <c r="E58" s="169"/>
      <c r="F58" s="169"/>
      <c r="G58" s="145"/>
      <c r="H58" s="1247"/>
      <c r="I58" s="1248"/>
      <c r="J58" s="1249"/>
      <c r="K58" s="197"/>
    </row>
    <row r="59" spans="1:11">
      <c r="A59" s="169"/>
      <c r="B59" s="169"/>
      <c r="C59" s="169"/>
      <c r="D59" s="169"/>
      <c r="E59" s="169"/>
      <c r="F59" s="169"/>
      <c r="G59" s="145"/>
      <c r="H59" s="1247"/>
      <c r="I59" s="1248"/>
      <c r="J59" s="1249"/>
      <c r="K59" s="169"/>
    </row>
    <row r="60" spans="1:11" hidden="1">
      <c r="A60" s="169"/>
      <c r="B60" s="169"/>
      <c r="C60" s="169"/>
      <c r="G60" s="819"/>
      <c r="H60" s="1244"/>
      <c r="I60" s="1245"/>
      <c r="J60" s="1246"/>
      <c r="K60" s="169"/>
    </row>
    <row r="61" spans="1:11" hidden="1">
      <c r="A61" s="169"/>
      <c r="B61" s="169"/>
      <c r="C61" s="169"/>
      <c r="G61" s="169"/>
      <c r="H61" s="169"/>
      <c r="I61" s="169"/>
      <c r="J61" s="169"/>
      <c r="K61" s="169"/>
    </row>
    <row r="62" spans="1:11" hidden="1">
      <c r="A62" s="169"/>
      <c r="B62" s="169"/>
      <c r="C62" s="169"/>
    </row>
    <row r="63" spans="1:11" hidden="1"/>
    <row r="64" spans="1:11" hidden="1"/>
    <row r="65" hidden="1"/>
    <row r="66" hidden="1"/>
    <row r="67" hidden="1"/>
    <row r="68" hidden="1"/>
    <row r="69" hidden="1"/>
    <row r="70" hidden="1"/>
    <row r="71" hidden="1"/>
    <row r="72" hidden="1"/>
    <row r="73" hidden="1"/>
    <row r="74" ht="12.75" customHeight="1"/>
  </sheetData>
  <sheetProtection algorithmName="SHA-512" hashValue="AIdR8f0fQvQN6ncJgVuj30bneKuj9nZiruD9PKYR3oCA9UJ1a3NQ75P+SWilWz5hClDpACi+PmogCZQU4vKb0g==" saltValue="FILE188GHEoMPB8wV9VJ/w==" spinCount="100000" sheet="1" objects="1" scenarios="1"/>
  <mergeCells count="6">
    <mergeCell ref="I45:J45"/>
    <mergeCell ref="G47:H47"/>
    <mergeCell ref="G49:H49"/>
    <mergeCell ref="I4:J4"/>
    <mergeCell ref="I14:I15"/>
    <mergeCell ref="J14:J15"/>
  </mergeCells>
  <conditionalFormatting sqref="C38">
    <cfRule type="cellIs" dxfId="166" priority="2" stopIfTrue="1" operator="lessThan">
      <formula>-5</formula>
    </cfRule>
  </conditionalFormatting>
  <dataValidations count="10">
    <dataValidation type="decimal" operator="greaterThanOrEqual" allowBlank="1" showInputMessage="1" showErrorMessage="1" error="Belopp anges utan minustecken" sqref="C23: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43:C44"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 xr:uid="{00000000-0002-0000-0100-000007000000}">
      <formula1>0</formula1>
      <formula2>99999999</formula2>
    </dataValidation>
    <dataValidation type="decimal" allowBlank="1" showInputMessage="1" showErrorMessage="1" error="Beloppet ska vara i 1000 tal kronor_x000a_Inget minustecken ska anges." sqref="C38" xr:uid="{00000000-0002-0000-0100-000008000000}">
      <formula1>0</formula1>
      <formula2>99999999</formula2>
    </dataValidation>
    <dataValidation type="decimal" allowBlank="1" showInputMessage="1" showErrorMessage="1" error="Beloppet ska vara i 1000 tal kronor_x000a_Inget minustecken anges." sqref="C41:C42" xr:uid="{00000000-0002-0000-0100-000009000000}">
      <formula1>0</formula1>
      <formula2>99999999</formula2>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16"/>
  <sheetViews>
    <sheetView showGridLines="0" zoomScaleNormal="100" workbookViewId="0">
      <pane ySplit="1" topLeftCell="A2" activePane="bottomLeft" state="frozen"/>
      <selection sqref="A1:F1"/>
      <selection pane="bottomLeft" sqref="A1:F1"/>
    </sheetView>
  </sheetViews>
  <sheetFormatPr defaultColWidth="0" defaultRowHeight="12.75" zeroHeight="1"/>
  <cols>
    <col min="1" max="1" width="4" style="142" customWidth="1"/>
    <col min="2" max="2" width="10.7109375" style="142" customWidth="1"/>
    <col min="3" max="3" width="36.140625" style="142" customWidth="1"/>
    <col min="4" max="4" width="10.5703125" style="142" customWidth="1"/>
    <col min="5" max="5" width="10.28515625" style="142" customWidth="1"/>
    <col min="6" max="6" width="23" style="168" customWidth="1"/>
    <col min="7" max="7" width="4.7109375" style="168" customWidth="1"/>
    <col min="8" max="8" width="7.42578125" style="168" customWidth="1"/>
    <col min="9" max="9" width="31.5703125" style="168" customWidth="1"/>
    <col min="10" max="10" width="11.42578125" style="168" customWidth="1"/>
    <col min="11" max="11" width="12.42578125" style="168" customWidth="1"/>
    <col min="12" max="12" width="32" style="168" customWidth="1"/>
    <col min="13" max="14" width="9.7109375" style="168" customWidth="1"/>
    <col min="15" max="15" width="2.28515625" style="168" customWidth="1"/>
    <col min="16" max="16" width="6" style="168" customWidth="1"/>
    <col min="17" max="17" width="10.5703125" style="142" customWidth="1"/>
    <col min="18" max="18" width="3.7109375" style="142" customWidth="1"/>
    <col min="19" max="20" width="6" style="168" customWidth="1"/>
    <col min="21" max="21" width="0" hidden="1" customWidth="1"/>
    <col min="22" max="16384" width="0" style="168" hidden="1"/>
  </cols>
  <sheetData>
    <row r="1" spans="1:20" ht="20.25">
      <c r="A1" s="89" t="str">
        <f>"Balansräkning "&amp;År&amp;", miljoner kr"</f>
        <v>Balansräkning 2022, miljoner kr</v>
      </c>
      <c r="B1" s="90"/>
      <c r="C1" s="90"/>
      <c r="D1" s="91"/>
      <c r="E1" s="510" t="s">
        <v>453</v>
      </c>
      <c r="F1" s="511" t="str">
        <f>Information!A2</f>
        <v>RIKSTOTAL</v>
      </c>
      <c r="G1" s="511"/>
      <c r="H1" s="511"/>
      <c r="I1" s="511"/>
      <c r="J1" s="167"/>
      <c r="K1" s="167"/>
      <c r="L1" s="167"/>
      <c r="M1" s="167"/>
      <c r="N1" s="167"/>
      <c r="O1" s="192"/>
      <c r="P1" s="192"/>
      <c r="Q1" s="1491"/>
      <c r="R1" s="1491"/>
      <c r="S1" s="192"/>
      <c r="T1" s="167"/>
    </row>
    <row r="2" spans="1:20" ht="12.75" customHeight="1">
      <c r="A2" s="2196"/>
      <c r="B2" s="2196"/>
      <c r="C2" s="2196"/>
      <c r="D2" s="2196"/>
      <c r="E2" s="2196"/>
      <c r="F2" s="2196"/>
      <c r="G2" s="2196"/>
      <c r="H2" s="2196"/>
      <c r="I2" s="2196"/>
      <c r="J2" s="2196"/>
      <c r="K2" s="2196"/>
      <c r="L2" s="2196"/>
      <c r="M2" s="2196"/>
      <c r="N2" s="2196"/>
      <c r="O2" s="2196"/>
      <c r="P2" s="2196"/>
      <c r="Q2" s="2196"/>
      <c r="R2" s="2196"/>
      <c r="S2" s="2196"/>
      <c r="T2" s="2196"/>
    </row>
    <row r="3" spans="1:20" ht="12.75" customHeight="1" thickBot="1">
      <c r="A3" s="2196"/>
      <c r="B3" s="2196"/>
      <c r="C3" s="2196"/>
      <c r="D3" s="2196"/>
      <c r="E3" s="2196"/>
      <c r="F3" s="2196"/>
      <c r="G3" s="2196"/>
      <c r="H3" s="2196"/>
      <c r="I3" s="2196"/>
      <c r="J3" s="2196"/>
      <c r="K3" s="2196"/>
      <c r="L3" s="2196"/>
      <c r="M3" s="2196"/>
      <c r="N3" s="2196"/>
      <c r="O3" s="2196"/>
      <c r="P3" s="2196"/>
      <c r="Q3" s="2196"/>
      <c r="R3" s="2196"/>
      <c r="S3" s="2196"/>
      <c r="T3" s="2196"/>
    </row>
    <row r="4" spans="1:20" s="180" customFormat="1">
      <c r="A4" s="650" t="s">
        <v>624</v>
      </c>
      <c r="B4" s="2156" t="s">
        <v>1138</v>
      </c>
      <c r="C4" s="651" t="s">
        <v>722</v>
      </c>
      <c r="D4" s="669" t="s">
        <v>617</v>
      </c>
      <c r="E4" s="670" t="s">
        <v>720</v>
      </c>
      <c r="H4" s="179"/>
      <c r="I4" s="179"/>
      <c r="J4" s="179"/>
      <c r="K4" s="179"/>
      <c r="L4" s="179"/>
      <c r="M4" s="2476" t="s">
        <v>457</v>
      </c>
      <c r="N4" s="2489"/>
      <c r="O4" s="1303"/>
      <c r="P4" s="1239"/>
      <c r="Q4" s="1492"/>
      <c r="R4" s="1302"/>
      <c r="S4" s="1240"/>
      <c r="T4" s="1240"/>
    </row>
    <row r="5" spans="1:20" s="180" customFormat="1" ht="32.25" customHeight="1">
      <c r="A5" s="1489" t="s">
        <v>618</v>
      </c>
      <c r="B5" s="2487"/>
      <c r="C5" s="653"/>
      <c r="D5" s="671"/>
      <c r="E5" s="672"/>
      <c r="F5" s="179"/>
      <c r="G5" s="179"/>
      <c r="H5" s="179"/>
      <c r="I5" s="179"/>
      <c r="J5" s="179"/>
      <c r="K5" s="179"/>
      <c r="L5" s="179"/>
      <c r="M5" s="680" t="s">
        <v>617</v>
      </c>
      <c r="N5" s="681" t="s">
        <v>720</v>
      </c>
      <c r="O5" s="1303"/>
      <c r="P5" s="1239"/>
      <c r="Q5" s="1240"/>
      <c r="R5" s="1240"/>
      <c r="S5" s="2497"/>
      <c r="T5" s="2495"/>
    </row>
    <row r="6" spans="1:20" ht="15">
      <c r="A6" s="654"/>
      <c r="B6" s="2488"/>
      <c r="C6" s="655"/>
      <c r="D6" s="673"/>
      <c r="E6" s="674"/>
      <c r="F6" s="4"/>
      <c r="G6" s="4"/>
      <c r="H6" s="4"/>
      <c r="I6" s="4"/>
      <c r="J6" s="4"/>
      <c r="K6" s="4"/>
      <c r="L6" s="4"/>
      <c r="M6" s="682"/>
      <c r="N6" s="683"/>
      <c r="O6" s="1304"/>
      <c r="P6" s="1239"/>
      <c r="Q6" s="1311"/>
      <c r="R6" s="1311"/>
      <c r="S6" s="2497"/>
      <c r="T6" s="2496"/>
    </row>
    <row r="7" spans="1:20" ht="15">
      <c r="A7" s="656"/>
      <c r="B7" s="657"/>
      <c r="C7" s="658" t="s">
        <v>625</v>
      </c>
      <c r="D7" s="675"/>
      <c r="E7" s="676"/>
      <c r="F7" s="68"/>
      <c r="G7" s="4"/>
      <c r="H7" s="4"/>
      <c r="I7" s="4"/>
      <c r="J7" s="4"/>
      <c r="K7" s="4"/>
      <c r="L7" s="4"/>
      <c r="M7" s="684"/>
      <c r="N7" s="685"/>
      <c r="O7" s="71"/>
      <c r="P7" s="237"/>
      <c r="Q7" s="1493"/>
      <c r="R7" s="237"/>
    </row>
    <row r="8" spans="1:20" ht="7.5" customHeight="1">
      <c r="A8" s="656"/>
      <c r="B8" s="657"/>
      <c r="C8" s="659"/>
      <c r="D8" s="677"/>
      <c r="E8" s="678"/>
      <c r="F8" s="68"/>
      <c r="G8" s="4"/>
      <c r="H8" s="4"/>
      <c r="I8" s="4"/>
      <c r="J8" s="4"/>
      <c r="K8" s="4"/>
      <c r="L8" s="4"/>
      <c r="M8" s="684"/>
      <c r="N8" s="685"/>
      <c r="O8" s="71"/>
      <c r="P8" s="237"/>
      <c r="Q8" s="1493"/>
      <c r="R8" s="237"/>
    </row>
    <row r="9" spans="1:20" ht="14.65" customHeight="1">
      <c r="A9" s="2034" t="s">
        <v>288</v>
      </c>
      <c r="B9" s="660">
        <v>10</v>
      </c>
      <c r="C9" s="661" t="s">
        <v>626</v>
      </c>
      <c r="D9" s="184">
        <v>635.13800000000003</v>
      </c>
      <c r="E9" s="438">
        <v>2936.4690000000001</v>
      </c>
      <c r="F9" s="177" t="str">
        <f>IF(OR(D9="",E9=""),"Skriv belopp eller 0","")</f>
        <v/>
      </c>
      <c r="G9" s="4"/>
      <c r="H9" s="4"/>
      <c r="I9" s="4"/>
      <c r="J9" s="4"/>
      <c r="K9" s="4"/>
      <c r="L9" s="4"/>
      <c r="M9" s="686"/>
      <c r="N9" s="687"/>
      <c r="O9" s="1283"/>
      <c r="P9" s="1312"/>
      <c r="Q9" s="1494"/>
      <c r="R9" s="1495"/>
    </row>
    <row r="10" spans="1:20" ht="14.65" customHeight="1">
      <c r="A10" s="2034" t="s">
        <v>289</v>
      </c>
      <c r="B10" s="2035">
        <v>11</v>
      </c>
      <c r="C10" s="550" t="s">
        <v>627</v>
      </c>
      <c r="D10" s="184">
        <v>691712.21600000001</v>
      </c>
      <c r="E10" s="679"/>
      <c r="F10" s="68"/>
      <c r="G10" s="4"/>
      <c r="H10" s="4"/>
      <c r="I10" s="4"/>
      <c r="J10" s="4"/>
      <c r="K10" s="4"/>
      <c r="L10" s="4"/>
      <c r="M10" s="688"/>
      <c r="N10" s="689"/>
      <c r="O10" s="1283"/>
      <c r="P10" s="1312"/>
      <c r="Q10" s="1312"/>
      <c r="R10" s="1312"/>
    </row>
    <row r="11" spans="1:20" ht="14.65" customHeight="1">
      <c r="A11" s="2034" t="s">
        <v>290</v>
      </c>
      <c r="B11" s="2035">
        <v>12</v>
      </c>
      <c r="C11" s="550" t="s">
        <v>628</v>
      </c>
      <c r="D11" s="184">
        <v>37477.510999999999</v>
      </c>
      <c r="E11" s="679"/>
      <c r="F11" s="68"/>
      <c r="G11" s="75" t="s">
        <v>458</v>
      </c>
      <c r="H11" s="4"/>
      <c r="I11" s="4"/>
      <c r="J11" s="4"/>
      <c r="K11" s="4"/>
      <c r="L11" s="4"/>
      <c r="M11" s="688"/>
      <c r="N11" s="689"/>
      <c r="O11" s="1283"/>
      <c r="P11" s="1312"/>
      <c r="Q11" s="1312"/>
      <c r="R11" s="1312"/>
    </row>
    <row r="12" spans="1:20" ht="14.65" customHeight="1">
      <c r="A12" s="2034" t="s">
        <v>281</v>
      </c>
      <c r="B12" s="2036">
        <v>11.12</v>
      </c>
      <c r="C12" s="779" t="s">
        <v>1150</v>
      </c>
      <c r="D12" s="339">
        <f>SUM(D10:D11)</f>
        <v>729189.72699999996</v>
      </c>
      <c r="E12" s="185">
        <v>1619416.537</v>
      </c>
      <c r="F12" s="177" t="str">
        <f>IF(D12&gt;E12,"konc. &lt; kom.",IF(OR(D12=0,E12=0),"Belopp saknas",""))</f>
        <v/>
      </c>
      <c r="G12" s="1462" t="s">
        <v>544</v>
      </c>
      <c r="H12" s="2015" t="s">
        <v>1138</v>
      </c>
      <c r="I12" s="1460"/>
      <c r="J12" s="1461"/>
      <c r="K12" s="170"/>
      <c r="L12" s="4"/>
      <c r="M12" s="617">
        <f>(D9+D12)*1000/invanare</f>
        <v>69364.727517488849</v>
      </c>
      <c r="N12" s="618">
        <f>(E9+E12)*1000/invanare</f>
        <v>154193.25867770889</v>
      </c>
      <c r="O12" s="1249"/>
      <c r="P12" s="1312"/>
      <c r="Q12" s="1495"/>
      <c r="R12" s="1495"/>
      <c r="S12" s="145"/>
      <c r="T12" s="145"/>
    </row>
    <row r="13" spans="1:20" ht="14.65" customHeight="1">
      <c r="A13" s="2034" t="s">
        <v>291</v>
      </c>
      <c r="B13" s="2037" t="s">
        <v>815</v>
      </c>
      <c r="C13" s="605" t="s">
        <v>629</v>
      </c>
      <c r="D13" s="186">
        <v>80523.532999999996</v>
      </c>
      <c r="E13" s="679"/>
      <c r="F13" s="68"/>
      <c r="G13" s="696" t="s">
        <v>295</v>
      </c>
      <c r="H13" s="697" t="s">
        <v>543</v>
      </c>
      <c r="I13" s="698" t="s">
        <v>0</v>
      </c>
      <c r="J13" s="283">
        <v>66023.61</v>
      </c>
      <c r="K13" s="2057"/>
      <c r="L13" s="4"/>
      <c r="M13" s="690"/>
      <c r="N13" s="691"/>
      <c r="O13" s="1249"/>
      <c r="P13" s="1312"/>
      <c r="Q13" s="1301"/>
      <c r="R13" s="1312"/>
      <c r="S13" s="296"/>
      <c r="T13" s="296"/>
    </row>
    <row r="14" spans="1:20" ht="14.65" customHeight="1">
      <c r="A14" s="2034" t="s">
        <v>292</v>
      </c>
      <c r="B14" s="2037" t="s">
        <v>814</v>
      </c>
      <c r="C14" s="555" t="s">
        <v>9</v>
      </c>
      <c r="D14" s="186">
        <v>2406.6590000000001</v>
      </c>
      <c r="E14" s="679"/>
      <c r="F14" s="68"/>
      <c r="G14" s="181"/>
      <c r="H14" s="4"/>
      <c r="I14" s="4"/>
      <c r="J14" s="140"/>
      <c r="K14" s="140"/>
      <c r="L14" s="4"/>
      <c r="M14" s="690"/>
      <c r="N14" s="691"/>
      <c r="O14" s="1249"/>
      <c r="P14" s="1312"/>
      <c r="Q14" s="1301"/>
      <c r="R14" s="1312"/>
    </row>
    <row r="15" spans="1:20" ht="14.65" customHeight="1">
      <c r="A15" s="2034" t="s">
        <v>293</v>
      </c>
      <c r="B15" s="2038" t="s">
        <v>2</v>
      </c>
      <c r="C15" s="562" t="s">
        <v>630</v>
      </c>
      <c r="D15" s="184">
        <v>244120.008</v>
      </c>
      <c r="E15" s="679"/>
      <c r="F15" s="68"/>
      <c r="G15" s="696" t="s">
        <v>296</v>
      </c>
      <c r="H15" s="697" t="s">
        <v>723</v>
      </c>
      <c r="I15" s="1260" t="s">
        <v>1</v>
      </c>
      <c r="J15" s="283">
        <v>226999.73699999999</v>
      </c>
      <c r="K15" s="2057"/>
      <c r="L15" s="4"/>
      <c r="M15" s="692"/>
      <c r="N15" s="693"/>
      <c r="O15" s="1971"/>
      <c r="P15" s="1312"/>
      <c r="Q15" s="1312"/>
      <c r="R15" s="1312"/>
      <c r="S15" s="296"/>
      <c r="T15" s="296"/>
    </row>
    <row r="16" spans="1:20" ht="14.65" customHeight="1">
      <c r="A16" s="2034" t="s">
        <v>294</v>
      </c>
      <c r="B16" s="2035" t="s">
        <v>812</v>
      </c>
      <c r="C16" s="550" t="s">
        <v>813</v>
      </c>
      <c r="D16" s="184">
        <v>144.755</v>
      </c>
      <c r="E16" s="679"/>
      <c r="F16" s="68"/>
      <c r="G16" s="181"/>
      <c r="H16" s="4"/>
      <c r="I16" s="4"/>
      <c r="J16" s="140"/>
      <c r="K16" s="140"/>
      <c r="L16" s="4"/>
      <c r="M16" s="692"/>
      <c r="N16" s="693"/>
      <c r="O16" s="1249"/>
      <c r="P16" s="1312"/>
      <c r="Q16" s="1312"/>
      <c r="R16" s="1496"/>
    </row>
    <row r="17" spans="1:20" ht="14.65" customHeight="1">
      <c r="A17" s="2034" t="s">
        <v>297</v>
      </c>
      <c r="B17" s="2039" t="s">
        <v>5</v>
      </c>
      <c r="C17" s="571" t="s">
        <v>1151</v>
      </c>
      <c r="D17" s="339">
        <f>SUM(D13:D16)</f>
        <v>327194.95500000002</v>
      </c>
      <c r="E17" s="187">
        <v>44214.646999999997</v>
      </c>
      <c r="F17" s="177" t="str">
        <f>IF(OR(D17=0,E17=""),"Belopp saknas","")</f>
        <v/>
      </c>
      <c r="G17" s="181"/>
      <c r="H17" s="4"/>
      <c r="I17" s="4"/>
      <c r="J17" s="4"/>
      <c r="K17" s="4"/>
      <c r="L17" s="4"/>
      <c r="M17" s="617">
        <f>D17*1000/invanare</f>
        <v>31097.582429823116</v>
      </c>
      <c r="N17" s="618">
        <f>E17*1000/invanare</f>
        <v>4202.2916572415716</v>
      </c>
      <c r="O17" s="1249"/>
      <c r="P17" s="1312"/>
      <c r="Q17" s="1496"/>
      <c r="R17" s="1496"/>
    </row>
    <row r="18" spans="1:20" ht="14.65" customHeight="1" thickBot="1">
      <c r="A18" s="2040" t="s">
        <v>298</v>
      </c>
      <c r="B18" s="2041" t="s">
        <v>6</v>
      </c>
      <c r="C18" s="564" t="s">
        <v>631</v>
      </c>
      <c r="D18" s="340">
        <f>SUM(D9,D12,D17)</f>
        <v>1057019.82</v>
      </c>
      <c r="E18" s="341">
        <f>SUM(E9,E12,E17)</f>
        <v>1666567.6529999999</v>
      </c>
      <c r="F18" s="68"/>
      <c r="G18" s="181"/>
      <c r="H18" s="4"/>
      <c r="I18" s="4"/>
      <c r="J18" s="4"/>
      <c r="K18" s="4"/>
      <c r="L18" s="4"/>
      <c r="M18" s="690"/>
      <c r="N18" s="691"/>
      <c r="O18" s="1249"/>
      <c r="P18" s="1312"/>
      <c r="Q18" s="1496"/>
      <c r="R18" s="1496"/>
    </row>
    <row r="19" spans="1:20" ht="14.65" customHeight="1" thickBot="1">
      <c r="A19" s="2042" t="s">
        <v>308</v>
      </c>
      <c r="B19" s="2155" t="s">
        <v>4</v>
      </c>
      <c r="C19" s="536" t="s">
        <v>911</v>
      </c>
      <c r="D19" s="1317">
        <v>5445.7139999999999</v>
      </c>
      <c r="E19" s="288">
        <v>5445.7139999999999</v>
      </c>
      <c r="F19" s="177" t="str">
        <f>IF(D19&lt;0,"inga minusbelopp",IF(D19&lt;&gt;E19,"koncernen och kommunens belopp borde vara lika",""))</f>
        <v/>
      </c>
      <c r="G19" s="4"/>
      <c r="H19" s="4"/>
      <c r="I19" s="4"/>
      <c r="J19" s="4"/>
      <c r="K19" s="4"/>
      <c r="L19" s="4"/>
      <c r="M19" s="617">
        <f>D19*1000/invanare</f>
        <v>517.57686790813068</v>
      </c>
      <c r="N19" s="624">
        <f>E19*1000/invanare</f>
        <v>517.57686790813068</v>
      </c>
      <c r="O19" s="1249"/>
      <c r="P19" s="1312"/>
      <c r="Q19" s="1312"/>
      <c r="R19" s="1312"/>
    </row>
    <row r="20" spans="1:20" ht="14.65" customHeight="1">
      <c r="A20" s="2043"/>
      <c r="B20" s="2044"/>
      <c r="C20" s="665" t="s">
        <v>614</v>
      </c>
      <c r="D20" s="706"/>
      <c r="E20" s="707"/>
      <c r="F20" s="68"/>
      <c r="G20" s="1382" t="s">
        <v>890</v>
      </c>
      <c r="H20" s="1383" t="s">
        <v>881</v>
      </c>
      <c r="I20" s="1260" t="s">
        <v>1154</v>
      </c>
      <c r="J20" s="2069">
        <v>13142.450999999999</v>
      </c>
      <c r="K20" s="2067"/>
      <c r="L20" s="4"/>
      <c r="M20" s="694"/>
      <c r="N20" s="695"/>
      <c r="O20" s="1305"/>
      <c r="P20" s="296"/>
      <c r="Q20" s="296"/>
      <c r="R20" s="296"/>
      <c r="S20" s="296"/>
    </row>
    <row r="21" spans="1:20" ht="14.65" customHeight="1">
      <c r="A21" s="2034" t="s">
        <v>283</v>
      </c>
      <c r="B21" s="660">
        <v>14</v>
      </c>
      <c r="C21" s="571" t="s">
        <v>1152</v>
      </c>
      <c r="D21" s="65">
        <v>14354.361000000001</v>
      </c>
      <c r="E21" s="188">
        <v>24920.971000000001</v>
      </c>
      <c r="F21" s="227" t="str">
        <f>IF(D21&gt;E21,"konc. &lt; kom.",IF(OR(D21="",E21=""),"Belopp saknas",IF(OR(D21&lt;-100,E21&lt;-100),"Kommentera varför minuspost","")))</f>
        <v/>
      </c>
      <c r="G21" s="1445"/>
      <c r="H21" s="1446"/>
      <c r="I21" s="1447"/>
      <c r="J21" s="140"/>
      <c r="K21" s="140"/>
      <c r="L21" s="183"/>
      <c r="M21" s="694"/>
      <c r="N21" s="695"/>
      <c r="O21" s="1305"/>
      <c r="P21" s="1312"/>
      <c r="Q21" s="1495"/>
      <c r="R21" s="1495"/>
    </row>
    <row r="22" spans="1:20" ht="14.65" customHeight="1">
      <c r="A22" s="2034" t="s">
        <v>299</v>
      </c>
      <c r="B22" s="2035" t="s">
        <v>632</v>
      </c>
      <c r="C22" s="550" t="s">
        <v>633</v>
      </c>
      <c r="D22" s="53">
        <v>10132.071</v>
      </c>
      <c r="E22" s="679"/>
      <c r="F22" s="1222"/>
      <c r="G22" s="2062" t="s">
        <v>300</v>
      </c>
      <c r="H22" s="2063" t="s">
        <v>741</v>
      </c>
      <c r="I22" s="2064" t="s">
        <v>1</v>
      </c>
      <c r="J22" s="2068">
        <v>1907.1659999999999</v>
      </c>
      <c r="K22" s="140"/>
      <c r="L22" s="4"/>
      <c r="M22" s="694"/>
      <c r="N22" s="695"/>
      <c r="O22" s="1305"/>
      <c r="P22" s="1312"/>
      <c r="Q22" s="1312"/>
      <c r="R22" s="1312"/>
      <c r="S22" s="296"/>
      <c r="T22" s="296"/>
    </row>
    <row r="23" spans="1:20" ht="14.65" customHeight="1">
      <c r="A23" s="2034" t="s">
        <v>284</v>
      </c>
      <c r="B23" s="2035" t="s">
        <v>634</v>
      </c>
      <c r="C23" s="550" t="s">
        <v>635</v>
      </c>
      <c r="D23" s="53">
        <v>138662.234</v>
      </c>
      <c r="E23" s="679"/>
      <c r="F23" s="1223"/>
      <c r="G23" s="1445"/>
      <c r="H23" s="1445"/>
      <c r="I23" s="2066"/>
      <c r="J23" s="140"/>
      <c r="K23" s="140"/>
      <c r="L23" s="4"/>
      <c r="M23" s="694"/>
      <c r="N23" s="695"/>
      <c r="O23" s="1305"/>
      <c r="P23" s="1312"/>
      <c r="Q23" s="1312"/>
      <c r="R23" s="1312"/>
    </row>
    <row r="24" spans="1:20" ht="14.65" customHeight="1">
      <c r="A24" s="2034" t="s">
        <v>302</v>
      </c>
      <c r="B24" s="2035" t="s">
        <v>174</v>
      </c>
      <c r="C24" s="550" t="s">
        <v>1153</v>
      </c>
      <c r="D24" s="184">
        <v>26298.670999999998</v>
      </c>
      <c r="E24" s="679"/>
      <c r="F24" s="1223"/>
      <c r="G24" s="2065" t="s">
        <v>301</v>
      </c>
      <c r="H24" s="664" t="s">
        <v>636</v>
      </c>
      <c r="I24" s="2202" t="s">
        <v>1099</v>
      </c>
      <c r="J24" s="1511">
        <v>13068.896000000001</v>
      </c>
      <c r="K24" s="140"/>
      <c r="M24" s="2070"/>
      <c r="N24" s="2071"/>
      <c r="O24" s="4"/>
      <c r="P24" s="1312"/>
      <c r="Q24" s="1312"/>
      <c r="R24" s="1312"/>
      <c r="S24" s="296"/>
      <c r="T24" s="296"/>
    </row>
    <row r="25" spans="1:20" ht="14.65" customHeight="1">
      <c r="A25" s="2034" t="s">
        <v>310</v>
      </c>
      <c r="B25" s="2035" t="s">
        <v>205</v>
      </c>
      <c r="C25" s="550" t="s">
        <v>482</v>
      </c>
      <c r="D25" s="184">
        <v>29317.45</v>
      </c>
      <c r="E25" s="679"/>
      <c r="F25" s="1223"/>
      <c r="G25" s="704" t="s">
        <v>309</v>
      </c>
      <c r="H25" s="1951" t="s">
        <v>1028</v>
      </c>
      <c r="I25" s="705" t="s">
        <v>1</v>
      </c>
      <c r="J25" s="2212">
        <v>109952.33</v>
      </c>
      <c r="L25" s="4"/>
      <c r="M25" s="694"/>
      <c r="N25" s="695"/>
      <c r="O25" s="1305"/>
      <c r="P25" s="1312"/>
      <c r="Q25" s="1312"/>
      <c r="R25" s="1312"/>
      <c r="S25" s="296"/>
      <c r="T25" s="296"/>
    </row>
    <row r="26" spans="1:20" ht="14.65" customHeight="1">
      <c r="A26" s="2034" t="s">
        <v>955</v>
      </c>
      <c r="B26" s="660" t="s">
        <v>956</v>
      </c>
      <c r="C26" s="571" t="s">
        <v>957</v>
      </c>
      <c r="D26" s="339">
        <f>SUM(D22:D25)</f>
        <v>204410.42600000001</v>
      </c>
      <c r="E26" s="1917">
        <v>124248.908</v>
      </c>
      <c r="F26" s="227" t="str">
        <f>IF(OR(D26=0,E26=""),"Belopp saknas","")</f>
        <v/>
      </c>
      <c r="G26" s="1312"/>
      <c r="H26" s="1312"/>
      <c r="I26" s="1239"/>
      <c r="J26" s="1837"/>
      <c r="K26" s="140"/>
      <c r="L26" s="4"/>
      <c r="M26" s="694"/>
      <c r="N26" s="695"/>
      <c r="O26" s="1305"/>
      <c r="P26" s="1312"/>
      <c r="Q26" s="1312"/>
      <c r="R26" s="1312"/>
      <c r="S26" s="296"/>
      <c r="T26" s="296"/>
    </row>
    <row r="27" spans="1:20" ht="14.65" customHeight="1">
      <c r="A27" s="2034" t="s">
        <v>303</v>
      </c>
      <c r="B27" s="2037" t="s">
        <v>637</v>
      </c>
      <c r="C27" s="2203" t="s">
        <v>1120</v>
      </c>
      <c r="D27" s="184">
        <v>36212.273999999998</v>
      </c>
      <c r="E27" s="679"/>
      <c r="F27" s="1223"/>
      <c r="G27" s="1994"/>
      <c r="H27" s="1509"/>
      <c r="I27" s="145"/>
      <c r="J27" s="140"/>
      <c r="K27" s="1437"/>
      <c r="L27" s="4"/>
      <c r="M27" s="694"/>
      <c r="N27" s="695"/>
      <c r="O27" s="1305"/>
      <c r="P27" s="1312"/>
      <c r="Q27" s="1301"/>
      <c r="R27" s="1312"/>
      <c r="S27" s="296"/>
      <c r="T27" s="296"/>
    </row>
    <row r="28" spans="1:20" ht="14.65" customHeight="1">
      <c r="A28" s="2034" t="s">
        <v>304</v>
      </c>
      <c r="B28" s="2037" t="s">
        <v>638</v>
      </c>
      <c r="C28" s="2203" t="s">
        <v>1127</v>
      </c>
      <c r="D28" s="184">
        <v>19135.749</v>
      </c>
      <c r="E28" s="679"/>
      <c r="F28" s="1223"/>
      <c r="G28" s="1509"/>
      <c r="H28" s="1509"/>
      <c r="I28" s="145"/>
      <c r="K28" s="140"/>
      <c r="L28" s="4"/>
      <c r="M28" s="694"/>
      <c r="N28" s="695"/>
      <c r="O28" s="1305"/>
      <c r="P28" s="1312"/>
      <c r="Q28" s="1301"/>
      <c r="R28" s="1312"/>
    </row>
    <row r="29" spans="1:20" ht="14.65" customHeight="1">
      <c r="A29" s="2034" t="s">
        <v>305</v>
      </c>
      <c r="B29" s="2037" t="s">
        <v>639</v>
      </c>
      <c r="C29" s="555" t="s">
        <v>640</v>
      </c>
      <c r="D29" s="184">
        <v>687.346</v>
      </c>
      <c r="E29" s="679"/>
      <c r="F29" s="1223"/>
      <c r="G29" s="1994"/>
      <c r="H29" s="1509"/>
      <c r="I29" s="145"/>
      <c r="J29" s="140"/>
      <c r="K29" s="4"/>
      <c r="L29" s="4"/>
      <c r="M29" s="694"/>
      <c r="N29" s="695"/>
      <c r="O29" s="1305"/>
      <c r="P29" s="1312"/>
      <c r="Q29" s="1301"/>
      <c r="R29" s="1312"/>
    </row>
    <row r="30" spans="1:20" ht="14.65" customHeight="1">
      <c r="A30" s="2034" t="s">
        <v>285</v>
      </c>
      <c r="B30" s="660" t="s">
        <v>958</v>
      </c>
      <c r="C30" s="571" t="s">
        <v>1043</v>
      </c>
      <c r="D30" s="339">
        <f>SUM(D27:D29)</f>
        <v>56035.368999999999</v>
      </c>
      <c r="E30" s="188">
        <v>57436.368999999999</v>
      </c>
      <c r="F30" s="227" t="str">
        <f>IF(OR(D27="",D28="",D29=""),"Skriv belopp eller 0 på raderna 053-056 för kommunen",IF(E30="","Skriv belopp eller 0 för koncernen",""))</f>
        <v/>
      </c>
      <c r="G30" s="1509"/>
      <c r="H30" s="1509"/>
      <c r="I30" s="145"/>
      <c r="J30" s="1312"/>
      <c r="K30" s="4"/>
      <c r="L30" s="4"/>
      <c r="M30" s="694"/>
      <c r="N30" s="695"/>
      <c r="O30" s="1305"/>
      <c r="P30" s="1312"/>
      <c r="Q30" s="1495"/>
      <c r="R30" s="1495"/>
    </row>
    <row r="31" spans="1:20" ht="14.65" customHeight="1">
      <c r="A31" s="2034" t="s">
        <v>306</v>
      </c>
      <c r="B31" s="660">
        <v>19</v>
      </c>
      <c r="C31" s="571" t="s">
        <v>1044</v>
      </c>
      <c r="D31" s="184">
        <v>47271.921000000002</v>
      </c>
      <c r="E31" s="188">
        <v>67173.305999999997</v>
      </c>
      <c r="F31" s="227" t="str">
        <f>IF(D31&gt;E31,"konc. &lt; kom.",IF(OR(D31&lt;0,E31&lt;0),"Varför minusbelopp?",IF(OR(D31=0,E31=0),"Belopp saknas","")))</f>
        <v/>
      </c>
      <c r="G31" s="1509"/>
      <c r="H31" s="1509"/>
      <c r="I31" s="145"/>
      <c r="K31" s="4"/>
      <c r="L31" s="4"/>
      <c r="M31" s="694"/>
      <c r="N31" s="695"/>
      <c r="O31" s="1305"/>
      <c r="P31" s="1312"/>
      <c r="Q31" s="1495"/>
      <c r="R31" s="1495"/>
    </row>
    <row r="32" spans="1:20" ht="14.65" customHeight="1" thickBot="1">
      <c r="A32" s="2045" t="s">
        <v>307</v>
      </c>
      <c r="B32" s="666" t="s">
        <v>641</v>
      </c>
      <c r="C32" s="536" t="s">
        <v>1155</v>
      </c>
      <c r="D32" s="342">
        <f>SUM(D21,D26,D30,D31)</f>
        <v>322072.07700000005</v>
      </c>
      <c r="E32" s="343">
        <f>SUM(E21,E26,E30,E31)</f>
        <v>273779.554</v>
      </c>
      <c r="F32" s="1223"/>
      <c r="G32" s="170"/>
      <c r="H32" s="170"/>
      <c r="I32" s="170"/>
      <c r="J32" s="170"/>
      <c r="K32" s="4"/>
      <c r="L32" s="4"/>
      <c r="M32" s="620">
        <f>D32*1000/invanare</f>
        <v>30610.688856287041</v>
      </c>
      <c r="N32" s="627">
        <f>E32*1000/invanare</f>
        <v>26020.823726072453</v>
      </c>
      <c r="O32" s="1249"/>
      <c r="P32" s="1312"/>
      <c r="Q32" s="1495"/>
      <c r="R32" s="1495"/>
    </row>
    <row r="33" spans="1:19" ht="14.65" customHeight="1" thickBot="1">
      <c r="A33" s="2046" t="s">
        <v>286</v>
      </c>
      <c r="B33" s="667" t="s">
        <v>642</v>
      </c>
      <c r="C33" s="668" t="s">
        <v>643</v>
      </c>
      <c r="D33" s="345">
        <f>SUM(D18,D19,D32)</f>
        <v>1384537.611</v>
      </c>
      <c r="E33" s="344">
        <f>SUM(E18,E19,E32)</f>
        <v>1945792.9209999999</v>
      </c>
      <c r="F33" s="1223"/>
      <c r="G33" s="170"/>
      <c r="H33" s="170"/>
      <c r="I33" s="170"/>
      <c r="J33" s="170"/>
      <c r="K33" s="4"/>
      <c r="L33" s="4"/>
      <c r="M33" s="4"/>
      <c r="N33" s="4"/>
      <c r="P33" s="1312"/>
      <c r="Q33" s="1495"/>
      <c r="R33" s="1495"/>
    </row>
    <row r="34" spans="1:19" ht="14.65" customHeight="1">
      <c r="A34" s="1312"/>
      <c r="B34" s="1495"/>
      <c r="C34" s="18"/>
      <c r="D34" s="1283"/>
      <c r="E34" s="1283"/>
      <c r="F34" s="1223"/>
      <c r="G34" s="170"/>
      <c r="H34" s="170"/>
      <c r="I34" s="170"/>
      <c r="J34" s="170"/>
      <c r="K34" s="4"/>
      <c r="L34" s="4"/>
      <c r="M34" s="4"/>
      <c r="N34" s="4"/>
      <c r="P34" s="1312"/>
      <c r="Q34" s="1495"/>
      <c r="R34" s="1495"/>
    </row>
    <row r="35" spans="1:19" ht="14.65" customHeight="1">
      <c r="A35" s="6"/>
      <c r="B35" s="7"/>
      <c r="C35" s="8"/>
      <c r="D35" s="9"/>
      <c r="E35" s="9"/>
      <c r="F35" s="1223"/>
      <c r="G35" s="170"/>
      <c r="H35" s="170"/>
      <c r="I35" s="170"/>
      <c r="J35" s="170"/>
      <c r="K35" s="4"/>
      <c r="L35" s="4"/>
      <c r="M35" s="4"/>
      <c r="N35" s="4"/>
      <c r="Q35" s="1311"/>
      <c r="R35" s="1239"/>
    </row>
    <row r="36" spans="1:19" ht="14.65" customHeight="1" thickBot="1">
      <c r="A36" s="1"/>
      <c r="B36" s="7"/>
      <c r="C36" s="8"/>
      <c r="D36" s="9"/>
      <c r="E36" s="9"/>
      <c r="F36" s="1223"/>
      <c r="G36" s="170"/>
      <c r="H36" s="170"/>
      <c r="I36" s="170"/>
      <c r="J36" s="170"/>
      <c r="K36" s="4"/>
      <c r="L36" s="4"/>
      <c r="M36" s="4"/>
      <c r="N36" s="4"/>
      <c r="Q36" s="1311"/>
      <c r="R36" s="1239"/>
    </row>
    <row r="37" spans="1:19" ht="14.65" customHeight="1">
      <c r="A37" s="650" t="s">
        <v>624</v>
      </c>
      <c r="B37" s="2156" t="s">
        <v>1138</v>
      </c>
      <c r="C37" s="708" t="s">
        <v>358</v>
      </c>
      <c r="D37" s="669" t="s">
        <v>617</v>
      </c>
      <c r="E37" s="670" t="s">
        <v>720</v>
      </c>
      <c r="F37" s="1223"/>
      <c r="G37" s="170"/>
      <c r="H37" s="170"/>
      <c r="I37" s="170"/>
      <c r="J37" s="170"/>
      <c r="K37" s="4"/>
      <c r="L37" s="4"/>
      <c r="M37" s="2490" t="s">
        <v>457</v>
      </c>
      <c r="N37" s="2491"/>
      <c r="O37" s="1306"/>
      <c r="P37" s="1239"/>
      <c r="Q37" s="1302"/>
      <c r="R37" s="1495"/>
      <c r="S37" s="1302"/>
    </row>
    <row r="38" spans="1:19" ht="14.65" customHeight="1">
      <c r="A38" s="1490" t="s">
        <v>618</v>
      </c>
      <c r="B38" s="709"/>
      <c r="C38" s="710"/>
      <c r="D38" s="711"/>
      <c r="E38" s="712"/>
      <c r="F38" s="1223"/>
      <c r="G38" s="170"/>
      <c r="H38" s="170"/>
      <c r="I38" s="170"/>
      <c r="J38" s="170"/>
      <c r="K38" s="4"/>
      <c r="L38" s="4"/>
      <c r="M38" s="726" t="s">
        <v>617</v>
      </c>
      <c r="N38" s="727" t="s">
        <v>720</v>
      </c>
      <c r="O38" s="1307"/>
      <c r="P38" s="1239"/>
      <c r="Q38" s="1302"/>
      <c r="R38" s="1495"/>
      <c r="S38" s="1497"/>
    </row>
    <row r="39" spans="1:19" ht="14.65" customHeight="1">
      <c r="A39" s="579" t="s">
        <v>311</v>
      </c>
      <c r="B39" s="662">
        <v>201</v>
      </c>
      <c r="C39" s="550" t="s">
        <v>644</v>
      </c>
      <c r="D39" s="346">
        <v>571358.30799999996</v>
      </c>
      <c r="E39" s="343">
        <v>755727.46499999997</v>
      </c>
      <c r="F39" s="1657"/>
      <c r="G39" s="170"/>
      <c r="H39" s="170"/>
      <c r="I39" s="170"/>
      <c r="J39" s="170"/>
      <c r="K39" s="4"/>
      <c r="L39" s="4"/>
      <c r="M39" s="728"/>
      <c r="N39" s="729"/>
      <c r="O39" s="1283"/>
      <c r="P39" s="1312"/>
      <c r="Q39" s="1312"/>
      <c r="R39" s="1312"/>
      <c r="S39" s="1480"/>
    </row>
    <row r="40" spans="1:19" ht="14.65" customHeight="1">
      <c r="A40" s="579" t="s">
        <v>1065</v>
      </c>
      <c r="B40" s="662" t="s">
        <v>1033</v>
      </c>
      <c r="C40" s="550" t="s">
        <v>1158</v>
      </c>
      <c r="D40" s="1973">
        <v>594.32000000000005</v>
      </c>
      <c r="E40" s="1974">
        <v>225.721</v>
      </c>
      <c r="F40" s="1224"/>
      <c r="G40" s="170"/>
      <c r="H40" s="170"/>
      <c r="I40" s="170"/>
      <c r="J40" s="170"/>
      <c r="K40" s="4"/>
      <c r="L40" s="4"/>
      <c r="M40" s="728"/>
      <c r="N40" s="729"/>
      <c r="O40" s="1283"/>
      <c r="P40" s="1312"/>
      <c r="Q40" s="1312"/>
      <c r="R40" s="1312"/>
      <c r="S40" s="1972"/>
    </row>
    <row r="41" spans="1:19" ht="14.65" customHeight="1">
      <c r="A41" s="579" t="s">
        <v>312</v>
      </c>
      <c r="B41" s="662">
        <v>202</v>
      </c>
      <c r="C41" s="550" t="s">
        <v>623</v>
      </c>
      <c r="D41" s="97">
        <f>RR!C18</f>
        <v>34045.27999999997</v>
      </c>
      <c r="E41" s="1199">
        <f>RR!D18</f>
        <v>50298.367000000042</v>
      </c>
      <c r="F41" s="227"/>
      <c r="G41" s="4"/>
      <c r="H41" s="4"/>
      <c r="I41" s="4"/>
      <c r="J41" s="4"/>
      <c r="K41" s="4"/>
      <c r="L41" s="4"/>
      <c r="M41" s="728"/>
      <c r="N41" s="729"/>
      <c r="O41" s="1283"/>
      <c r="P41" s="1312"/>
      <c r="Q41" s="1312"/>
      <c r="R41" s="1312"/>
    </row>
    <row r="42" spans="1:19" ht="14.65" customHeight="1">
      <c r="A42" s="581" t="s">
        <v>800</v>
      </c>
      <c r="B42" s="1982"/>
      <c r="C42" s="555" t="s">
        <v>1159</v>
      </c>
      <c r="D42" s="53">
        <v>-132.393</v>
      </c>
      <c r="E42" s="176">
        <v>90.197000000000003</v>
      </c>
      <c r="F42" s="227"/>
      <c r="G42" s="4"/>
      <c r="H42" s="4"/>
      <c r="I42" s="4"/>
      <c r="J42" s="4"/>
      <c r="K42" s="4"/>
      <c r="L42" s="4"/>
      <c r="M42" s="728"/>
      <c r="N42" s="729"/>
      <c r="O42" s="1283"/>
      <c r="P42" s="1312"/>
      <c r="Q42" s="1312"/>
      <c r="R42" s="1312"/>
    </row>
    <row r="43" spans="1:19" ht="17.25" customHeight="1">
      <c r="A43" s="581" t="s">
        <v>313</v>
      </c>
      <c r="B43" s="718" t="s">
        <v>826</v>
      </c>
      <c r="C43" s="719" t="s">
        <v>1157</v>
      </c>
      <c r="D43" s="346">
        <f>SUM(D39:D42)</f>
        <v>605865.51499999978</v>
      </c>
      <c r="E43" s="343">
        <f>SUM(E39:E42)</f>
        <v>806341.75000000012</v>
      </c>
      <c r="F43" s="227"/>
      <c r="G43" s="4"/>
      <c r="H43" s="4"/>
      <c r="I43" s="4"/>
      <c r="J43" s="4"/>
      <c r="K43" s="4"/>
      <c r="L43" s="4"/>
      <c r="M43" s="730">
        <f>D43*1000/invanare</f>
        <v>57583.261924376937</v>
      </c>
      <c r="N43" s="618">
        <f>E43*1000/invanare</f>
        <v>76637.12002293198</v>
      </c>
      <c r="O43" s="1283"/>
      <c r="P43" s="1312"/>
      <c r="Q43" s="1495"/>
      <c r="R43" s="1312"/>
    </row>
    <row r="44" spans="1:19" ht="15" customHeight="1" thickBot="1">
      <c r="A44" s="582" t="s">
        <v>799</v>
      </c>
      <c r="B44" s="2097"/>
      <c r="C44" s="1031" t="s">
        <v>1160</v>
      </c>
      <c r="D44" s="2102">
        <v>38318.881999999998</v>
      </c>
      <c r="E44" s="2103">
        <v>38335.262999999999</v>
      </c>
      <c r="F44" s="227"/>
      <c r="G44" s="2196"/>
      <c r="H44" s="2196"/>
      <c r="I44" s="2196"/>
      <c r="J44" s="2196"/>
      <c r="K44" s="2196"/>
      <c r="L44" s="4"/>
      <c r="M44" s="728"/>
      <c r="N44" s="729"/>
      <c r="O44" s="1971"/>
      <c r="P44" s="1312"/>
      <c r="Q44" s="1312"/>
      <c r="R44" s="1312"/>
    </row>
    <row r="45" spans="1:19" ht="18.75" customHeight="1">
      <c r="A45" s="603" t="s">
        <v>314</v>
      </c>
      <c r="B45" s="1393" t="s">
        <v>645</v>
      </c>
      <c r="C45" s="782" t="s">
        <v>809</v>
      </c>
      <c r="D45" s="184">
        <v>45364.680999999997</v>
      </c>
      <c r="E45" s="2127"/>
      <c r="F45" s="227" t="str">
        <f>IF(D45=0,"Varför saknas avsättningar för pensioner?","")</f>
        <v/>
      </c>
      <c r="G45" s="2196"/>
      <c r="H45" s="2196"/>
      <c r="I45" s="2196"/>
      <c r="J45" s="2196"/>
      <c r="K45" s="2196"/>
      <c r="L45" s="4"/>
      <c r="M45" s="1361"/>
      <c r="N45" s="623"/>
      <c r="O45" s="1249"/>
      <c r="P45" s="1312"/>
      <c r="Q45" s="1495"/>
      <c r="R45" s="1495"/>
    </row>
    <row r="46" spans="1:19" ht="14.65" customHeight="1">
      <c r="A46" s="579" t="s">
        <v>315</v>
      </c>
      <c r="B46" s="662" t="s">
        <v>646</v>
      </c>
      <c r="C46" s="550" t="s">
        <v>810</v>
      </c>
      <c r="D46" s="184">
        <v>1646.94</v>
      </c>
      <c r="E46" s="713"/>
      <c r="F46" s="227"/>
      <c r="G46" s="179" t="s">
        <v>994</v>
      </c>
      <c r="H46" s="4"/>
      <c r="I46" s="4"/>
      <c r="J46" s="4"/>
      <c r="K46" s="4"/>
      <c r="L46" s="4"/>
      <c r="M46" s="731"/>
      <c r="N46" s="732"/>
      <c r="O46" s="1249"/>
      <c r="P46" s="1312"/>
      <c r="Q46" s="1312"/>
      <c r="R46" s="1312"/>
    </row>
    <row r="47" spans="1:19" ht="14.65" customHeight="1">
      <c r="A47" s="579" t="s">
        <v>316</v>
      </c>
      <c r="B47" s="714" t="s">
        <v>647</v>
      </c>
      <c r="C47" s="715" t="s">
        <v>754</v>
      </c>
      <c r="D47" s="184">
        <v>11807.955</v>
      </c>
      <c r="E47" s="713"/>
      <c r="F47" s="227" t="str">
        <f>IF(D47=0,"Varför saknas avsättningar för särskild löneskatt pens.?","")</f>
        <v/>
      </c>
      <c r="G47" s="75"/>
      <c r="H47" s="4"/>
      <c r="I47" s="4"/>
      <c r="J47" s="203"/>
      <c r="L47" s="4"/>
      <c r="M47" s="617">
        <f>SUM(D45:D47)*1000/invanare</f>
        <v>5590.3875814565827</v>
      </c>
      <c r="N47" s="733"/>
      <c r="O47" s="1249"/>
      <c r="P47" s="1312"/>
      <c r="Q47" s="1312"/>
      <c r="R47" s="1312"/>
    </row>
    <row r="48" spans="1:19" ht="14.65" customHeight="1">
      <c r="A48" s="581" t="s">
        <v>317</v>
      </c>
      <c r="B48" s="2095" t="s">
        <v>648</v>
      </c>
      <c r="C48" s="2096" t="s">
        <v>649</v>
      </c>
      <c r="D48" s="184">
        <v>34742.036</v>
      </c>
      <c r="E48" s="713"/>
      <c r="F48" s="227"/>
      <c r="G48" s="4"/>
      <c r="H48" s="4"/>
      <c r="I48" s="15"/>
      <c r="J48" s="1672" t="s">
        <v>617</v>
      </c>
      <c r="L48" s="1667"/>
      <c r="M48" s="734">
        <f>D48*1000/invanare</f>
        <v>3301.9865122611141</v>
      </c>
      <c r="N48" s="2112"/>
      <c r="O48" s="1249"/>
      <c r="P48" s="1312"/>
      <c r="Q48" s="1312"/>
      <c r="R48" s="1312"/>
    </row>
    <row r="49" spans="1:20" ht="14.65" customHeight="1" thickBot="1">
      <c r="A49" s="1842" t="s">
        <v>318</v>
      </c>
      <c r="B49" s="2101" t="s">
        <v>1106</v>
      </c>
      <c r="C49" s="567" t="s">
        <v>651</v>
      </c>
      <c r="D49" s="2094">
        <f>SUM(D45:D48)</f>
        <v>93561.611999999994</v>
      </c>
      <c r="E49" s="2118">
        <v>136950.12299999999</v>
      </c>
      <c r="F49" s="227" t="str">
        <f>IF(D49&gt;E49,"konc. &lt; komm.",IF(OR(D49=0,E49=0),"Belopp saknas",""))</f>
        <v/>
      </c>
      <c r="G49" s="696" t="s">
        <v>287</v>
      </c>
      <c r="H49" s="697" t="s">
        <v>650</v>
      </c>
      <c r="I49" s="1663" t="s">
        <v>1162</v>
      </c>
      <c r="J49" s="1666">
        <v>3311.527</v>
      </c>
      <c r="K49" s="1662"/>
      <c r="L49" s="1813"/>
      <c r="M49" s="617">
        <f>D49*1000/invanare</f>
        <v>8892.3740937176972</v>
      </c>
      <c r="N49" s="2110">
        <f>E49*1000/invanare</f>
        <v>13016.147326498096</v>
      </c>
      <c r="O49" s="1249"/>
      <c r="P49" s="1312"/>
      <c r="Q49" s="1312"/>
      <c r="R49" s="1312"/>
      <c r="S49" s="296"/>
      <c r="T49" s="296"/>
    </row>
    <row r="50" spans="1:20" ht="14.65" customHeight="1">
      <c r="A50" s="2197" t="s">
        <v>1113</v>
      </c>
      <c r="B50" s="2199" t="s">
        <v>1107</v>
      </c>
      <c r="C50" s="2204" t="s">
        <v>1108</v>
      </c>
      <c r="D50" s="2098">
        <v>111394.999</v>
      </c>
      <c r="E50" s="2099">
        <v>118384.67200000001</v>
      </c>
      <c r="F50" s="2100" t="str">
        <f>IF(D50&gt;E50,"konc. &lt; komm.",IF(OR(D50="",E50=""),"Skriv belopp eller 0",""))</f>
        <v/>
      </c>
      <c r="G50" s="1382" t="s">
        <v>959</v>
      </c>
      <c r="H50" s="1383" t="s">
        <v>1001</v>
      </c>
      <c r="I50" s="1663" t="s">
        <v>1163</v>
      </c>
      <c r="J50" s="1666">
        <v>26051.741000000002</v>
      </c>
      <c r="K50" s="1662"/>
      <c r="M50" s="692"/>
      <c r="N50" s="2111"/>
      <c r="O50" s="2109"/>
      <c r="P50" s="1312"/>
      <c r="Q50" s="1495"/>
      <c r="R50" s="1495"/>
    </row>
    <row r="51" spans="1:20" ht="14.65" customHeight="1">
      <c r="A51" s="581" t="s">
        <v>319</v>
      </c>
      <c r="B51" s="2200" t="s">
        <v>1133</v>
      </c>
      <c r="C51" s="2203" t="s">
        <v>1156</v>
      </c>
      <c r="D51" s="184">
        <v>252639.05499999999</v>
      </c>
      <c r="E51" s="1917">
        <v>491521.42800000001</v>
      </c>
      <c r="F51" s="227" t="str">
        <f>IF(D51&gt;E51,"konc. &lt; komm.",IF(OR(D51="",E51=""),"Skriv belopp eller 0",""))</f>
        <v/>
      </c>
      <c r="G51" s="181"/>
      <c r="H51" s="4"/>
      <c r="I51" s="170"/>
      <c r="J51" s="140"/>
      <c r="K51" s="170"/>
      <c r="L51" s="1813"/>
      <c r="M51" s="731"/>
      <c r="N51" s="732"/>
      <c r="O51" s="1249"/>
      <c r="P51" s="1312"/>
      <c r="Q51" s="1312"/>
      <c r="R51" s="1312"/>
    </row>
    <row r="52" spans="1:20" ht="14.65" customHeight="1">
      <c r="A52" s="579" t="s">
        <v>320</v>
      </c>
      <c r="B52" s="2200" t="s">
        <v>1134</v>
      </c>
      <c r="C52" s="2205" t="s">
        <v>1135</v>
      </c>
      <c r="D52" s="184">
        <v>14705.537</v>
      </c>
      <c r="E52" s="1660">
        <v>14852.058999999999</v>
      </c>
      <c r="F52" s="227" t="str">
        <f>IF(OR(D52="",E52=""),"Skriv belopp eller 0","")</f>
        <v/>
      </c>
      <c r="G52" s="181"/>
      <c r="H52" s="4"/>
      <c r="I52" s="170"/>
      <c r="J52" s="213"/>
      <c r="K52" s="1669"/>
      <c r="L52" s="1813"/>
      <c r="M52" s="731"/>
      <c r="N52" s="732"/>
      <c r="O52" s="1249"/>
      <c r="P52" s="1312"/>
      <c r="Q52" s="1312"/>
      <c r="R52" s="1312"/>
    </row>
    <row r="53" spans="1:20" ht="14.65" customHeight="1">
      <c r="A53" s="579" t="s">
        <v>321</v>
      </c>
      <c r="B53" s="662">
        <v>236</v>
      </c>
      <c r="C53" s="550" t="s">
        <v>652</v>
      </c>
      <c r="D53" s="184">
        <v>3551.672</v>
      </c>
      <c r="E53" s="713"/>
      <c r="F53" s="1223"/>
      <c r="G53" s="181"/>
      <c r="H53" s="4"/>
      <c r="I53" s="1670"/>
      <c r="J53" s="1664" t="s">
        <v>617</v>
      </c>
      <c r="K53" s="1665" t="s">
        <v>720</v>
      </c>
      <c r="L53" s="197"/>
      <c r="M53" s="731"/>
      <c r="N53" s="732"/>
      <c r="O53" s="1249"/>
      <c r="P53" s="1312"/>
      <c r="Q53" s="1312"/>
      <c r="R53" s="1312"/>
    </row>
    <row r="54" spans="1:20" ht="14.65" customHeight="1">
      <c r="A54" s="579" t="s">
        <v>322</v>
      </c>
      <c r="B54" s="662" t="s">
        <v>777</v>
      </c>
      <c r="C54" s="550" t="s">
        <v>1005</v>
      </c>
      <c r="D54" s="189">
        <v>8712.1370000000006</v>
      </c>
      <c r="E54" s="1660">
        <v>19203.028999999999</v>
      </c>
      <c r="F54" s="227" t="str">
        <f>IF(OR(D54="",E54=""),"Skriv belopp eller 0","")</f>
        <v/>
      </c>
      <c r="G54" s="1382" t="s">
        <v>960</v>
      </c>
      <c r="H54" s="2207" t="s">
        <v>999</v>
      </c>
      <c r="I54" s="2209" t="s">
        <v>1164</v>
      </c>
      <c r="J54" s="1666">
        <v>14907.673000000001</v>
      </c>
      <c r="K54" s="1666">
        <v>16701.213</v>
      </c>
      <c r="L54" s="1813"/>
      <c r="M54" s="692"/>
      <c r="N54" s="732"/>
      <c r="O54" s="1249"/>
      <c r="P54" s="1312"/>
      <c r="Q54" s="1312"/>
      <c r="R54" s="1312"/>
      <c r="S54" s="1239"/>
      <c r="T54" s="1239"/>
    </row>
    <row r="55" spans="1:20" ht="19.5" customHeight="1">
      <c r="A55" s="579" t="s">
        <v>798</v>
      </c>
      <c r="B55" s="662" t="s">
        <v>776</v>
      </c>
      <c r="C55" s="587" t="s">
        <v>1075</v>
      </c>
      <c r="D55" s="189">
        <v>30355.43</v>
      </c>
      <c r="E55" s="1660">
        <v>38852.555</v>
      </c>
      <c r="F55" s="227" t="str">
        <f>IF(D55&gt;E55,"konc. &lt; komm.",IF(OR(D55="",E55=""),"Skriv belopp eller 0",""))</f>
        <v/>
      </c>
      <c r="G55" s="1671"/>
      <c r="H55" s="1671"/>
      <c r="I55" s="1447"/>
      <c r="J55" s="140" t="str">
        <f>IF(AND(D55=0,J54=0),"",IF(SUM(J54)&gt;D55,"Däravrad 132 &gt; rad 087",IF(AND(D55&gt;10,J54=""),"Rad 132: skriv belopp eller 0","")))</f>
        <v/>
      </c>
      <c r="K55" s="140" t="str">
        <f>IF(AND(E55=0,K54=0),"",IF(SUM(K54)&gt;E55,"Däravrad 132 &gt; rad 087",IF(AND(E55&gt;10,K54=""),"Rad 132: skriv belopp eller 0",IF(J54&gt;K54,"konc.&lt;kommun",""))))</f>
        <v/>
      </c>
      <c r="L55" s="183"/>
      <c r="M55" s="692"/>
      <c r="N55" s="732"/>
      <c r="O55" s="1249"/>
      <c r="P55" s="1312"/>
      <c r="Q55" s="1312"/>
      <c r="R55" s="1312"/>
      <c r="S55" s="1239"/>
      <c r="T55" s="1239"/>
    </row>
    <row r="56" spans="1:20" ht="14.65" customHeight="1">
      <c r="A56" s="579" t="s">
        <v>323</v>
      </c>
      <c r="B56" s="663" t="s">
        <v>653</v>
      </c>
      <c r="C56" s="605" t="s">
        <v>654</v>
      </c>
      <c r="D56" s="190">
        <v>39837.398000000001</v>
      </c>
      <c r="E56" s="1660">
        <v>18203.052</v>
      </c>
      <c r="F56" s="227"/>
      <c r="G56" s="1385" t="s">
        <v>961</v>
      </c>
      <c r="H56" s="1386" t="s">
        <v>1000</v>
      </c>
      <c r="I56" s="2210" t="s">
        <v>1165</v>
      </c>
      <c r="J56" s="1856">
        <v>67899.837</v>
      </c>
      <c r="K56" s="1857">
        <v>72912.138999999996</v>
      </c>
      <c r="L56" s="1224" t="str">
        <f>IF(AND(D57=0,J56=0,E57=0,K56=0),"",IF(SUM(J56)&gt;D57,"Däravrad 133 &gt; rad 089",IF(AND(D57&gt;10,J56=""),"Rad 133,kommun: skriv belopp eller 0",IF(AND(E57=0,K56=0),"",IF(SUM(K56)&gt;E57,"Koncern:Däravrad 133&gt;rad 089",IF(AND(E57&gt;10,K56=""),"Rad 133,koncern:skriv belopp eller 0",""))))))</f>
        <v/>
      </c>
      <c r="M56" s="692"/>
      <c r="N56" s="732"/>
      <c r="O56" s="1249"/>
      <c r="P56" s="1312"/>
      <c r="Q56" s="1301"/>
      <c r="R56" s="1312"/>
      <c r="S56" s="1239"/>
      <c r="T56" s="1239"/>
    </row>
    <row r="57" spans="1:20" ht="14.65" customHeight="1" thickBot="1">
      <c r="A57" s="583" t="s">
        <v>324</v>
      </c>
      <c r="B57" s="716">
        <v>23</v>
      </c>
      <c r="C57" s="567" t="s">
        <v>655</v>
      </c>
      <c r="D57" s="342">
        <f>SUM(D50:D56)</f>
        <v>461196.228</v>
      </c>
      <c r="E57" s="342">
        <f>SUM(E50:E52,E54:E56)</f>
        <v>701016.79500000004</v>
      </c>
      <c r="F57" s="227"/>
      <c r="G57" s="1842" t="s">
        <v>342</v>
      </c>
      <c r="H57" s="1846" t="s">
        <v>1000</v>
      </c>
      <c r="I57" s="1843" t="s">
        <v>1170</v>
      </c>
      <c r="J57" s="1798">
        <v>182988.39799999999</v>
      </c>
      <c r="K57" s="1863"/>
      <c r="L57" s="1224" t="str">
        <f>IF(AND(D57=0,J57=0),"",IF(SUM(J57)&gt;D57,"Däravrad 088 &gt; rad 089",IF(AND(D57&gt;10,J57=""),"Rad 088,kommun: skriv belopp eller 0","")))</f>
        <v/>
      </c>
      <c r="M57" s="617">
        <f>D57*1000/invanare</f>
        <v>43833.462274971498</v>
      </c>
      <c r="N57" s="618">
        <f>E57*1000/invanare</f>
        <v>66626.722796514121</v>
      </c>
      <c r="O57" s="1249"/>
      <c r="P57" s="1312"/>
      <c r="Q57" s="1495"/>
      <c r="R57" s="1495"/>
    </row>
    <row r="58" spans="1:20" ht="18" customHeight="1">
      <c r="A58" s="579" t="s">
        <v>325</v>
      </c>
      <c r="B58" s="717" t="s">
        <v>656</v>
      </c>
      <c r="C58" s="550" t="s">
        <v>657</v>
      </c>
      <c r="D58" s="184">
        <v>88354.111999999994</v>
      </c>
      <c r="E58" s="713"/>
      <c r="F58" s="227"/>
      <c r="G58" s="1253" t="s">
        <v>327</v>
      </c>
      <c r="H58" s="2016" t="s">
        <v>724</v>
      </c>
      <c r="I58" s="2157" t="s">
        <v>1166</v>
      </c>
      <c r="J58" s="2017">
        <v>21748.398000000001</v>
      </c>
      <c r="K58" s="1847" t="s">
        <v>1004</v>
      </c>
      <c r="L58" s="140" t="str">
        <f>IF(AND(D58=0,J58=0),"",IF(SUM(J58)&gt;D58,"Däravrad 091 &gt; rad 090",IF(AND(D58&gt;10,J58=""),"Rad 091: skriv belopp eller 0","")))</f>
        <v/>
      </c>
      <c r="M58" s="731"/>
      <c r="N58" s="732"/>
      <c r="O58" s="1249"/>
      <c r="P58" s="1312"/>
      <c r="Q58" s="1301"/>
      <c r="R58" s="1312"/>
      <c r="S58" s="296"/>
      <c r="T58" s="296"/>
    </row>
    <row r="59" spans="1:20" ht="14.65" customHeight="1">
      <c r="A59" s="579" t="s">
        <v>326</v>
      </c>
      <c r="B59" s="663" t="s">
        <v>658</v>
      </c>
      <c r="C59" s="555" t="s">
        <v>659</v>
      </c>
      <c r="D59" s="184">
        <v>39502.57</v>
      </c>
      <c r="E59" s="713"/>
      <c r="F59" s="1223"/>
      <c r="G59" s="1382" t="s">
        <v>962</v>
      </c>
      <c r="H59" s="2114" t="s">
        <v>963</v>
      </c>
      <c r="I59" s="2115" t="s">
        <v>1167</v>
      </c>
      <c r="J59" s="2116">
        <v>39544.402000000002</v>
      </c>
      <c r="K59" s="1981" t="s">
        <v>1003</v>
      </c>
      <c r="L59" s="1648" t="str">
        <f>IF(AND(D58=0,J59=0),"",IF(SUM(J59)&gt;D58,"Däravrad 134 &gt; rad 090",IF(J59="","skriv belopp eller 0","")))</f>
        <v/>
      </c>
      <c r="M59" s="731"/>
      <c r="N59" s="732"/>
      <c r="O59" s="1249"/>
      <c r="P59" s="1312"/>
      <c r="Q59" s="1301"/>
      <c r="R59" s="1312"/>
      <c r="S59" s="296"/>
      <c r="T59" s="296"/>
    </row>
    <row r="60" spans="1:20" ht="14.65" customHeight="1" thickBot="1">
      <c r="A60" s="579" t="s">
        <v>343</v>
      </c>
      <c r="B60" s="663">
        <v>271</v>
      </c>
      <c r="C60" s="555" t="s">
        <v>10</v>
      </c>
      <c r="D60" s="184">
        <v>6257.576</v>
      </c>
      <c r="E60" s="713"/>
      <c r="F60" s="1223"/>
      <c r="G60" s="2117" t="s">
        <v>2</v>
      </c>
      <c r="H60" s="2208" t="s">
        <v>1100</v>
      </c>
      <c r="I60" s="2211" t="s">
        <v>1169</v>
      </c>
      <c r="J60" s="2018">
        <v>37605.071000000004</v>
      </c>
      <c r="K60" s="1981"/>
      <c r="L60" s="1648" t="str">
        <f>IF(AND(D58=0,J60=0),"",IF(SUM(J60)&gt;D58,"Däravrad 135 &gt; rad 090",IF(J59="","skriv belopp eller 0","")))</f>
        <v/>
      </c>
      <c r="M60" s="731"/>
      <c r="N60" s="732"/>
      <c r="O60" s="1249"/>
      <c r="P60" s="1312"/>
      <c r="Q60" s="1301"/>
      <c r="R60" s="1312"/>
    </row>
    <row r="61" spans="1:20" ht="14.65" customHeight="1">
      <c r="A61" s="2198" t="s">
        <v>1143</v>
      </c>
      <c r="B61" s="2201">
        <v>272</v>
      </c>
      <c r="C61" s="2203" t="s">
        <v>1136</v>
      </c>
      <c r="D61" s="2134">
        <v>7590.4690000000001</v>
      </c>
      <c r="E61" s="2135"/>
      <c r="F61" s="227" t="str">
        <f>IF(D61&lt;&gt;0,"","Belopp saknas för kommunen")</f>
        <v/>
      </c>
      <c r="G61" s="704" t="s">
        <v>328</v>
      </c>
      <c r="H61" s="1381" t="s">
        <v>742</v>
      </c>
      <c r="I61" s="2158" t="s">
        <v>1168</v>
      </c>
      <c r="J61" s="2018">
        <v>3979.4859999999999</v>
      </c>
      <c r="K61" s="2146"/>
      <c r="L61" s="1648" t="str">
        <f>IF(AND(D59=0,J61=0),"",IF(SUM(J61)&gt;D59,"Däravrad 092 &gt; rad 086",IF(J61="","skriv belopp eller 0","")))</f>
        <v/>
      </c>
      <c r="M61" s="731"/>
      <c r="N61" s="732"/>
      <c r="O61" s="1249"/>
      <c r="P61" s="1312"/>
      <c r="Q61" s="1301"/>
      <c r="R61" s="1312"/>
    </row>
    <row r="62" spans="1:20" ht="14.65" customHeight="1">
      <c r="A62" s="579" t="s">
        <v>329</v>
      </c>
      <c r="B62" s="663">
        <v>281</v>
      </c>
      <c r="C62" s="555" t="s">
        <v>1098</v>
      </c>
      <c r="D62" s="191">
        <v>3901.6280000000002</v>
      </c>
      <c r="E62" s="724"/>
      <c r="F62" s="1223"/>
      <c r="J62" s="2145"/>
      <c r="K62" s="2144"/>
      <c r="L62" s="1224"/>
      <c r="M62" s="731"/>
      <c r="N62" s="693"/>
      <c r="O62" s="1249"/>
      <c r="P62" s="1312"/>
      <c r="Q62" s="1301"/>
      <c r="R62" s="1312"/>
    </row>
    <row r="63" spans="1:20" ht="14.65" customHeight="1">
      <c r="A63" s="579" t="s">
        <v>330</v>
      </c>
      <c r="B63" s="663" t="s">
        <v>660</v>
      </c>
      <c r="C63" s="555" t="s">
        <v>661</v>
      </c>
      <c r="D63" s="190">
        <v>19258.814999999999</v>
      </c>
      <c r="E63" s="725"/>
      <c r="F63" s="227" t="str">
        <f>IF(D63&lt;&gt;0,"","Belopp saknas för kommunen")</f>
        <v/>
      </c>
      <c r="G63" s="4"/>
      <c r="H63" s="11"/>
      <c r="I63" s="170"/>
      <c r="J63" s="1672" t="s">
        <v>617</v>
      </c>
      <c r="K63" s="1650"/>
      <c r="L63" s="197"/>
      <c r="M63" s="731"/>
      <c r="N63" s="693"/>
      <c r="O63" s="1249"/>
      <c r="P63" s="1312"/>
      <c r="Q63" s="1301"/>
      <c r="R63" s="1312"/>
    </row>
    <row r="64" spans="1:20" ht="14.65" customHeight="1">
      <c r="A64" s="579" t="s">
        <v>816</v>
      </c>
      <c r="B64" s="663">
        <v>293</v>
      </c>
      <c r="C64" s="555" t="s">
        <v>778</v>
      </c>
      <c r="D64" s="189">
        <v>10159.773999999999</v>
      </c>
      <c r="E64" s="723"/>
      <c r="F64" s="227" t="str">
        <f>IF(D64&lt;&gt;0,"","Belopp saknas för kommunen")</f>
        <v/>
      </c>
      <c r="G64" s="1382" t="s">
        <v>331</v>
      </c>
      <c r="H64" s="1383" t="s">
        <v>662</v>
      </c>
      <c r="I64" s="1663" t="s">
        <v>1171</v>
      </c>
      <c r="J64" s="1666">
        <v>3820.4029999999998</v>
      </c>
      <c r="K64" s="170"/>
      <c r="L64" s="197"/>
      <c r="M64" s="731"/>
      <c r="N64" s="693"/>
      <c r="O64" s="1249"/>
      <c r="P64" s="1312"/>
      <c r="Q64" s="1301"/>
      <c r="R64" s="1312"/>
      <c r="S64" s="296"/>
    </row>
    <row r="65" spans="1:19" ht="14.65" customHeight="1">
      <c r="A65" s="579" t="s">
        <v>332</v>
      </c>
      <c r="B65" s="663" t="s">
        <v>663</v>
      </c>
      <c r="C65" s="555" t="s">
        <v>755</v>
      </c>
      <c r="D65" s="189">
        <v>12986.046</v>
      </c>
      <c r="E65" s="723"/>
      <c r="F65" s="227" t="str">
        <f>IF(D65&lt;&gt;0,"","Belopp saknas för kommunen")</f>
        <v/>
      </c>
      <c r="J65" s="2147" t="str">
        <f>IF(AND(D64=0,J64=0),"",IF(SUM(J64)&gt;D64,"Däravrad 095 &gt; rad 104",IF(J64="","skriv belopp eller 0","")))</f>
        <v/>
      </c>
      <c r="K65" s="1437"/>
      <c r="L65" s="1648"/>
      <c r="M65" s="731"/>
      <c r="N65" s="693"/>
      <c r="O65" s="1249"/>
      <c r="P65" s="1312"/>
      <c r="Q65" s="1301"/>
      <c r="R65" s="1312"/>
    </row>
    <row r="66" spans="1:19" ht="14.65" customHeight="1">
      <c r="A66" s="579" t="s">
        <v>445</v>
      </c>
      <c r="B66" s="663" t="s">
        <v>11</v>
      </c>
      <c r="C66" s="555" t="s">
        <v>12</v>
      </c>
      <c r="D66" s="189">
        <v>599.255</v>
      </c>
      <c r="E66" s="723"/>
      <c r="F66" s="1223"/>
      <c r="G66" s="4"/>
      <c r="H66" s="4"/>
      <c r="I66" s="4"/>
      <c r="J66" s="140"/>
      <c r="K66" s="140"/>
      <c r="L66" s="197"/>
      <c r="M66" s="731"/>
      <c r="N66" s="693"/>
      <c r="O66" s="1249"/>
      <c r="P66" s="1312"/>
      <c r="Q66" s="1301"/>
      <c r="R66" s="1312"/>
    </row>
    <row r="67" spans="1:19" ht="14.65" customHeight="1">
      <c r="A67" s="579" t="s">
        <v>333</v>
      </c>
      <c r="B67" s="662" t="s">
        <v>664</v>
      </c>
      <c r="C67" s="550" t="s">
        <v>666</v>
      </c>
      <c r="D67" s="189">
        <v>35303.737000000001</v>
      </c>
      <c r="E67" s="723"/>
      <c r="F67" s="1223"/>
      <c r="G67" s="4"/>
      <c r="H67" s="182"/>
      <c r="I67" s="4"/>
      <c r="J67" s="180"/>
      <c r="K67" s="1672" t="s">
        <v>720</v>
      </c>
      <c r="L67" s="197"/>
      <c r="M67" s="731"/>
      <c r="N67" s="693"/>
      <c r="O67" s="1249"/>
      <c r="P67" s="1312"/>
      <c r="Q67" s="1312"/>
      <c r="R67" s="1312"/>
    </row>
    <row r="68" spans="1:19" ht="14.65" customHeight="1" thickBot="1">
      <c r="A68" s="581" t="s">
        <v>334</v>
      </c>
      <c r="B68" s="718" t="s">
        <v>667</v>
      </c>
      <c r="C68" s="719" t="s">
        <v>668</v>
      </c>
      <c r="D68" s="346">
        <f>SUM(D58:D67)</f>
        <v>223913.98200000002</v>
      </c>
      <c r="E68" s="187">
        <v>301483.97899999999</v>
      </c>
      <c r="F68" s="227" t="str">
        <f>IF(E68="","Skriv belopp eller 0 för koncernen","")</f>
        <v/>
      </c>
      <c r="G68" s="696" t="s">
        <v>325</v>
      </c>
      <c r="H68" s="2159">
        <v>24</v>
      </c>
      <c r="I68" s="1985" t="s">
        <v>1173</v>
      </c>
      <c r="J68" s="1986"/>
      <c r="K68" s="1854">
        <v>84639.481</v>
      </c>
      <c r="L68" s="1648" t="str">
        <f>IF(AND(E68=0,K68=0),"",IF(SUM(K68)&gt;E68,"Därav-rad 090&gt;rad 098 (Excel K68&gt;E68)",IF(AND(E68&gt;100,K68=""),"Rad 090: skriv belopp eller 0","")))</f>
        <v/>
      </c>
      <c r="M68" s="735">
        <f>D68*1000/invanare</f>
        <v>21281.451336665414</v>
      </c>
      <c r="N68" s="736">
        <f>E68*1000/invanare</f>
        <v>28653.93474121128</v>
      </c>
      <c r="O68" s="1249"/>
      <c r="P68" s="1312"/>
      <c r="Q68" s="1495"/>
      <c r="R68" s="1495"/>
    </row>
    <row r="69" spans="1:19" ht="14.25" customHeight="1" thickBot="1">
      <c r="A69" s="572" t="s">
        <v>335</v>
      </c>
      <c r="B69" s="666" t="s">
        <v>669</v>
      </c>
      <c r="C69" s="536" t="s">
        <v>670</v>
      </c>
      <c r="D69" s="335">
        <f>SUM(D57,D68)</f>
        <v>685110.21</v>
      </c>
      <c r="E69" s="347">
        <f>SUM(E57,E68)</f>
        <v>1002500.774</v>
      </c>
      <c r="F69" s="1223"/>
      <c r="G69" s="1382" t="s">
        <v>962</v>
      </c>
      <c r="H69" s="1883" t="s">
        <v>963</v>
      </c>
      <c r="I69" s="1845" t="s">
        <v>1172</v>
      </c>
      <c r="J69" s="1844"/>
      <c r="K69" s="1855">
        <v>52406.936000000002</v>
      </c>
      <c r="L69" s="1648" t="str">
        <f>IF(AND(K68=0,K69=0),"",IF(SUM(K69)&gt;K68,"Varav-rad 134&gt;rad 090",IF(AND(K68&gt;100,K69=""),"Rad 134, skriv belopp eller 0","")))</f>
        <v/>
      </c>
      <c r="M69" s="1249"/>
      <c r="N69" s="1249"/>
      <c r="O69" s="1249"/>
      <c r="P69" s="1312"/>
      <c r="Q69" s="1495"/>
      <c r="R69" s="1495"/>
    </row>
    <row r="70" spans="1:19" ht="14.65" customHeight="1" thickBot="1">
      <c r="A70" s="720">
        <v>100</v>
      </c>
      <c r="B70" s="721" t="s">
        <v>671</v>
      </c>
      <c r="C70" s="722" t="s">
        <v>1161</v>
      </c>
      <c r="D70" s="348">
        <f>SUM(D43,D49,D57,D68)</f>
        <v>1384537.3369999998</v>
      </c>
      <c r="E70" s="344">
        <f>SUM(E43,E49,E57,E68)</f>
        <v>1945792.6470000001</v>
      </c>
      <c r="F70" s="1223"/>
      <c r="G70" s="4"/>
      <c r="H70" s="183"/>
      <c r="I70" s="4"/>
      <c r="J70" s="1648"/>
      <c r="K70" s="1648"/>
      <c r="L70" s="1648"/>
      <c r="M70" s="66"/>
      <c r="N70" s="66"/>
      <c r="O70" s="215"/>
      <c r="P70" s="1312"/>
      <c r="Q70" s="1495"/>
      <c r="R70" s="1495"/>
    </row>
    <row r="71" spans="1:19">
      <c r="A71" s="1318" t="s">
        <v>1137</v>
      </c>
      <c r="B71" s="143"/>
      <c r="C71" s="145"/>
      <c r="D71" s="12"/>
      <c r="E71" s="12"/>
      <c r="F71" s="1223"/>
      <c r="G71" s="738" t="s">
        <v>527</v>
      </c>
      <c r="H71" s="739"/>
      <c r="I71" s="739"/>
      <c r="J71" s="740"/>
      <c r="L71" s="197"/>
      <c r="M71" s="621">
        <f>J57*1000/invanare</f>
        <v>17391.762016948822</v>
      </c>
      <c r="N71" s="737"/>
      <c r="O71" s="1283"/>
      <c r="P71" s="1498"/>
      <c r="Q71" s="1499"/>
      <c r="R71" s="1499"/>
    </row>
    <row r="72" spans="1:19">
      <c r="A72" s="1318"/>
      <c r="B72" s="143"/>
      <c r="C72" s="145"/>
      <c r="D72" s="12"/>
      <c r="E72" s="12"/>
      <c r="F72" s="1223"/>
      <c r="G72" s="741" t="s">
        <v>523</v>
      </c>
      <c r="H72" s="742"/>
      <c r="I72" s="742"/>
      <c r="J72" s="743"/>
      <c r="L72" s="197"/>
      <c r="M72" s="1812">
        <f>SUM(D57-J57)*1000/invanare</f>
        <v>26441.700258022673</v>
      </c>
      <c r="N72" s="689"/>
      <c r="O72" s="1283"/>
      <c r="Q72" s="2498"/>
      <c r="R72" s="2498"/>
      <c r="S72" s="2498"/>
    </row>
    <row r="73" spans="1:19" ht="15" customHeight="1">
      <c r="A73" s="169"/>
      <c r="B73" s="10"/>
      <c r="C73" s="8"/>
      <c r="D73" s="12"/>
      <c r="E73" s="12"/>
      <c r="F73" s="1223"/>
      <c r="G73" s="744" t="s">
        <v>521</v>
      </c>
      <c r="H73" s="745"/>
      <c r="I73" s="745"/>
      <c r="J73" s="743"/>
      <c r="M73" s="617">
        <f>IF(D33=0,"",D43*100/D33)</f>
        <v>43.759411819979789</v>
      </c>
      <c r="N73" s="618">
        <f>IF(E33=0,"",E43*100/E33)</f>
        <v>41.440265369328074</v>
      </c>
      <c r="O73" s="1249"/>
      <c r="Q73" s="2498"/>
      <c r="R73" s="2498"/>
      <c r="S73" s="2498"/>
    </row>
    <row r="74" spans="1:19" ht="18" customHeight="1" thickBot="1">
      <c r="A74" s="2000" t="s">
        <v>736</v>
      </c>
      <c r="D74" s="12"/>
      <c r="E74" s="12"/>
      <c r="F74" s="1223"/>
      <c r="G74" s="2492" t="s">
        <v>522</v>
      </c>
      <c r="H74" s="2493"/>
      <c r="I74" s="2493"/>
      <c r="J74" s="2494"/>
      <c r="K74" s="281"/>
      <c r="L74" s="169"/>
      <c r="M74" s="620">
        <f>IF(D33=0,"",(D43-E80)*100/D33)</f>
        <v>31.856867194920849</v>
      </c>
      <c r="N74" s="736">
        <f>IF(E33=0,"",(E43-E80)*100/E33)</f>
        <v>32.970956779423915</v>
      </c>
      <c r="O74" s="1249"/>
      <c r="Q74" s="143"/>
      <c r="R74" s="143"/>
    </row>
    <row r="75" spans="1:19" ht="27">
      <c r="A75" s="2137" t="s">
        <v>1141</v>
      </c>
      <c r="B75" s="1995" t="s">
        <v>616</v>
      </c>
      <c r="C75" s="1996"/>
      <c r="D75" s="2138" t="s">
        <v>1142</v>
      </c>
      <c r="E75" s="670" t="s">
        <v>617</v>
      </c>
      <c r="F75" s="1223"/>
      <c r="G75" s="4"/>
      <c r="H75" s="4"/>
      <c r="I75" s="4"/>
      <c r="J75" s="4"/>
      <c r="K75" s="4"/>
      <c r="L75" s="169"/>
      <c r="M75" s="746" t="str">
        <f>"Föränd. %  "&amp;År-1&amp;" - "&amp;År&amp;" "</f>
        <v xml:space="preserve">Föränd. %  2021 - 2022 </v>
      </c>
      <c r="N75" s="746" t="s">
        <v>1140</v>
      </c>
    </row>
    <row r="76" spans="1:19" ht="17.25" customHeight="1">
      <c r="A76" s="579" t="s">
        <v>337</v>
      </c>
      <c r="B76" s="751" t="s">
        <v>672</v>
      </c>
      <c r="C76" s="1997"/>
      <c r="D76" s="752">
        <v>150257.51199999999</v>
      </c>
      <c r="E76" s="98">
        <v>153579.12599999999</v>
      </c>
      <c r="F76" s="1850"/>
      <c r="G76" s="4"/>
      <c r="H76" s="4"/>
      <c r="I76" s="4"/>
      <c r="J76" s="4"/>
      <c r="K76" s="4"/>
      <c r="L76" s="4"/>
      <c r="M76" s="747">
        <f t="shared" ref="M76:M81" si="0">IF(AND(D76=0,E76=0),"",IF(E76=0,1,IF(D76=0,-1,E76/D76-1)))</f>
        <v>2.2106142686563413E-2</v>
      </c>
      <c r="N76" s="748">
        <f t="shared" ref="N76:N81" si="1">E76*1000/invanare</f>
        <v>14596.617268396423</v>
      </c>
      <c r="O76" s="1308"/>
      <c r="Q76" s="1239"/>
      <c r="R76" s="1239"/>
    </row>
    <row r="77" spans="1:19" ht="15.75" customHeight="1">
      <c r="A77" s="579" t="s">
        <v>338</v>
      </c>
      <c r="B77" s="2202" t="s">
        <v>1174</v>
      </c>
      <c r="C77" s="2206"/>
      <c r="D77" s="754">
        <v>5911.6170000000002</v>
      </c>
      <c r="E77" s="98">
        <v>6031.0420000000004</v>
      </c>
      <c r="F77" s="1850"/>
      <c r="G77" s="4"/>
      <c r="H77" s="4"/>
      <c r="I77" s="4"/>
      <c r="J77" s="4"/>
      <c r="K77" s="4"/>
      <c r="L77" s="4"/>
      <c r="M77" s="749">
        <f t="shared" si="0"/>
        <v>2.0201748523289043E-2</v>
      </c>
      <c r="N77" s="748">
        <f t="shared" si="1"/>
        <v>573.20818327631389</v>
      </c>
      <c r="O77" s="1249"/>
      <c r="Q77" s="1239"/>
      <c r="R77" s="1239"/>
    </row>
    <row r="78" spans="1:19" ht="18.75" customHeight="1">
      <c r="A78" s="579" t="s">
        <v>213</v>
      </c>
      <c r="B78" s="753" t="s">
        <v>673</v>
      </c>
      <c r="C78" s="562"/>
      <c r="D78" s="754">
        <v>132099.93599999999</v>
      </c>
      <c r="E78" s="98">
        <v>138625.82199999999</v>
      </c>
      <c r="F78" s="1850"/>
      <c r="G78" s="4"/>
      <c r="H78" s="4"/>
      <c r="I78" s="4"/>
      <c r="J78" s="4"/>
      <c r="K78" s="4"/>
      <c r="L78" s="4"/>
      <c r="M78" s="749">
        <f t="shared" si="0"/>
        <v>4.9401129157246482E-2</v>
      </c>
      <c r="N78" s="748">
        <f t="shared" si="1"/>
        <v>13175.410747231683</v>
      </c>
      <c r="O78" s="1249"/>
      <c r="Q78" s="1239"/>
      <c r="R78" s="1239"/>
    </row>
    <row r="79" spans="1:19" ht="18">
      <c r="A79" s="579" t="s">
        <v>339</v>
      </c>
      <c r="B79" s="1998" t="s">
        <v>1175</v>
      </c>
      <c r="C79" s="1999" t="s">
        <v>947</v>
      </c>
      <c r="D79" s="754">
        <v>22352.445</v>
      </c>
      <c r="E79" s="98">
        <v>20322.388999999999</v>
      </c>
      <c r="F79" s="1850"/>
      <c r="G79" s="4"/>
      <c r="H79" s="4"/>
      <c r="I79" s="4"/>
      <c r="J79" s="4"/>
      <c r="K79" s="4"/>
      <c r="L79" s="4"/>
      <c r="M79" s="749">
        <f t="shared" si="0"/>
        <v>-9.0820310708739083E-2</v>
      </c>
      <c r="N79" s="748">
        <f t="shared" si="1"/>
        <v>1931.5003408241137</v>
      </c>
      <c r="O79" s="1249"/>
      <c r="Q79" s="1239"/>
      <c r="R79" s="1239"/>
    </row>
    <row r="80" spans="1:19" ht="18.75" customHeight="1">
      <c r="A80" s="579" t="s">
        <v>340</v>
      </c>
      <c r="B80" s="1983" t="s">
        <v>948</v>
      </c>
      <c r="C80" s="1984" t="s">
        <v>949</v>
      </c>
      <c r="D80" s="754">
        <v>172797.40700000001</v>
      </c>
      <c r="E80" s="185">
        <v>164795.20699999999</v>
      </c>
      <c r="F80" s="227"/>
      <c r="G80" s="4"/>
      <c r="H80" s="4"/>
      <c r="I80" s="4"/>
      <c r="J80" s="4"/>
      <c r="K80" s="197"/>
      <c r="L80" s="4"/>
      <c r="M80" s="749">
        <f t="shared" si="0"/>
        <v>-4.6309722691614263E-2</v>
      </c>
      <c r="N80" s="748">
        <f t="shared" si="1"/>
        <v>15662.626991673094</v>
      </c>
      <c r="O80" s="1249"/>
      <c r="Q80" s="1239"/>
      <c r="R80" s="1239"/>
    </row>
    <row r="81" spans="1:18" ht="15" customHeight="1" thickBot="1">
      <c r="A81" s="583" t="s">
        <v>341</v>
      </c>
      <c r="B81" s="755" t="s">
        <v>674</v>
      </c>
      <c r="C81" s="756"/>
      <c r="D81" s="757">
        <f>SUM(D76:D80)</f>
        <v>483418.91699999996</v>
      </c>
      <c r="E81" s="349">
        <f>SUM(E76:E80)</f>
        <v>483353.58600000001</v>
      </c>
      <c r="F81" s="227"/>
      <c r="G81" s="1385" t="s">
        <v>893</v>
      </c>
      <c r="H81" s="1386"/>
      <c r="I81" s="751" t="s">
        <v>888</v>
      </c>
      <c r="J81" s="285">
        <v>299693.96899999998</v>
      </c>
      <c r="K81" s="140"/>
      <c r="L81" s="4"/>
      <c r="M81" s="750">
        <f t="shared" si="0"/>
        <v>-1.3514365636613235E-4</v>
      </c>
      <c r="N81" s="633">
        <f t="shared" si="1"/>
        <v>45939.363531401628</v>
      </c>
      <c r="O81" s="1249"/>
      <c r="Q81" s="1239"/>
      <c r="R81" s="1239"/>
    </row>
    <row r="82" spans="1:18">
      <c r="A82" s="13"/>
      <c r="B82" s="1"/>
      <c r="C82" s="1"/>
      <c r="D82" s="1"/>
      <c r="E82" s="1"/>
      <c r="F82" s="1223"/>
      <c r="G82" s="1484" t="s">
        <v>894</v>
      </c>
      <c r="H82" s="1381"/>
      <c r="I82" s="1452" t="s">
        <v>891</v>
      </c>
      <c r="J82" s="284">
        <v>201060.242</v>
      </c>
      <c r="K82" s="140"/>
      <c r="L82" s="4"/>
      <c r="M82" s="4"/>
      <c r="N82" s="4"/>
      <c r="O82" s="1249"/>
      <c r="Q82" s="141"/>
      <c r="R82" s="141"/>
    </row>
    <row r="83" spans="1:18">
      <c r="A83" s="13"/>
      <c r="B83" s="1"/>
      <c r="C83" s="1"/>
      <c r="D83" s="1"/>
      <c r="E83" s="1"/>
      <c r="F83" s="1223"/>
      <c r="G83" s="1312"/>
      <c r="H83" s="1504"/>
      <c r="I83" s="1239"/>
      <c r="J83" s="1437"/>
      <c r="K83" s="140"/>
      <c r="L83" s="4"/>
      <c r="M83" s="4"/>
      <c r="N83" s="4"/>
      <c r="O83" s="1249"/>
      <c r="Q83" s="141"/>
      <c r="R83" s="141"/>
    </row>
    <row r="84" spans="1:18" ht="16.5" thickBot="1">
      <c r="A84" s="73" t="s">
        <v>190</v>
      </c>
      <c r="B84" s="4"/>
      <c r="C84" s="4"/>
      <c r="D84" s="4"/>
      <c r="E84" s="4"/>
      <c r="F84" s="1223"/>
      <c r="G84" s="4"/>
      <c r="H84" s="4"/>
      <c r="I84" s="4"/>
      <c r="J84" s="140"/>
      <c r="K84" s="1662"/>
      <c r="L84" s="322"/>
      <c r="M84" s="4"/>
      <c r="N84" s="4"/>
    </row>
    <row r="85" spans="1:18" ht="13.5" thickBot="1">
      <c r="A85" s="2139" t="s">
        <v>336</v>
      </c>
      <c r="B85" s="2140" t="str">
        <f>"Ackumulerat  ej återställt negativt balanskravsresultat inkl. "&amp;År&amp;" års balanskravsresultat"</f>
        <v>Ackumulerat  ej återställt negativt balanskravsresultat inkl. 2022 års balanskravsresultat</v>
      </c>
      <c r="C85" s="2141"/>
      <c r="D85" s="2142"/>
      <c r="E85" s="2143">
        <v>70.14</v>
      </c>
      <c r="F85" s="227" t="str">
        <f>IF(E85="","Skriv belopp eller 0 på rad 108",IF(E85&lt;0,"Inga minustecken ska anges på rad 108",""))</f>
        <v/>
      </c>
      <c r="G85" s="4"/>
      <c r="H85" s="4"/>
      <c r="I85" s="4"/>
      <c r="J85" s="4"/>
      <c r="K85" s="140"/>
      <c r="L85" s="4"/>
      <c r="M85" s="4"/>
      <c r="N85" s="4"/>
      <c r="Q85" s="1239"/>
      <c r="R85" s="1239"/>
    </row>
    <row r="86" spans="1:18">
      <c r="A86" s="1902"/>
      <c r="B86" s="1903"/>
      <c r="C86" s="1903"/>
      <c r="D86" s="1904"/>
      <c r="E86" s="1901"/>
      <c r="F86" s="227"/>
      <c r="G86" s="4"/>
      <c r="H86" s="4"/>
      <c r="I86" s="4"/>
      <c r="J86" s="4"/>
      <c r="K86" s="4"/>
      <c r="L86" s="4"/>
      <c r="M86" s="4"/>
      <c r="N86" s="4"/>
      <c r="Q86" s="1239"/>
      <c r="R86" s="1239"/>
    </row>
    <row r="87" spans="1:18">
      <c r="A87" s="2196"/>
      <c r="B87" s="2196"/>
      <c r="C87" s="2196"/>
      <c r="D87" s="2196"/>
      <c r="E87" s="2196"/>
      <c r="F87" s="197"/>
      <c r="G87" s="4"/>
      <c r="H87" s="4"/>
      <c r="I87" s="4"/>
      <c r="J87" s="4"/>
      <c r="K87" s="4"/>
      <c r="L87" s="4"/>
      <c r="M87" s="4"/>
      <c r="N87" s="4"/>
      <c r="Q87" s="168"/>
      <c r="R87" s="168"/>
    </row>
    <row r="88" spans="1:18">
      <c r="A88" s="2196"/>
      <c r="B88" s="2196"/>
      <c r="C88" s="2196"/>
      <c r="D88" s="2196"/>
      <c r="E88" s="2196"/>
      <c r="F88" s="197"/>
      <c r="G88" s="4"/>
      <c r="H88" s="4"/>
      <c r="I88" s="4"/>
      <c r="J88" s="4"/>
      <c r="K88" s="4"/>
      <c r="L88" s="4"/>
      <c r="M88" s="4"/>
      <c r="N88" s="4"/>
    </row>
    <row r="89" spans="1:18">
      <c r="A89" s="2196"/>
      <c r="B89" s="2196"/>
      <c r="C89" s="2196"/>
      <c r="D89" s="2196"/>
      <c r="E89" s="2196"/>
      <c r="F89" s="197"/>
      <c r="G89" s="4"/>
      <c r="H89" s="4"/>
      <c r="I89" s="4"/>
      <c r="J89" s="4"/>
      <c r="K89" s="4"/>
      <c r="L89" s="4"/>
      <c r="M89" s="4"/>
      <c r="N89" s="4"/>
      <c r="P89" s="170"/>
      <c r="Q89" s="168"/>
      <c r="R89" s="168"/>
    </row>
    <row r="90" spans="1:18">
      <c r="A90" s="2196"/>
      <c r="B90" s="2196"/>
      <c r="C90" s="2196"/>
      <c r="D90" s="2196"/>
      <c r="E90" s="2196"/>
      <c r="F90" s="197"/>
      <c r="G90" s="4"/>
      <c r="H90" s="4"/>
      <c r="I90" s="4"/>
      <c r="J90" s="4"/>
      <c r="K90" s="4"/>
      <c r="L90" s="4"/>
      <c r="M90" s="4"/>
      <c r="N90" s="4"/>
      <c r="P90" s="170"/>
      <c r="Q90" s="168"/>
      <c r="R90" s="168"/>
    </row>
    <row r="91" spans="1:18">
      <c r="A91" s="2196"/>
      <c r="B91" s="2196"/>
      <c r="C91" s="2196"/>
      <c r="D91" s="2196"/>
      <c r="E91" s="2196"/>
      <c r="K91" s="4"/>
      <c r="L91" s="4"/>
      <c r="P91" s="170"/>
      <c r="Q91" s="168"/>
      <c r="R91" s="168"/>
    </row>
    <row r="92" spans="1:18">
      <c r="A92" s="2196"/>
      <c r="B92" s="2196"/>
      <c r="C92" s="2196"/>
      <c r="D92" s="2196"/>
      <c r="E92" s="2196"/>
      <c r="L92" s="4"/>
      <c r="Q92" s="168"/>
      <c r="R92" s="168"/>
    </row>
    <row r="93" spans="1:18"/>
    <row r="96" spans="1:18"/>
    <row r="97"/>
    <row r="112"/>
    <row r="114"/>
    <row r="115"/>
    <row r="116"/>
  </sheetData>
  <sheetProtection algorithmName="SHA-512" hashValue="MYHVQixwn29FM47vWg9zIU1cRQIfOTwAc+rByMwlMHkQcrW+Kfkx3rvwixDdtyeMqJRH6uXaPVJmeBueJ95y8w==" saltValue="qrfYKFXmRzLkHUAgxGu8Iw==" spinCount="100000" sheet="1" objects="1" scenarios="1"/>
  <customSheetViews>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1"/>
      <headerFooter alignWithMargins="0">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3"/>
      <headerFooter>
        <oddHeader>&amp;L&amp;8Statistiska Centralbyrån
Offentlig ekonomi&amp;R&amp;P</oddHeader>
      </headerFooter>
    </customSheetView>
  </customSheetViews>
  <mergeCells count="7">
    <mergeCell ref="B5:B6"/>
    <mergeCell ref="M4:N4"/>
    <mergeCell ref="M37:N37"/>
    <mergeCell ref="G74:J74"/>
    <mergeCell ref="T5:T6"/>
    <mergeCell ref="S5:S6"/>
    <mergeCell ref="Q72:S73"/>
  </mergeCells>
  <phoneticPr fontId="88" type="noConversion"/>
  <conditionalFormatting sqref="D19:E19 D9:D11 D13:D15 E9 E12 E17 E30:E31 D31 E86 D46:D48 E50 J13:K13 J15:K15 J22 M24:N24 J27:K27 J49:K49 E68 E76:E80 J56:K56 D58:D67 D21:E21 D23:D25 D27:D29 J58:K61 D51:D56 K65 J64">
    <cfRule type="cellIs" dxfId="165" priority="25" stopIfTrue="1" operator="lessThan">
      <formula>-500</formula>
    </cfRule>
  </conditionalFormatting>
  <conditionalFormatting sqref="D22">
    <cfRule type="cellIs" dxfId="164" priority="23" stopIfTrue="1" operator="lessThan">
      <formula>-500</formula>
    </cfRule>
  </conditionalFormatting>
  <conditionalFormatting sqref="K84 J81:J83">
    <cfRule type="cellIs" dxfId="163" priority="18" stopIfTrue="1" operator="lessThan">
      <formula>0</formula>
    </cfRule>
    <cfRule type="cellIs" dxfId="162" priority="22" stopIfTrue="1" operator="lessThan">
      <formula>-500</formula>
    </cfRule>
  </conditionalFormatting>
  <conditionalFormatting sqref="J20:K20">
    <cfRule type="cellIs" dxfId="161" priority="21" stopIfTrue="1" operator="lessThan">
      <formula>-500</formula>
    </cfRule>
  </conditionalFormatting>
  <conditionalFormatting sqref="D19:E19">
    <cfRule type="cellIs" dxfId="160" priority="20" stopIfTrue="1" operator="lessThan">
      <formula>0</formula>
    </cfRule>
  </conditionalFormatting>
  <conditionalFormatting sqref="E86">
    <cfRule type="cellIs" dxfId="159" priority="19" stopIfTrue="1" operator="lessThan">
      <formula>0</formula>
    </cfRule>
  </conditionalFormatting>
  <conditionalFormatting sqref="J50:K50">
    <cfRule type="cellIs" dxfId="158" priority="17" stopIfTrue="1" operator="lessThan">
      <formula>-500</formula>
    </cfRule>
  </conditionalFormatting>
  <conditionalFormatting sqref="J25">
    <cfRule type="cellIs" dxfId="157" priority="16" stopIfTrue="1" operator="lessThan">
      <formula>-500</formula>
    </cfRule>
  </conditionalFormatting>
  <conditionalFormatting sqref="J57:K57">
    <cfRule type="cellIs" dxfId="156" priority="15" stopIfTrue="1" operator="lessThan">
      <formula>-500</formula>
    </cfRule>
  </conditionalFormatting>
  <conditionalFormatting sqref="J54:K54">
    <cfRule type="cellIs" dxfId="155" priority="14" stopIfTrue="1" operator="lessThan">
      <formula>-500</formula>
    </cfRule>
  </conditionalFormatting>
  <conditionalFormatting sqref="J62:K62">
    <cfRule type="cellIs" dxfId="154" priority="12" stopIfTrue="1" operator="lessThan">
      <formula>-500</formula>
    </cfRule>
  </conditionalFormatting>
  <conditionalFormatting sqref="J26">
    <cfRule type="cellIs" dxfId="153" priority="10" stopIfTrue="1" operator="lessThan">
      <formula>-500</formula>
    </cfRule>
  </conditionalFormatting>
  <conditionalFormatting sqref="M24">
    <cfRule type="cellIs" dxfId="152" priority="8" stopIfTrue="1" operator="lessThan">
      <formula>-500</formula>
    </cfRule>
  </conditionalFormatting>
  <conditionalFormatting sqref="J26">
    <cfRule type="cellIs" dxfId="151" priority="7" stopIfTrue="1" operator="lessThan">
      <formula>-500</formula>
    </cfRule>
  </conditionalFormatting>
  <conditionalFormatting sqref="J25">
    <cfRule type="cellIs" dxfId="150" priority="6" stopIfTrue="1" operator="lessThan">
      <formula>-500</formula>
    </cfRule>
  </conditionalFormatting>
  <conditionalFormatting sqref="J24">
    <cfRule type="cellIs" dxfId="149" priority="5" stopIfTrue="1" operator="lessThan">
      <formula>-500</formula>
    </cfRule>
  </conditionalFormatting>
  <conditionalFormatting sqref="D50">
    <cfRule type="cellIs" dxfId="148" priority="4" stopIfTrue="1" operator="lessThan">
      <formula>-500</formula>
    </cfRule>
  </conditionalFormatting>
  <conditionalFormatting sqref="D45">
    <cfRule type="cellIs" dxfId="147" priority="3" stopIfTrue="1" operator="lessThan">
      <formula>-500</formula>
    </cfRule>
  </conditionalFormatting>
  <conditionalFormatting sqref="E45">
    <cfRule type="cellIs" dxfId="146" priority="1" stopIfTrue="1" operator="lessThan">
      <formula>-500</formula>
    </cfRule>
  </conditionalFormatting>
  <dataValidations count="5">
    <dataValidation type="decimal" operator="lessThan" allowBlank="1" showInputMessage="1" showErrorMessage="1" error="Beloppet ska vara i 1000 tal kronor" sqref="D9:E9 E76:E80 J49:K50 J13 J20 E68 J15 D50:D56 E50:E52 J22 D58:D67 D31 E30:E31 D46:D48 D21:E21 D19:E19 E17 D13:D16 E12 D10:D11 D39:E42 D22:D29 K56:K57 K62 K68:K69 J81:J83 E26 E54:E56 J56:J62 M24 J24 D44:E45 E85:E86 J64 K65" xr:uid="{00000000-0002-0000-0200-000000000000}">
      <formula1>999999999</formula1>
    </dataValidation>
    <dataValidation type="decimal" operator="lessThan" allowBlank="1" showInputMessage="1" showErrorMessage="1" error="Beloppet ska vara i 1000-tal kronor" sqref="J54:K54"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1"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0" max="16383" man="1"/>
  </rowBreaks>
  <ignoredErrors>
    <ignoredError sqref="B15:B16 A22:B23 A9:A21 B19 B25 B27:B30 A24:A33 H13 G15:H15 G20:H20 G22 A39:A44 B40 B43 A51:A60 B55:B56 B58:B59 A62:A69 B63 B65:B66 G49:H49 G54 H58:H59 G68:G69 H69 A76:A81 A85 G56:G60"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Normal="100" workbookViewId="0">
      <pane ySplit="1" topLeftCell="A2" activePane="bottomLeft" state="frozen"/>
      <selection sqref="A1:F1"/>
      <selection pane="bottomLeft" sqref="A1:F1"/>
    </sheetView>
  </sheetViews>
  <sheetFormatPr defaultColWidth="0" defaultRowHeight="0" customHeight="1" zeroHeight="1"/>
  <cols>
    <col min="1" max="1" width="4" style="168" customWidth="1"/>
    <col min="2" max="2" width="14.28515625" style="168" customWidth="1"/>
    <col min="3" max="3" width="40.42578125" style="168" customWidth="1"/>
    <col min="4" max="4" width="11.5703125" style="168" customWidth="1"/>
    <col min="5" max="5" width="22.5703125" style="168" customWidth="1"/>
    <col min="6" max="6" width="4" style="168" customWidth="1"/>
    <col min="7" max="7" width="8.42578125" style="168" customWidth="1"/>
    <col min="8" max="8" width="30.5703125" style="168" customWidth="1"/>
    <col min="9" max="9" width="9.28515625" style="168" customWidth="1"/>
    <col min="10" max="10" width="29.42578125" style="168" customWidth="1"/>
    <col min="11" max="11" width="1.5703125" style="168" customWidth="1"/>
    <col min="12" max="12" width="4.28515625" style="168" customWidth="1"/>
    <col min="13" max="13" width="9.28515625" style="168" customWidth="1"/>
    <col min="14" max="14" width="9.140625" style="168" customWidth="1"/>
    <col min="15" max="15" width="15" style="168" customWidth="1"/>
    <col min="16" max="16" width="1.5703125" style="168" customWidth="1"/>
    <col min="17" max="17" width="3.5703125" style="168" customWidth="1"/>
    <col min="18" max="18" width="13.7109375" style="417" customWidth="1"/>
    <col min="19" max="19" width="4.28515625" style="417" customWidth="1"/>
    <col min="20" max="20" width="8.42578125" style="168" customWidth="1"/>
    <col min="21" max="21" width="8" style="168" customWidth="1"/>
    <col min="22" max="22" width="16" style="168" customWidth="1"/>
    <col min="23" max="25" width="9.28515625" style="168" customWidth="1"/>
    <col min="26" max="16384" width="0" style="168" hidden="1"/>
  </cols>
  <sheetData>
    <row r="1" spans="1:20" s="197" customFormat="1" ht="20.25">
      <c r="A1" s="92" t="str">
        <f>"Verksamhetens intäkter och kostnader "&amp;År&amp;", miljoner kr"</f>
        <v>Verksamhetens intäkter och kostnader 2022, miljoner kr</v>
      </c>
      <c r="B1" s="167"/>
      <c r="C1" s="167"/>
      <c r="D1" s="167"/>
      <c r="E1" s="167"/>
      <c r="F1" s="167"/>
      <c r="G1" s="167"/>
      <c r="H1" s="512"/>
      <c r="I1" s="508" t="s">
        <v>453</v>
      </c>
      <c r="J1" s="509" t="str">
        <f>Information!A2</f>
        <v>RIKSTOTAL</v>
      </c>
      <c r="K1" s="509"/>
      <c r="L1" s="509"/>
      <c r="M1" s="509"/>
      <c r="N1" s="509"/>
      <c r="O1" s="509"/>
      <c r="P1" s="1297"/>
      <c r="Q1" s="168"/>
      <c r="R1" s="168"/>
      <c r="S1" s="168"/>
      <c r="T1" s="168"/>
    </row>
    <row r="2" spans="1:20" s="197" customFormat="1" ht="12.75" customHeight="1">
      <c r="A2" s="2196"/>
      <c r="B2" s="2196"/>
      <c r="C2" s="2196"/>
      <c r="D2" s="2196"/>
      <c r="E2" s="2196"/>
      <c r="F2" s="2196"/>
      <c r="G2" s="2196"/>
      <c r="H2" s="2196"/>
      <c r="I2" s="2196"/>
      <c r="J2" s="2196"/>
      <c r="K2" s="2196"/>
      <c r="L2" s="2196"/>
      <c r="M2" s="2196"/>
      <c r="N2" s="2196"/>
      <c r="O2" s="2196"/>
      <c r="Q2" s="168"/>
      <c r="R2" s="168"/>
      <c r="S2" s="168"/>
      <c r="T2" s="168"/>
    </row>
    <row r="3" spans="1:20" s="197" customFormat="1" ht="12.75" customHeight="1">
      <c r="A3" s="2196"/>
      <c r="B3" s="2196"/>
      <c r="C3" s="2196"/>
      <c r="D3" s="2196"/>
      <c r="E3" s="2196"/>
      <c r="F3" s="2196"/>
      <c r="G3" s="2196"/>
      <c r="H3" s="2196"/>
      <c r="I3" s="2196"/>
      <c r="J3" s="2196"/>
      <c r="K3" s="2196"/>
      <c r="L3" s="2196"/>
      <c r="M3" s="2196"/>
      <c r="N3" s="2196"/>
      <c r="O3" s="2196"/>
      <c r="Q3" s="168"/>
      <c r="R3" s="168"/>
      <c r="S3" s="168"/>
      <c r="T3" s="168"/>
    </row>
    <row r="4" spans="1:20" s="197" customFormat="1" ht="16.5" customHeight="1" thickBot="1">
      <c r="A4" s="73" t="s">
        <v>359</v>
      </c>
      <c r="B4" s="4"/>
      <c r="C4" s="4"/>
      <c r="D4" s="4"/>
      <c r="E4" s="78"/>
      <c r="H4" s="4"/>
      <c r="I4" s="4"/>
      <c r="J4" s="4"/>
      <c r="K4" s="4"/>
      <c r="L4" s="1241" t="str">
        <f>"Kontroller av förändring mellan "&amp;År-1&amp;" och "&amp;År&amp;""</f>
        <v>Kontroller av förändring mellan 2021 och 2022</v>
      </c>
      <c r="O4" s="2196"/>
      <c r="Q4" s="168"/>
      <c r="R4" s="168"/>
      <c r="S4" s="168"/>
      <c r="T4" s="168"/>
    </row>
    <row r="5" spans="1:20" s="197" customFormat="1" ht="12.75" customHeight="1">
      <c r="A5" s="596" t="s">
        <v>615</v>
      </c>
      <c r="B5" s="2164" t="s">
        <v>1138</v>
      </c>
      <c r="C5" s="595"/>
      <c r="D5" s="772"/>
      <c r="E5" s="4"/>
      <c r="H5" s="4"/>
      <c r="I5" s="4"/>
      <c r="J5" s="4"/>
      <c r="K5" s="4"/>
      <c r="L5" s="596" t="s">
        <v>615</v>
      </c>
      <c r="M5" s="2215" t="s">
        <v>1220</v>
      </c>
      <c r="N5" s="2224" t="s">
        <v>734</v>
      </c>
      <c r="O5" s="2196"/>
      <c r="P5" s="1298"/>
      <c r="Q5" s="88"/>
      <c r="R5" s="424"/>
      <c r="S5" s="88"/>
      <c r="T5" s="1240"/>
    </row>
    <row r="6" spans="1:20" s="197" customFormat="1" ht="15.75" customHeight="1">
      <c r="A6" s="758" t="s">
        <v>618</v>
      </c>
      <c r="B6" s="2499"/>
      <c r="C6" s="760"/>
      <c r="D6" s="773"/>
      <c r="E6" s="4"/>
      <c r="H6" s="66"/>
      <c r="I6" s="66"/>
      <c r="J6" s="4"/>
      <c r="K6" s="4"/>
      <c r="L6" s="758" t="s">
        <v>618</v>
      </c>
      <c r="M6" s="2216">
        <f>År-1</f>
        <v>2021</v>
      </c>
      <c r="N6" s="2225" t="str">
        <f>År-1&amp;-År</f>
        <v>2021-2022</v>
      </c>
      <c r="O6" s="2196"/>
      <c r="P6" s="1298"/>
      <c r="Q6" s="1500"/>
      <c r="R6" s="1301"/>
      <c r="S6" s="257"/>
      <c r="T6" s="2001"/>
    </row>
    <row r="7" spans="1:20" s="197" customFormat="1" ht="15" customHeight="1">
      <c r="A7" s="761"/>
      <c r="B7" s="2500"/>
      <c r="C7" s="762"/>
      <c r="D7" s="683"/>
      <c r="E7" s="4"/>
      <c r="H7" s="66"/>
      <c r="I7" s="66"/>
      <c r="J7" s="4"/>
      <c r="K7" s="4"/>
      <c r="L7" s="761"/>
      <c r="M7" s="2217"/>
      <c r="N7" s="2226" t="s">
        <v>735</v>
      </c>
      <c r="O7" s="2196"/>
      <c r="P7" s="1298"/>
      <c r="Q7" s="86"/>
      <c r="R7" s="1501"/>
      <c r="S7" s="1275"/>
      <c r="T7" s="1502"/>
    </row>
    <row r="8" spans="1:20" s="197" customFormat="1" ht="13.5" thickBot="1">
      <c r="A8" s="545">
        <v>130</v>
      </c>
      <c r="B8" s="2161" t="s">
        <v>743</v>
      </c>
      <c r="C8" s="2160" t="s">
        <v>1180</v>
      </c>
      <c r="D8" s="216">
        <v>10502.41</v>
      </c>
      <c r="E8" s="177"/>
      <c r="F8" s="4"/>
      <c r="G8" s="4"/>
      <c r="H8" s="66"/>
      <c r="I8" s="66"/>
      <c r="J8" s="4"/>
      <c r="K8" s="4"/>
      <c r="L8" s="545">
        <v>130</v>
      </c>
      <c r="M8" s="2218">
        <v>9907.5990000000002</v>
      </c>
      <c r="N8" s="2227">
        <f>IF(ISERROR((D8-M8)/M8),0,((D8-M8)/M8))</f>
        <v>6.003583713874569E-2</v>
      </c>
      <c r="O8" s="2196"/>
      <c r="P8" s="1299"/>
      <c r="Q8" s="1301"/>
      <c r="R8" s="1301"/>
      <c r="S8" s="1301"/>
      <c r="T8" s="168"/>
    </row>
    <row r="9" spans="1:20" s="197" customFormat="1" ht="12.75">
      <c r="A9" s="764">
        <v>200</v>
      </c>
      <c r="B9" s="765">
        <v>311</v>
      </c>
      <c r="C9" s="766" t="s">
        <v>675</v>
      </c>
      <c r="D9" s="175">
        <v>3861.5929999999998</v>
      </c>
      <c r="E9" s="177"/>
      <c r="F9" s="4"/>
      <c r="G9" s="4"/>
      <c r="H9" s="66"/>
      <c r="I9" s="66"/>
      <c r="J9" s="4"/>
      <c r="K9" s="4"/>
      <c r="L9" s="1203"/>
      <c r="M9" s="2219"/>
      <c r="N9" s="2228"/>
      <c r="O9" s="2196"/>
      <c r="P9" s="1299"/>
      <c r="Q9" s="1261"/>
      <c r="R9" s="1261"/>
      <c r="S9" s="1261"/>
      <c r="T9" s="168"/>
    </row>
    <row r="10" spans="1:20" s="197" customFormat="1" ht="12.75">
      <c r="A10" s="767">
        <v>210</v>
      </c>
      <c r="B10" s="663">
        <v>312</v>
      </c>
      <c r="C10" s="770" t="s">
        <v>1076</v>
      </c>
      <c r="D10" s="175">
        <v>839.899</v>
      </c>
      <c r="E10" s="177"/>
      <c r="F10" s="4"/>
      <c r="G10" s="4"/>
      <c r="H10" s="66"/>
      <c r="I10" s="66"/>
      <c r="J10" s="4"/>
      <c r="K10" s="4"/>
      <c r="L10" s="1204"/>
      <c r="M10" s="2220"/>
      <c r="N10" s="2229"/>
      <c r="O10" s="2196"/>
      <c r="P10" s="1299"/>
      <c r="Q10" s="1261"/>
      <c r="R10" s="1261"/>
      <c r="S10" s="1261"/>
      <c r="T10" s="168"/>
    </row>
    <row r="11" spans="1:20" s="197" customFormat="1" ht="19.5" customHeight="1">
      <c r="A11" s="767">
        <v>280</v>
      </c>
      <c r="B11" s="2241">
        <v>313</v>
      </c>
      <c r="C11" s="766" t="s">
        <v>676</v>
      </c>
      <c r="D11" s="175">
        <v>36931.258000000002</v>
      </c>
      <c r="E11" s="177"/>
      <c r="F11" s="4"/>
      <c r="G11" s="4"/>
      <c r="H11" s="66"/>
      <c r="I11" s="66"/>
      <c r="J11" s="4"/>
      <c r="K11" s="4"/>
      <c r="L11" s="764"/>
      <c r="M11" s="2221"/>
      <c r="N11" s="2230"/>
      <c r="O11" s="2196"/>
      <c r="P11" s="1299"/>
      <c r="Q11" s="1261"/>
      <c r="R11" s="1503"/>
      <c r="S11" s="1503"/>
      <c r="T11" s="168"/>
    </row>
    <row r="12" spans="1:20" s="197" customFormat="1" ht="13.5" thickBot="1">
      <c r="A12" s="768">
        <v>290</v>
      </c>
      <c r="B12" s="2162"/>
      <c r="C12" s="769" t="s">
        <v>677</v>
      </c>
      <c r="D12" s="351">
        <f>SUM(D9:D11)</f>
        <v>41632.75</v>
      </c>
      <c r="E12" s="177"/>
      <c r="F12" s="169"/>
      <c r="G12" s="4"/>
      <c r="H12" s="66"/>
      <c r="I12" s="66"/>
      <c r="J12" s="4"/>
      <c r="K12" s="4"/>
      <c r="L12" s="768">
        <v>290</v>
      </c>
      <c r="M12" s="2222">
        <v>39810.938000000002</v>
      </c>
      <c r="N12" s="2231">
        <f>IF(ISERROR((D12-M12)/M12),0,((D12-M12)/M12))</f>
        <v>4.5761594464315263E-2</v>
      </c>
      <c r="O12" s="2196"/>
      <c r="P12" s="1299"/>
      <c r="Q12" s="1261"/>
      <c r="R12" s="1261"/>
      <c r="S12" s="1261"/>
      <c r="T12" s="168"/>
    </row>
    <row r="13" spans="1:20" s="197" customFormat="1" ht="12.75">
      <c r="A13" s="549">
        <v>400</v>
      </c>
      <c r="B13" s="544">
        <v>341</v>
      </c>
      <c r="C13" s="770" t="s">
        <v>678</v>
      </c>
      <c r="D13" s="175">
        <v>14389.698</v>
      </c>
      <c r="E13" s="177"/>
      <c r="F13" s="4"/>
      <c r="G13" s="4"/>
      <c r="H13" s="66"/>
      <c r="I13" s="66"/>
      <c r="J13" s="4"/>
      <c r="K13" s="4"/>
      <c r="L13" s="549">
        <v>400</v>
      </c>
      <c r="M13" s="2221">
        <v>13915.916999999999</v>
      </c>
      <c r="N13" s="2230">
        <f>IF(ISERROR((D13-M13)/M13),0,((D13-M13)/M13))</f>
        <v>3.4045977710272408E-2</v>
      </c>
      <c r="O13" s="2196"/>
      <c r="P13" s="1299"/>
      <c r="Q13" s="1301"/>
      <c r="R13" s="1301"/>
      <c r="S13" s="1301"/>
      <c r="T13" s="168"/>
    </row>
    <row r="14" spans="1:20" s="197" customFormat="1" ht="12.75">
      <c r="A14" s="547">
        <v>420</v>
      </c>
      <c r="B14" s="663">
        <v>342</v>
      </c>
      <c r="C14" s="770" t="s">
        <v>679</v>
      </c>
      <c r="D14" s="175">
        <v>6036.72</v>
      </c>
      <c r="E14" s="177"/>
      <c r="F14" s="4"/>
      <c r="G14" s="4"/>
      <c r="H14" s="66"/>
      <c r="I14" s="66"/>
      <c r="J14" s="4"/>
      <c r="K14" s="4"/>
      <c r="L14" s="551"/>
      <c r="M14" s="1192"/>
      <c r="N14" s="2232"/>
      <c r="O14" s="2196"/>
      <c r="P14" s="1299"/>
      <c r="Q14" s="1301"/>
      <c r="R14" s="1301"/>
      <c r="S14" s="1301"/>
      <c r="T14" s="168"/>
    </row>
    <row r="15" spans="1:20" s="197" customFormat="1" ht="12.75">
      <c r="A15" s="547">
        <v>480</v>
      </c>
      <c r="B15" s="663" t="s">
        <v>680</v>
      </c>
      <c r="C15" s="770" t="s">
        <v>744</v>
      </c>
      <c r="D15" s="175">
        <v>2285.6390000000001</v>
      </c>
      <c r="E15" s="177"/>
      <c r="G15" s="170"/>
      <c r="H15" s="212"/>
      <c r="I15" s="212"/>
      <c r="J15" s="4"/>
      <c r="K15" s="4"/>
      <c r="L15" s="781"/>
      <c r="M15" s="2220"/>
      <c r="N15" s="2229"/>
      <c r="O15" s="2196"/>
      <c r="P15" s="1299"/>
      <c r="Q15" s="1301"/>
      <c r="R15" s="1301"/>
      <c r="S15" s="1301"/>
      <c r="T15" s="168"/>
    </row>
    <row r="16" spans="1:20" s="197" customFormat="1" ht="13.5" thickBot="1">
      <c r="A16" s="558">
        <v>490</v>
      </c>
      <c r="B16" s="763"/>
      <c r="C16" s="771" t="s">
        <v>681</v>
      </c>
      <c r="D16" s="351">
        <f>SUM(D13:D15)</f>
        <v>22712.057000000001</v>
      </c>
      <c r="E16" s="177"/>
      <c r="F16" s="74" t="s">
        <v>745</v>
      </c>
      <c r="G16" s="45"/>
      <c r="H16" s="295"/>
      <c r="I16" s="212"/>
      <c r="J16" s="4"/>
      <c r="K16" s="4"/>
      <c r="L16" s="545">
        <v>490</v>
      </c>
      <c r="M16" s="1194">
        <v>21275.768</v>
      </c>
      <c r="N16" s="2233">
        <f>IF(ISERROR((D16-M16)/M16),0,((D16-M16)/M16))</f>
        <v>6.7508209339376166E-2</v>
      </c>
      <c r="O16" s="2196"/>
      <c r="P16" s="1299"/>
      <c r="Q16" s="1301"/>
      <c r="R16" s="1301"/>
      <c r="S16" s="1301"/>
      <c r="T16" s="168"/>
    </row>
    <row r="17" spans="1:22" s="197" customFormat="1" ht="12.75">
      <c r="A17" s="764">
        <v>500</v>
      </c>
      <c r="B17" s="765">
        <v>351</v>
      </c>
      <c r="C17" s="770" t="s">
        <v>1093</v>
      </c>
      <c r="D17" s="175">
        <v>41372.042000000001</v>
      </c>
      <c r="E17" s="226"/>
      <c r="F17" s="1312"/>
      <c r="G17" s="1312"/>
      <c r="H17" s="1313"/>
      <c r="I17" s="71"/>
      <c r="J17" s="277"/>
      <c r="K17" s="4"/>
      <c r="L17" s="1203"/>
      <c r="M17" s="2219"/>
      <c r="N17" s="2228"/>
      <c r="O17" s="2196"/>
      <c r="P17" s="1299"/>
      <c r="Q17" s="1261"/>
      <c r="R17" s="1261"/>
      <c r="S17" s="1261"/>
      <c r="T17" s="168"/>
    </row>
    <row r="18" spans="1:22" s="197" customFormat="1" ht="12.75">
      <c r="A18" s="767">
        <v>510</v>
      </c>
      <c r="B18" s="540">
        <v>351</v>
      </c>
      <c r="C18" s="770" t="s">
        <v>1091</v>
      </c>
      <c r="D18" s="175">
        <v>4642.6610000000001</v>
      </c>
      <c r="E18" s="177"/>
      <c r="G18" s="1310"/>
      <c r="H18" s="88"/>
      <c r="I18" s="146"/>
      <c r="J18" s="4"/>
      <c r="K18" s="4"/>
      <c r="L18" s="1204"/>
      <c r="M18" s="2220"/>
      <c r="N18" s="2229"/>
      <c r="O18" s="2196"/>
      <c r="P18" s="1299"/>
      <c r="Q18" s="1261"/>
      <c r="R18" s="1261"/>
      <c r="S18" s="1261"/>
      <c r="T18" s="168"/>
    </row>
    <row r="19" spans="1:22" s="197" customFormat="1" ht="12.75">
      <c r="A19" s="767">
        <v>520</v>
      </c>
      <c r="B19" s="540">
        <v>351</v>
      </c>
      <c r="C19" s="770" t="s">
        <v>1092</v>
      </c>
      <c r="D19" s="175">
        <v>2244.0889999999999</v>
      </c>
      <c r="E19" s="177" t="str">
        <f>IF(D19-I19-Motpart!R40&gt;10000, "Vad ingår på rad 520? Kommentera.", "")</f>
        <v/>
      </c>
      <c r="F19" s="1382" t="s">
        <v>1066</v>
      </c>
      <c r="G19" s="1383" t="s">
        <v>376</v>
      </c>
      <c r="H19" s="1260" t="s">
        <v>1191</v>
      </c>
      <c r="I19" s="283">
        <v>1036.992</v>
      </c>
      <c r="J19" s="1224"/>
      <c r="K19" s="4"/>
      <c r="L19" s="1204"/>
      <c r="M19" s="2220"/>
      <c r="N19" s="2229"/>
      <c r="O19" s="2196"/>
      <c r="P19" s="1299"/>
      <c r="Q19" s="1261"/>
      <c r="R19" s="1261"/>
      <c r="S19" s="1261"/>
      <c r="T19" s="168"/>
    </row>
    <row r="20" spans="1:22" s="197" customFormat="1" ht="12.75">
      <c r="A20" s="2239">
        <v>521</v>
      </c>
      <c r="B20" s="2242">
        <v>351</v>
      </c>
      <c r="C20" s="2245" t="s">
        <v>1144</v>
      </c>
      <c r="D20" s="2213">
        <v>195.548</v>
      </c>
      <c r="E20" s="177"/>
      <c r="F20" s="1312"/>
      <c r="G20" s="1312"/>
      <c r="H20" s="1239"/>
      <c r="I20" s="1437"/>
      <c r="J20" s="1224"/>
      <c r="K20" s="4"/>
      <c r="L20" s="1204"/>
      <c r="M20" s="2220"/>
      <c r="N20" s="2229"/>
      <c r="O20" s="2196"/>
      <c r="P20" s="1299"/>
      <c r="Q20" s="1261"/>
      <c r="R20" s="1261"/>
      <c r="S20" s="1261"/>
      <c r="T20" s="168"/>
    </row>
    <row r="21" spans="1:22" s="197" customFormat="1" ht="12.75">
      <c r="A21" s="767">
        <v>525</v>
      </c>
      <c r="B21" s="540">
        <v>354</v>
      </c>
      <c r="C21" s="770" t="s">
        <v>1121</v>
      </c>
      <c r="D21" s="350">
        <v>5056.0110000000004</v>
      </c>
      <c r="E21" s="177"/>
      <c r="F21" s="1301"/>
      <c r="G21" s="1310"/>
      <c r="H21" s="1311"/>
      <c r="I21" s="146"/>
      <c r="J21" s="4"/>
      <c r="K21" s="4"/>
      <c r="L21" s="764"/>
      <c r="M21" s="2221"/>
      <c r="N21" s="2230"/>
      <c r="O21" s="2196"/>
      <c r="P21" s="1299"/>
      <c r="Q21" s="1261"/>
      <c r="R21" s="1261"/>
      <c r="S21" s="1261"/>
      <c r="T21" s="168"/>
      <c r="V21" s="168"/>
    </row>
    <row r="22" spans="1:22" s="197" customFormat="1" ht="12.75">
      <c r="A22" s="767">
        <v>527</v>
      </c>
      <c r="B22" s="540">
        <v>356</v>
      </c>
      <c r="C22" s="770" t="s">
        <v>1181</v>
      </c>
      <c r="D22" s="217">
        <v>7657.817</v>
      </c>
      <c r="E22" s="177" t="str">
        <f>IF(D22&lt;&gt;0,"","Belopp saknas")</f>
        <v/>
      </c>
      <c r="F22" s="4"/>
      <c r="G22" s="66"/>
      <c r="H22" s="66"/>
      <c r="I22" s="66"/>
      <c r="J22" s="4"/>
      <c r="K22" s="4"/>
      <c r="L22" s="767">
        <v>527</v>
      </c>
      <c r="M22" s="2223">
        <v>7253.6869999999999</v>
      </c>
      <c r="N22" s="2234">
        <f>IF(ISERROR((D22-M22)/M22),0,((D22-M22)/M22))</f>
        <v>5.5713735649194691E-2</v>
      </c>
      <c r="O22" s="2196"/>
      <c r="P22" s="1299"/>
      <c r="Q22" s="1261"/>
      <c r="R22" s="1261"/>
      <c r="S22" s="1261"/>
      <c r="T22" s="168"/>
      <c r="V22" s="168"/>
    </row>
    <row r="23" spans="1:22" s="197" customFormat="1" ht="12.75">
      <c r="A23" s="767">
        <v>550</v>
      </c>
      <c r="B23" s="540">
        <v>358</v>
      </c>
      <c r="C23" s="770" t="s">
        <v>191</v>
      </c>
      <c r="D23" s="217">
        <v>582.85699999999997</v>
      </c>
      <c r="E23" s="227"/>
      <c r="F23" s="4"/>
      <c r="G23" s="4"/>
      <c r="H23" s="66"/>
      <c r="I23" s="66"/>
      <c r="J23" s="4"/>
      <c r="K23" s="4"/>
      <c r="L23" s="1205"/>
      <c r="M23" s="1192"/>
      <c r="N23" s="2232"/>
      <c r="O23" s="2196"/>
      <c r="P23" s="1299"/>
      <c r="Q23" s="1261"/>
      <c r="R23" s="1261"/>
      <c r="S23" s="1261"/>
      <c r="T23" s="168"/>
      <c r="V23" s="168"/>
    </row>
    <row r="24" spans="1:22" s="197" customFormat="1" ht="15" customHeight="1">
      <c r="A24" s="767">
        <v>560</v>
      </c>
      <c r="B24" s="2242">
        <v>357</v>
      </c>
      <c r="C24" s="2246" t="s">
        <v>1077</v>
      </c>
      <c r="D24" s="217">
        <v>512.48699999999997</v>
      </c>
      <c r="E24" s="227"/>
      <c r="F24" s="1312"/>
      <c r="G24" s="2250"/>
      <c r="H24" s="2254"/>
      <c r="I24" s="146"/>
      <c r="J24" s="1242"/>
      <c r="K24" s="4"/>
      <c r="L24" s="764"/>
      <c r="M24" s="2221"/>
      <c r="N24" s="2230"/>
      <c r="O24" s="2196"/>
      <c r="P24" s="1299"/>
      <c r="Q24" s="1261"/>
      <c r="R24" s="1504"/>
      <c r="S24" s="1505"/>
      <c r="T24" s="1506"/>
      <c r="V24" s="1301"/>
    </row>
    <row r="25" spans="1:22" s="197" customFormat="1" ht="12.75">
      <c r="A25" s="1205">
        <v>570</v>
      </c>
      <c r="B25" s="663" t="s">
        <v>1102</v>
      </c>
      <c r="C25" s="2122" t="s">
        <v>1176</v>
      </c>
      <c r="D25" s="100">
        <v>1343.347</v>
      </c>
      <c r="E25" s="2072"/>
      <c r="F25" s="1382" t="s">
        <v>1071</v>
      </c>
      <c r="G25" s="1383" t="s">
        <v>1101</v>
      </c>
      <c r="H25" s="1260" t="s">
        <v>1115</v>
      </c>
      <c r="I25" s="2113">
        <v>486.15600000000001</v>
      </c>
      <c r="J25" s="1224" t="str">
        <f>IF(SUM(I25)&gt;D25,"Däravrad 577 &gt; rad 570",IF(D25=0,"",IF(I25="","Skriv belopp eller 0","")))</f>
        <v/>
      </c>
      <c r="K25" s="4"/>
      <c r="L25" s="1204"/>
      <c r="M25" s="2220"/>
      <c r="N25" s="2229"/>
      <c r="O25" s="2196"/>
      <c r="P25" s="1299"/>
      <c r="Q25" s="1261"/>
      <c r="R25" s="1504"/>
      <c r="S25" s="1505"/>
      <c r="T25" s="1506"/>
      <c r="V25" s="1301"/>
    </row>
    <row r="26" spans="1:22" s="197" customFormat="1" ht="15.75" customHeight="1" thickBot="1">
      <c r="A26" s="768">
        <v>590</v>
      </c>
      <c r="B26" s="546"/>
      <c r="C26" s="2148" t="s">
        <v>682</v>
      </c>
      <c r="D26" s="351">
        <f>SUM(D17:D25)</f>
        <v>63606.859000000011</v>
      </c>
      <c r="E26" s="2072" t="str">
        <f>IF(D25=0,"",IF(OR(SUM(D25-I25)&gt;2000,SUM(D25-I25)/D26&gt;2%),"OBS! Kostn.ers./bidrag från stat. myndigheter, t.ex. Migrationsverket eller Skolverket redovisas på rad 500!",""))</f>
        <v/>
      </c>
      <c r="F26" s="4"/>
      <c r="G26" s="45"/>
      <c r="H26" s="66"/>
      <c r="I26" s="66"/>
      <c r="J26" s="4"/>
      <c r="K26" s="4"/>
      <c r="L26" s="768">
        <v>590</v>
      </c>
      <c r="M26" s="2222">
        <v>61958.557999999997</v>
      </c>
      <c r="N26" s="2231">
        <f>IF(ISERROR((D26-M26)/M26),0,((D26-M26)/M26))</f>
        <v>2.6603282148690649E-2</v>
      </c>
      <c r="O26" s="2196"/>
      <c r="P26" s="1299"/>
      <c r="Q26" s="1261"/>
      <c r="R26" s="1261"/>
      <c r="S26" s="1261"/>
      <c r="T26" s="168"/>
      <c r="V26" s="1301"/>
    </row>
    <row r="27" spans="1:22" s="197" customFormat="1" ht="12.75">
      <c r="A27" s="549">
        <v>310</v>
      </c>
      <c r="B27" s="544" t="s">
        <v>790</v>
      </c>
      <c r="C27" s="770" t="s">
        <v>1040</v>
      </c>
      <c r="D27" s="217">
        <v>14303.651</v>
      </c>
      <c r="E27" s="227"/>
      <c r="F27" s="1385" t="s">
        <v>796</v>
      </c>
      <c r="G27" s="1386" t="s">
        <v>791</v>
      </c>
      <c r="H27" s="751" t="s">
        <v>746</v>
      </c>
      <c r="I27" s="285">
        <v>13938.460999999999</v>
      </c>
      <c r="J27" s="1224"/>
      <c r="K27" s="4"/>
      <c r="L27" s="1206"/>
      <c r="M27" s="2219"/>
      <c r="N27" s="2228"/>
      <c r="O27" s="2196"/>
      <c r="P27" s="1299"/>
      <c r="Q27" s="1301"/>
      <c r="R27" s="1301"/>
      <c r="S27" s="1301"/>
      <c r="T27" s="1310"/>
      <c r="V27" s="1301"/>
    </row>
    <row r="28" spans="1:22" s="197" customFormat="1" ht="12.75">
      <c r="A28" s="549">
        <v>320</v>
      </c>
      <c r="B28" s="717" t="s">
        <v>790</v>
      </c>
      <c r="C28" s="770" t="s">
        <v>1068</v>
      </c>
      <c r="D28" s="217">
        <v>516.41499999999996</v>
      </c>
      <c r="E28" s="227"/>
      <c r="F28" s="2011" t="s">
        <v>797</v>
      </c>
      <c r="G28" s="554">
        <v>361</v>
      </c>
      <c r="H28" s="2012" t="s">
        <v>1042</v>
      </c>
      <c r="I28" s="1979">
        <v>455.803</v>
      </c>
      <c r="J28" s="1224"/>
      <c r="K28" s="4"/>
      <c r="L28" s="781"/>
      <c r="M28" s="2220"/>
      <c r="N28" s="2229"/>
      <c r="O28" s="2196"/>
      <c r="P28" s="1299"/>
      <c r="Q28" s="1301"/>
      <c r="R28" s="1301"/>
      <c r="S28" s="1301"/>
      <c r="T28" s="1310"/>
      <c r="V28" s="1301"/>
    </row>
    <row r="29" spans="1:22" s="197" customFormat="1" ht="12.75">
      <c r="A29" s="549">
        <v>321</v>
      </c>
      <c r="B29" s="717" t="s">
        <v>790</v>
      </c>
      <c r="C29" s="770" t="s">
        <v>1041</v>
      </c>
      <c r="D29" s="217">
        <v>434.15600000000001</v>
      </c>
      <c r="E29" s="227"/>
      <c r="F29" s="2248" t="s">
        <v>1067</v>
      </c>
      <c r="G29" s="2251">
        <v>361</v>
      </c>
      <c r="H29" s="2255" t="s">
        <v>1179</v>
      </c>
      <c r="I29" s="2107">
        <v>328.38299999999998</v>
      </c>
      <c r="J29" s="1224" t="str">
        <f>IF(SUM(I29)&gt;D29,"Däravrad 328 &gt; rad 321",IF(D29=0,"",IF(I29="","Skriv belopp eller 0","")))</f>
        <v/>
      </c>
      <c r="K29" s="4"/>
      <c r="L29" s="781"/>
      <c r="M29" s="2220"/>
      <c r="N29" s="2229"/>
      <c r="O29" s="2196"/>
      <c r="P29" s="1299"/>
      <c r="Q29" s="1301"/>
      <c r="R29" s="1301"/>
      <c r="S29" s="1301"/>
      <c r="T29" s="1310"/>
      <c r="V29" s="168"/>
    </row>
    <row r="30" spans="1:22" s="197" customFormat="1" ht="16.5" customHeight="1">
      <c r="A30" s="547">
        <v>380</v>
      </c>
      <c r="B30" s="1384" t="s">
        <v>780</v>
      </c>
      <c r="C30" s="770" t="s">
        <v>1182</v>
      </c>
      <c r="D30" s="217">
        <v>4930.5990000000002</v>
      </c>
      <c r="E30" s="227"/>
      <c r="F30" s="1485" t="s">
        <v>1112</v>
      </c>
      <c r="G30" s="2123">
        <v>365</v>
      </c>
      <c r="H30" s="2124" t="s">
        <v>1104</v>
      </c>
      <c r="I30" s="2108">
        <v>150.16300000000001</v>
      </c>
      <c r="J30" s="1242" t="str">
        <f>IF(SUM(I30)&gt;D30,"Däravrad 329 &gt; rad 380",IF(D30=0,"",IF(I30="","Skriv belopp eller 0","")))</f>
        <v/>
      </c>
      <c r="K30" s="4"/>
      <c r="L30" s="549"/>
      <c r="M30" s="2221"/>
      <c r="N30" s="2230"/>
      <c r="O30" s="2196"/>
      <c r="P30" s="1299"/>
      <c r="Q30" s="1301"/>
      <c r="R30" s="1301"/>
      <c r="S30" s="1301"/>
      <c r="T30" s="168"/>
    </row>
    <row r="31" spans="1:22" s="197" customFormat="1" ht="13.5" thickBot="1">
      <c r="A31" s="551">
        <v>390</v>
      </c>
      <c r="B31" s="541"/>
      <c r="C31" s="2247" t="s">
        <v>749</v>
      </c>
      <c r="D31" s="352">
        <f>SUM(D27:D30)</f>
        <v>20184.821</v>
      </c>
      <c r="E31" s="227"/>
      <c r="F31" s="2249"/>
      <c r="G31" s="2252"/>
      <c r="H31" s="2256"/>
      <c r="I31" s="2106"/>
      <c r="J31" s="4"/>
      <c r="K31" s="4"/>
      <c r="L31" s="558">
        <v>390</v>
      </c>
      <c r="M31" s="2222">
        <v>19415.311000000002</v>
      </c>
      <c r="N31" s="2231">
        <f>IF(ISERROR((D31-M31)/M31),0,((D31-M31)/M31))</f>
        <v>3.9634183557502548E-2</v>
      </c>
      <c r="O31" s="2196"/>
      <c r="P31" s="1299"/>
      <c r="Q31" s="1301"/>
      <c r="R31" s="1301"/>
      <c r="S31" s="1301"/>
      <c r="T31" s="168"/>
    </row>
    <row r="32" spans="1:22" s="197" customFormat="1" ht="13.5" customHeight="1" thickBot="1">
      <c r="A32" s="538">
        <v>891</v>
      </c>
      <c r="B32" s="2243">
        <v>37</v>
      </c>
      <c r="C32" s="2126" t="s">
        <v>1105</v>
      </c>
      <c r="D32" s="218">
        <v>11642.226000000001</v>
      </c>
      <c r="E32" s="227"/>
      <c r="F32" s="1382" t="s">
        <v>229</v>
      </c>
      <c r="G32" s="2125">
        <v>373</v>
      </c>
      <c r="H32" s="944" t="s">
        <v>1109</v>
      </c>
      <c r="I32" s="2068">
        <v>1836.4929999999999</v>
      </c>
      <c r="J32" s="1242" t="str">
        <f>IF(SUM(I32)&gt;D32,"Däravrad 330 &gt; rad 891",IF(D32=0,"",IF(I32="","Skriv belopp eller 0","")))</f>
        <v/>
      </c>
      <c r="K32" s="4"/>
      <c r="L32" s="1206"/>
      <c r="M32" s="2219"/>
      <c r="N32" s="2228"/>
      <c r="O32" s="2196"/>
      <c r="P32" s="1299"/>
      <c r="Q32" s="1504"/>
      <c r="R32" s="1507"/>
      <c r="S32" s="1507"/>
      <c r="T32" s="168"/>
    </row>
    <row r="33" spans="1:25" s="197" customFormat="1" ht="19.5" customHeight="1">
      <c r="A33" s="539">
        <v>892</v>
      </c>
      <c r="B33" s="2133">
        <v>38</v>
      </c>
      <c r="C33" s="770" t="s">
        <v>883</v>
      </c>
      <c r="D33" s="218">
        <v>2725.3580000000002</v>
      </c>
      <c r="E33" s="227"/>
      <c r="F33" s="2105"/>
      <c r="G33" s="2105"/>
      <c r="H33" s="2104"/>
      <c r="I33" s="66"/>
      <c r="J33" s="4"/>
      <c r="K33" s="4"/>
      <c r="L33" s="781"/>
      <c r="M33" s="2220"/>
      <c r="N33" s="2229"/>
      <c r="O33" s="2196"/>
      <c r="P33" s="1299"/>
      <c r="Q33" s="1504"/>
      <c r="R33" s="1508"/>
      <c r="S33" s="1508"/>
      <c r="T33" s="168"/>
    </row>
    <row r="34" spans="1:25" s="197" customFormat="1" ht="13.5" thickBot="1">
      <c r="A34" s="537">
        <v>894</v>
      </c>
      <c r="B34" s="546"/>
      <c r="C34" s="542" t="s">
        <v>449</v>
      </c>
      <c r="D34" s="297">
        <v>4.3860000000000001</v>
      </c>
      <c r="E34" s="227" t="str">
        <f>IF(D34&lt;50,"","Vad avser övr.periodiseringar?")</f>
        <v/>
      </c>
      <c r="F34" s="2196"/>
      <c r="G34" s="2196"/>
      <c r="H34" s="2196"/>
      <c r="I34" s="2196"/>
      <c r="J34" s="2196"/>
      <c r="K34" s="4"/>
      <c r="L34" s="781"/>
      <c r="M34" s="2220"/>
      <c r="N34" s="2229"/>
      <c r="O34" s="2196"/>
      <c r="P34" s="1299"/>
      <c r="Q34" s="1504"/>
      <c r="R34" s="1301"/>
      <c r="S34" s="1301"/>
      <c r="T34" s="168"/>
    </row>
    <row r="35" spans="1:25" s="197" customFormat="1" ht="16.5" customHeight="1" thickBot="1">
      <c r="A35" s="543">
        <v>886</v>
      </c>
      <c r="B35" s="544"/>
      <c r="C35" s="2163" t="s">
        <v>1177</v>
      </c>
      <c r="D35" s="353">
        <f>SUM(D8+D12+D16+D26+D31+D32+D33+D34)</f>
        <v>173010.867</v>
      </c>
      <c r="E35" s="1978"/>
      <c r="F35" s="2196"/>
      <c r="G35" s="2196"/>
      <c r="H35" s="2196"/>
      <c r="I35" s="2196"/>
      <c r="J35" s="2196"/>
      <c r="K35" s="4"/>
      <c r="L35" s="545"/>
      <c r="M35" s="1228"/>
      <c r="N35" s="1202"/>
      <c r="O35" s="2196"/>
      <c r="P35" s="1299"/>
      <c r="Q35" s="1301"/>
      <c r="R35" s="1301"/>
      <c r="S35" s="1301"/>
      <c r="T35" s="168"/>
    </row>
    <row r="36" spans="1:25" s="197" customFormat="1" ht="13.5" thickBot="1">
      <c r="A36" s="545">
        <v>896</v>
      </c>
      <c r="B36" s="546"/>
      <c r="C36" s="602" t="s">
        <v>90</v>
      </c>
      <c r="D36" s="298">
        <f>RR!C7</f>
        <v>173010.867</v>
      </c>
      <c r="F36" s="2196"/>
      <c r="G36" s="2196"/>
      <c r="H36" s="2196"/>
      <c r="I36" s="2196"/>
      <c r="J36" s="2196"/>
      <c r="K36" s="4"/>
      <c r="M36" s="19"/>
      <c r="N36" s="168"/>
      <c r="O36" s="2196"/>
      <c r="Q36" s="1301"/>
      <c r="R36" s="1261"/>
      <c r="S36" s="1261"/>
      <c r="T36" s="168"/>
    </row>
    <row r="37" spans="1:25" s="197" customFormat="1" ht="45" customHeight="1" thickBot="1">
      <c r="A37" s="1980" t="s">
        <v>360</v>
      </c>
      <c r="B37" s="4"/>
      <c r="C37" s="4"/>
      <c r="D37" s="2019" t="str">
        <f>IF(ABS(D35-D36)&lt;50,"",IF(OR(D35=0,D36=0),"",IF((SUM(D35)/(D36))&lt;&gt;1,(ROUND(D35-D36,0))&amp;" Mnkr diff. mellan verks. intäkter i RR och verks.intäkter här - måste rättas!","")))</f>
        <v/>
      </c>
      <c r="E37" s="227"/>
      <c r="F37" s="169"/>
      <c r="G37" s="170"/>
      <c r="H37" s="212"/>
      <c r="I37" s="66"/>
      <c r="J37" s="4"/>
      <c r="K37" s="4"/>
      <c r="L37" s="1241" t="str">
        <f>"Kontroller av förändring mellan "&amp;År-1&amp;" och "&amp;År&amp;""</f>
        <v>Kontroller av förändring mellan 2021 och 2022</v>
      </c>
      <c r="N37" s="2236"/>
      <c r="O37" s="2196"/>
      <c r="Q37" s="168"/>
      <c r="R37" s="168"/>
      <c r="S37" s="168"/>
      <c r="T37" s="168"/>
    </row>
    <row r="38" spans="1:25" s="197" customFormat="1" ht="45" customHeight="1" thickBot="1">
      <c r="A38" s="2167" t="s">
        <v>967</v>
      </c>
      <c r="B38" s="2164" t="s">
        <v>1138</v>
      </c>
      <c r="C38" s="2165"/>
      <c r="D38" s="772"/>
      <c r="E38" s="227"/>
      <c r="F38" s="74" t="s">
        <v>733</v>
      </c>
      <c r="G38" s="203"/>
      <c r="H38" s="204"/>
      <c r="I38" s="214"/>
      <c r="J38" s="179"/>
      <c r="K38" s="179"/>
      <c r="L38" s="2180" t="s">
        <v>967</v>
      </c>
      <c r="M38" s="2179" t="str">
        <f>"Värde Mnkr "&amp;År-1&amp;""</f>
        <v>Värde Mnkr 2021</v>
      </c>
      <c r="N38" s="2237" t="str">
        <f>"Förändring "&amp;År-1&amp;" - "&amp;År&amp;" procent"</f>
        <v>Förändring 2021 - 2022 procent</v>
      </c>
      <c r="O38" s="2196"/>
      <c r="P38" s="1298"/>
      <c r="Q38" s="88"/>
      <c r="R38" s="1302"/>
      <c r="S38" s="88"/>
      <c r="T38" s="1240"/>
      <c r="U38" s="196"/>
      <c r="V38" s="196"/>
      <c r="W38" s="196"/>
      <c r="X38" s="196"/>
      <c r="Y38" s="196"/>
    </row>
    <row r="39" spans="1:25" s="196" customFormat="1" ht="13.5" hidden="1" thickBot="1">
      <c r="A39" s="777" t="s">
        <v>618</v>
      </c>
      <c r="B39" s="2132"/>
      <c r="C39" s="779"/>
      <c r="D39" s="773"/>
      <c r="E39" s="227"/>
      <c r="F39" s="205"/>
      <c r="G39" s="7"/>
      <c r="H39" s="1987"/>
      <c r="I39" s="212"/>
      <c r="J39" s="179"/>
      <c r="K39" s="179"/>
      <c r="L39" s="783" t="s">
        <v>618</v>
      </c>
      <c r="M39" s="784">
        <f>År-1</f>
        <v>2021</v>
      </c>
      <c r="N39" s="2238" t="str">
        <f>År-1&amp;-År</f>
        <v>2021-2022</v>
      </c>
      <c r="O39" s="2196"/>
      <c r="P39" s="1298"/>
      <c r="Q39" s="257"/>
      <c r="R39" s="1311"/>
      <c r="S39" s="1275"/>
      <c r="T39" s="1502"/>
    </row>
    <row r="40" spans="1:25" s="197" customFormat="1" ht="18" customHeight="1" thickBot="1">
      <c r="A40" s="781">
        <v>600</v>
      </c>
      <c r="B40" s="2166">
        <v>451</v>
      </c>
      <c r="C40" s="1993" t="s">
        <v>683</v>
      </c>
      <c r="D40" s="1440">
        <v>12055.102000000001</v>
      </c>
      <c r="E40" s="227"/>
      <c r="F40" s="699">
        <v>602</v>
      </c>
      <c r="G40" s="700">
        <v>4513</v>
      </c>
      <c r="H40" s="701" t="s">
        <v>152</v>
      </c>
      <c r="I40" s="2136">
        <v>108.14100000000001</v>
      </c>
      <c r="J40" s="140"/>
      <c r="K40" s="140"/>
      <c r="L40" s="1206"/>
      <c r="M40" s="1201"/>
      <c r="N40" s="2228"/>
      <c r="O40" s="2196"/>
      <c r="P40" s="1296"/>
      <c r="Q40" s="1301"/>
      <c r="R40" s="1310"/>
      <c r="S40" s="1310"/>
      <c r="T40" s="1301"/>
    </row>
    <row r="41" spans="1:25" s="197" customFormat="1" ht="12.75">
      <c r="A41" s="556">
        <v>610</v>
      </c>
      <c r="B41" s="557">
        <v>452</v>
      </c>
      <c r="C41" s="550" t="s">
        <v>684</v>
      </c>
      <c r="D41" s="98">
        <v>971.55100000000004</v>
      </c>
      <c r="E41" s="227"/>
      <c r="F41" s="785">
        <v>630</v>
      </c>
      <c r="G41" s="786">
        <v>4538</v>
      </c>
      <c r="H41" s="2257" t="s">
        <v>1123</v>
      </c>
      <c r="I41" s="2214">
        <v>4415.1589999999997</v>
      </c>
      <c r="J41" s="289"/>
      <c r="K41" s="289"/>
      <c r="L41" s="781"/>
      <c r="M41" s="759"/>
      <c r="N41" s="2229"/>
      <c r="O41" s="2196"/>
      <c r="P41" s="1296"/>
      <c r="Q41" s="1301"/>
      <c r="R41" s="1310"/>
      <c r="S41" s="1310"/>
      <c r="T41" s="1301"/>
    </row>
    <row r="42" spans="1:25" s="197" customFormat="1" ht="18" customHeight="1" thickBot="1">
      <c r="A42" s="556">
        <v>620</v>
      </c>
      <c r="B42" s="554">
        <v>453</v>
      </c>
      <c r="C42" s="2203" t="s">
        <v>1122</v>
      </c>
      <c r="D42" s="176">
        <v>16214.307000000001</v>
      </c>
      <c r="E42" s="227"/>
      <c r="F42" s="573">
        <v>631</v>
      </c>
      <c r="G42" s="1769" t="s">
        <v>992</v>
      </c>
      <c r="H42" s="2005" t="s">
        <v>996</v>
      </c>
      <c r="I42" s="225">
        <v>967.69899999999996</v>
      </c>
      <c r="J42" s="140"/>
      <c r="K42" s="140"/>
      <c r="L42" s="549"/>
      <c r="M42" s="774"/>
      <c r="N42" s="2230"/>
      <c r="O42" s="2196"/>
      <c r="P42" s="1296"/>
      <c r="Q42" s="1301"/>
      <c r="R42" s="1310"/>
      <c r="S42" s="1310"/>
      <c r="T42" s="1301"/>
    </row>
    <row r="43" spans="1:25" s="197" customFormat="1" ht="20.25" customHeight="1">
      <c r="A43" s="663">
        <v>650</v>
      </c>
      <c r="B43" s="554">
        <v>454</v>
      </c>
      <c r="C43" s="555" t="s">
        <v>911</v>
      </c>
      <c r="D43" s="176">
        <v>4280.3109999999997</v>
      </c>
      <c r="E43" s="227"/>
      <c r="F43" s="1392" t="s">
        <v>795</v>
      </c>
      <c r="G43" s="1393" t="s">
        <v>747</v>
      </c>
      <c r="H43" s="1309" t="s">
        <v>912</v>
      </c>
      <c r="I43" s="1251">
        <v>4001.6640000000002</v>
      </c>
      <c r="J43" s="140"/>
      <c r="K43" s="140"/>
      <c r="L43" s="781"/>
      <c r="M43" s="759"/>
      <c r="N43" s="2229"/>
      <c r="O43" s="2196"/>
      <c r="P43" s="1296"/>
      <c r="Q43" s="1301"/>
      <c r="R43" s="1310"/>
      <c r="S43" s="1310"/>
      <c r="T43" s="1301"/>
    </row>
    <row r="44" spans="1:25" s="197" customFormat="1" ht="13.5" thickBot="1">
      <c r="A44" s="545">
        <v>690</v>
      </c>
      <c r="B44" s="559"/>
      <c r="C44" s="536" t="s">
        <v>750</v>
      </c>
      <c r="D44" s="354">
        <f>SUM(D40,D41,D42,D43)</f>
        <v>33521.271000000001</v>
      </c>
      <c r="E44" s="227"/>
      <c r="F44" s="1394">
        <v>652</v>
      </c>
      <c r="G44" s="1395">
        <v>4542</v>
      </c>
      <c r="H44" s="1319" t="s">
        <v>913</v>
      </c>
      <c r="I44" s="1252">
        <v>278.64999999999998</v>
      </c>
      <c r="J44" s="2181"/>
      <c r="L44" s="558">
        <v>690</v>
      </c>
      <c r="M44" s="1196">
        <v>29203.084999999999</v>
      </c>
      <c r="N44" s="2231">
        <f>IF(ISERROR((D44-M44)/M44),0,((D44-M44)/M44))</f>
        <v>0.14786745989336406</v>
      </c>
      <c r="O44" s="2196"/>
      <c r="P44" s="1300"/>
      <c r="Q44" s="1301"/>
      <c r="R44" s="1302"/>
      <c r="S44" s="1310"/>
      <c r="T44" s="1301"/>
      <c r="V44" s="1295"/>
    </row>
    <row r="45" spans="1:25" s="197" customFormat="1" ht="23.25" customHeight="1">
      <c r="A45" s="560">
        <v>100</v>
      </c>
      <c r="B45" s="1388" t="s">
        <v>1078</v>
      </c>
      <c r="C45" s="562" t="s">
        <v>685</v>
      </c>
      <c r="D45" s="98">
        <v>309154.49</v>
      </c>
      <c r="E45" s="227"/>
      <c r="F45" s="1253">
        <v>102</v>
      </c>
      <c r="G45" s="1254">
        <v>512</v>
      </c>
      <c r="H45" s="1255" t="s">
        <v>153</v>
      </c>
      <c r="I45" s="1256">
        <v>8245.9089999999997</v>
      </c>
      <c r="J45" s="140"/>
      <c r="K45" s="140"/>
      <c r="L45" s="764">
        <v>100</v>
      </c>
      <c r="M45" s="1195">
        <v>298634.06199999998</v>
      </c>
      <c r="N45" s="2230">
        <f>IF(ISERROR((D45-M45)/M45),0,((D45-M45)/M45))</f>
        <v>3.5228493124806422E-2</v>
      </c>
      <c r="O45" s="2196"/>
      <c r="P45" s="1296"/>
      <c r="Q45" s="1261"/>
      <c r="R45" s="2002"/>
      <c r="S45" s="1509"/>
      <c r="T45" s="1301"/>
    </row>
    <row r="46" spans="1:25" s="197" customFormat="1" ht="21" customHeight="1">
      <c r="A46" s="547">
        <v>110</v>
      </c>
      <c r="B46" s="2022" t="s">
        <v>1079</v>
      </c>
      <c r="C46" s="548" t="str">
        <f>"Sociala avg. enl. lag o. avtal (inkl. lönesk för "&amp;År&amp;"), exkl särskild löneskatt på avsättning för pensioner"</f>
        <v>Sociala avg. enl. lag o. avtal (inkl. lönesk för 2022), exkl särskild löneskatt på avsättning för pensioner</v>
      </c>
      <c r="D46" s="304">
        <v>101010.39200000001</v>
      </c>
      <c r="E46" s="227"/>
      <c r="F46" s="575">
        <v>111</v>
      </c>
      <c r="G46" s="1237" t="s">
        <v>740</v>
      </c>
      <c r="H46" s="576" t="s">
        <v>1201</v>
      </c>
      <c r="I46" s="287">
        <v>7020.6660000000002</v>
      </c>
      <c r="J46" s="140"/>
      <c r="K46" s="140"/>
      <c r="L46" s="1204"/>
      <c r="M46" s="1044"/>
      <c r="N46" s="2229"/>
      <c r="O46" s="2196"/>
      <c r="P46" s="1296"/>
      <c r="Q46" s="1261"/>
      <c r="R46" s="2025"/>
      <c r="S46" s="1509"/>
      <c r="T46" s="1301"/>
    </row>
    <row r="47" spans="1:25" s="197" customFormat="1" ht="13.5" customHeight="1">
      <c r="A47" s="2083">
        <v>103</v>
      </c>
      <c r="B47" s="2026">
        <v>591</v>
      </c>
      <c r="C47" s="550" t="s">
        <v>1183</v>
      </c>
      <c r="D47" s="98">
        <v>-1387.4069999999999</v>
      </c>
      <c r="E47" s="227"/>
      <c r="F47" s="2028"/>
      <c r="G47" s="2029"/>
      <c r="H47" s="2030"/>
      <c r="I47" s="2060"/>
      <c r="J47" s="140"/>
      <c r="K47" s="140"/>
      <c r="L47" s="1204"/>
      <c r="M47" s="1044"/>
      <c r="N47" s="2229"/>
      <c r="O47" s="2196"/>
      <c r="P47" s="1296"/>
      <c r="Q47" s="1261"/>
      <c r="R47" s="2025"/>
      <c r="S47" s="1509"/>
      <c r="T47" s="1301"/>
    </row>
    <row r="48" spans="1:25" s="197" customFormat="1" ht="18.75" customHeight="1">
      <c r="A48" s="549">
        <v>115</v>
      </c>
      <c r="B48" s="2023" t="s">
        <v>1080</v>
      </c>
      <c r="C48" s="550" t="s">
        <v>1184</v>
      </c>
      <c r="D48" s="98">
        <v>2235.4690000000001</v>
      </c>
      <c r="E48" s="227"/>
      <c r="F48" s="2031"/>
      <c r="G48" s="2032"/>
      <c r="H48" s="2033"/>
      <c r="I48" s="2027"/>
      <c r="J48" s="140"/>
      <c r="L48" s="549">
        <v>115</v>
      </c>
      <c r="M48" s="1195">
        <v>5796.1409999999996</v>
      </c>
      <c r="N48" s="2230">
        <f>IF(ISERROR((D48-M48)/M48),0,((D48-M48)/M48))</f>
        <v>-0.61431769862051322</v>
      </c>
      <c r="O48" s="2196"/>
      <c r="P48" s="1296"/>
      <c r="Q48" s="1301"/>
      <c r="R48" s="1301"/>
      <c r="S48" s="1301"/>
      <c r="T48" s="1301"/>
    </row>
    <row r="49" spans="1:20" s="197" customFormat="1" ht="13.5" customHeight="1">
      <c r="A49" s="551">
        <v>120</v>
      </c>
      <c r="B49" s="552">
        <v>573</v>
      </c>
      <c r="C49" s="550" t="s">
        <v>906</v>
      </c>
      <c r="D49" s="220">
        <v>10902.84</v>
      </c>
      <c r="E49" s="227"/>
      <c r="F49" s="699">
        <v>121</v>
      </c>
      <c r="G49" s="700" t="s">
        <v>545</v>
      </c>
      <c r="H49" s="751" t="s">
        <v>783</v>
      </c>
      <c r="I49" s="285">
        <v>1607.8510000000001</v>
      </c>
      <c r="J49" s="1224"/>
      <c r="L49" s="547">
        <v>120</v>
      </c>
      <c r="M49" s="1189">
        <v>10538.732</v>
      </c>
      <c r="N49" s="2234">
        <f>IF(ISERROR((D49-M49)/M49),0,((D49-M49)/M49))</f>
        <v>3.4549507473954189E-2</v>
      </c>
      <c r="O49" s="2196"/>
      <c r="P49" s="1299"/>
      <c r="Q49" s="1301"/>
      <c r="R49" s="1310"/>
      <c r="S49" s="1310"/>
      <c r="T49" s="1301"/>
    </row>
    <row r="50" spans="1:20" s="197" customFormat="1" ht="12.75">
      <c r="A50" s="551">
        <v>180</v>
      </c>
      <c r="B50" s="554">
        <v>571</v>
      </c>
      <c r="C50" s="550" t="s">
        <v>751</v>
      </c>
      <c r="D50" s="176">
        <v>3573.9140000000002</v>
      </c>
      <c r="E50" s="227"/>
      <c r="F50" s="702">
        <v>122</v>
      </c>
      <c r="G50" s="664" t="s">
        <v>546</v>
      </c>
      <c r="H50" s="753" t="s">
        <v>1192</v>
      </c>
      <c r="I50" s="286">
        <v>9012.58</v>
      </c>
      <c r="J50" s="1961"/>
      <c r="K50" s="4"/>
      <c r="L50" s="551"/>
      <c r="M50" s="1053"/>
      <c r="N50" s="2232"/>
      <c r="O50" s="2196"/>
      <c r="P50" s="1296"/>
      <c r="Q50" s="1301"/>
      <c r="R50" s="1310"/>
      <c r="S50" s="1310"/>
      <c r="T50" s="1301"/>
    </row>
    <row r="51" spans="1:20" s="197" customFormat="1" ht="12.75">
      <c r="A51" s="556">
        <v>186</v>
      </c>
      <c r="B51" s="557">
        <v>574</v>
      </c>
      <c r="C51" s="550" t="s">
        <v>3</v>
      </c>
      <c r="D51" s="98">
        <v>96.486999999999995</v>
      </c>
      <c r="E51" s="227"/>
      <c r="F51" s="704">
        <v>123</v>
      </c>
      <c r="G51" s="789">
        <v>5733</v>
      </c>
      <c r="H51" s="574" t="s">
        <v>1193</v>
      </c>
      <c r="I51" s="287">
        <v>282.37599999999998</v>
      </c>
      <c r="J51" s="1961"/>
      <c r="K51" s="155"/>
      <c r="L51" s="781"/>
      <c r="M51" s="1044"/>
      <c r="N51" s="2229"/>
      <c r="O51" s="2196"/>
      <c r="P51" s="1296"/>
      <c r="Q51" s="1301"/>
      <c r="R51" s="1310"/>
      <c r="S51" s="1310"/>
      <c r="T51" s="1301"/>
    </row>
    <row r="52" spans="1:20" s="197" customFormat="1" ht="12.75">
      <c r="A52" s="556">
        <v>185</v>
      </c>
      <c r="B52" s="554">
        <v>575</v>
      </c>
      <c r="C52" s="555" t="str">
        <f>"Pensionskostnad, avgiftsbestämd ålderspension"</f>
        <v>Pensionskostnad, avgiftsbestämd ålderspension</v>
      </c>
      <c r="D52" s="176">
        <v>14927.259</v>
      </c>
      <c r="E52" s="1932"/>
      <c r="F52" s="4"/>
      <c r="G52" s="4"/>
      <c r="H52" s="66"/>
      <c r="K52" s="4"/>
      <c r="L52" s="781"/>
      <c r="M52" s="1044"/>
      <c r="N52" s="2229"/>
      <c r="O52" s="2196"/>
      <c r="P52" s="1296"/>
      <c r="Q52" s="1301"/>
      <c r="R52" s="1310"/>
      <c r="S52" s="1310"/>
      <c r="T52" s="168"/>
    </row>
    <row r="53" spans="1:20" s="197" customFormat="1" ht="13.5" thickBot="1">
      <c r="A53" s="558">
        <v>189</v>
      </c>
      <c r="B53" s="559"/>
      <c r="C53" s="536" t="s">
        <v>686</v>
      </c>
      <c r="D53" s="354">
        <f>SUM(D45:D52)</f>
        <v>440513.44400000002</v>
      </c>
      <c r="E53" s="227"/>
      <c r="F53" s="4"/>
      <c r="G53" s="4"/>
      <c r="H53" s="66"/>
      <c r="I53" s="66"/>
      <c r="L53" s="558"/>
      <c r="M53" s="1196"/>
      <c r="N53" s="2231"/>
      <c r="O53" s="2196"/>
      <c r="P53" s="1300"/>
      <c r="Q53" s="1301"/>
      <c r="R53" s="1302"/>
      <c r="S53" s="1302"/>
      <c r="T53" s="168"/>
    </row>
    <row r="54" spans="1:20" s="197" customFormat="1" ht="12.75">
      <c r="A54" s="560">
        <v>300</v>
      </c>
      <c r="B54" s="557" t="s">
        <v>779</v>
      </c>
      <c r="C54" s="550" t="s">
        <v>1185</v>
      </c>
      <c r="D54" s="98">
        <v>11407.861000000001</v>
      </c>
      <c r="E54" s="227"/>
      <c r="F54" s="696">
        <v>318</v>
      </c>
      <c r="G54" s="787">
        <v>628</v>
      </c>
      <c r="H54" s="788" t="s">
        <v>154</v>
      </c>
      <c r="I54" s="224">
        <v>624.60500000000002</v>
      </c>
      <c r="J54" s="140"/>
      <c r="K54" s="140"/>
      <c r="L54" s="1206"/>
      <c r="M54" s="1227"/>
      <c r="N54" s="2228"/>
      <c r="O54" s="2196"/>
      <c r="P54" s="1296"/>
      <c r="Q54" s="1261"/>
      <c r="R54" s="1326"/>
      <c r="S54" s="1310"/>
      <c r="T54" s="1301"/>
    </row>
    <row r="55" spans="1:20" s="197" customFormat="1" ht="12.75">
      <c r="A55" s="556">
        <v>325</v>
      </c>
      <c r="B55" s="557">
        <v>644</v>
      </c>
      <c r="C55" s="550" t="s">
        <v>687</v>
      </c>
      <c r="D55" s="98">
        <v>8640.9760000000006</v>
      </c>
      <c r="E55" s="227"/>
      <c r="F55" s="4"/>
      <c r="G55" s="4"/>
      <c r="H55" s="66"/>
      <c r="K55" s="4"/>
      <c r="L55" s="781"/>
      <c r="M55" s="1044"/>
      <c r="N55" s="2229"/>
      <c r="O55" s="2196"/>
      <c r="P55" s="1296"/>
      <c r="Q55" s="1301"/>
      <c r="R55" s="1310"/>
      <c r="S55" s="1310"/>
      <c r="T55" s="168"/>
    </row>
    <row r="56" spans="1:20" s="197" customFormat="1" ht="12.75">
      <c r="A56" s="556">
        <v>330</v>
      </c>
      <c r="B56" s="557">
        <v>651</v>
      </c>
      <c r="C56" s="550" t="s">
        <v>688</v>
      </c>
      <c r="D56" s="98">
        <v>372.5</v>
      </c>
      <c r="E56" s="227"/>
      <c r="F56" s="4"/>
      <c r="G56" s="4"/>
      <c r="H56" s="66"/>
      <c r="I56" s="66"/>
      <c r="L56" s="781"/>
      <c r="M56" s="1044"/>
      <c r="N56" s="2229"/>
      <c r="O56" s="2196"/>
      <c r="P56" s="1296"/>
      <c r="Q56" s="1301"/>
      <c r="R56" s="1310"/>
      <c r="S56" s="1310"/>
      <c r="T56" s="168"/>
    </row>
    <row r="57" spans="1:20" s="197" customFormat="1" ht="12.75">
      <c r="A57" s="556">
        <v>340</v>
      </c>
      <c r="B57" s="561" t="s">
        <v>664</v>
      </c>
      <c r="C57" s="562" t="s">
        <v>689</v>
      </c>
      <c r="D57" s="98">
        <v>21476.880000000001</v>
      </c>
      <c r="E57" s="227"/>
      <c r="F57" s="1385" t="s">
        <v>794</v>
      </c>
      <c r="G57" s="1645">
        <v>641</v>
      </c>
      <c r="H57" s="1646" t="s">
        <v>758</v>
      </c>
      <c r="I57" s="1647">
        <v>4588.7809999999999</v>
      </c>
      <c r="J57" s="140"/>
      <c r="K57" s="4"/>
      <c r="L57" s="549"/>
      <c r="M57" s="1195"/>
      <c r="N57" s="2230"/>
      <c r="O57" s="2196"/>
      <c r="P57" s="1296"/>
      <c r="Q57" s="1301"/>
      <c r="R57" s="1326"/>
      <c r="S57" s="1310"/>
      <c r="T57" s="1326"/>
    </row>
    <row r="58" spans="1:20" s="197" customFormat="1" ht="13.5" thickBot="1">
      <c r="A58" s="558">
        <v>360</v>
      </c>
      <c r="B58" s="563"/>
      <c r="C58" s="564" t="s">
        <v>690</v>
      </c>
      <c r="D58" s="354">
        <f>SUM(D54,D55,D56,D57)</f>
        <v>41898.217000000004</v>
      </c>
      <c r="E58" s="227"/>
      <c r="F58" s="1387" t="s">
        <v>945</v>
      </c>
      <c r="G58" s="2253">
        <v>418</v>
      </c>
      <c r="H58" s="2258" t="s">
        <v>1124</v>
      </c>
      <c r="I58" s="1284">
        <v>1663.021</v>
      </c>
      <c r="J58" s="140"/>
      <c r="K58" s="4"/>
      <c r="L58" s="558">
        <v>360</v>
      </c>
      <c r="M58" s="1196">
        <v>37956.014000000003</v>
      </c>
      <c r="N58" s="2231">
        <f>IF(ISERROR((D58-M58)/M58),0,((D58-M58)/M58))</f>
        <v>0.10386240768063794</v>
      </c>
      <c r="O58" s="2196"/>
      <c r="P58" s="1300"/>
      <c r="Q58" s="1301"/>
      <c r="R58" s="17"/>
      <c r="S58" s="1310"/>
      <c r="T58" s="1326"/>
    </row>
    <row r="59" spans="1:20" s="197" customFormat="1" ht="12.75" customHeight="1">
      <c r="A59" s="556">
        <v>345</v>
      </c>
      <c r="B59" s="557" t="s">
        <v>788</v>
      </c>
      <c r="C59" s="550" t="s">
        <v>1186</v>
      </c>
      <c r="D59" s="98">
        <v>9656.0529999999999</v>
      </c>
      <c r="E59" s="227"/>
      <c r="F59" s="4"/>
      <c r="G59" s="4"/>
      <c r="H59" s="66"/>
      <c r="I59" s="66"/>
      <c r="K59" s="4"/>
      <c r="L59" s="1206"/>
      <c r="M59" s="1227"/>
      <c r="N59" s="2228"/>
      <c r="O59" s="2196"/>
      <c r="P59" s="1296"/>
      <c r="Q59" s="1301"/>
      <c r="R59" s="1310"/>
      <c r="S59" s="1310"/>
      <c r="T59" s="168"/>
    </row>
    <row r="60" spans="1:20" s="197" customFormat="1" ht="12.75">
      <c r="A60" s="556">
        <v>401</v>
      </c>
      <c r="B60" s="557">
        <v>46</v>
      </c>
      <c r="C60" s="550" t="s">
        <v>752</v>
      </c>
      <c r="D60" s="98">
        <v>150198.533</v>
      </c>
      <c r="E60" s="227"/>
      <c r="F60" s="4"/>
      <c r="G60" s="4"/>
      <c r="H60" s="66"/>
      <c r="I60" s="66"/>
      <c r="K60" s="4"/>
      <c r="L60" s="547">
        <v>401</v>
      </c>
      <c r="M60" s="1189">
        <v>143695.503</v>
      </c>
      <c r="N60" s="2234">
        <f>IF(ISERROR((D60-M60)/M60),0,((D60-M60)/M60))</f>
        <v>4.5255626406067832E-2</v>
      </c>
      <c r="O60" s="2196"/>
      <c r="P60" s="1296"/>
      <c r="Q60" s="1301"/>
      <c r="R60" s="1310"/>
      <c r="S60" s="1310"/>
      <c r="T60" s="168"/>
    </row>
    <row r="61" spans="1:20" s="197" customFormat="1" ht="12.75">
      <c r="A61" s="556">
        <v>410</v>
      </c>
      <c r="B61" s="557">
        <v>74</v>
      </c>
      <c r="C61" s="550" t="s">
        <v>781</v>
      </c>
      <c r="D61" s="98">
        <v>26105.276000000002</v>
      </c>
      <c r="E61" s="227"/>
      <c r="F61" s="4"/>
      <c r="G61" s="4"/>
      <c r="H61" s="66"/>
      <c r="I61" s="66"/>
      <c r="K61" s="4"/>
      <c r="L61" s="781"/>
      <c r="M61" s="1044"/>
      <c r="N61" s="2229"/>
      <c r="O61" s="2196"/>
      <c r="P61" s="1296"/>
      <c r="Q61" s="1301"/>
      <c r="R61" s="1502"/>
      <c r="S61" s="1310"/>
      <c r="T61" s="168"/>
    </row>
    <row r="62" spans="1:20" s="197" customFormat="1" ht="17.25" customHeight="1">
      <c r="A62" s="556">
        <v>411</v>
      </c>
      <c r="B62" s="557">
        <v>75</v>
      </c>
      <c r="C62" s="550" t="s">
        <v>1047</v>
      </c>
      <c r="D62" s="98">
        <v>3267.4360000000001</v>
      </c>
      <c r="E62" s="227"/>
      <c r="F62" s="4"/>
      <c r="G62" s="4"/>
      <c r="H62" s="66"/>
      <c r="I62" s="66"/>
      <c r="K62" s="4"/>
      <c r="L62" s="781"/>
      <c r="M62" s="1044"/>
      <c r="N62" s="2229"/>
      <c r="O62" s="2196"/>
      <c r="P62" s="1296"/>
      <c r="Q62" s="1301"/>
      <c r="R62" s="1310"/>
      <c r="S62" s="1310"/>
      <c r="T62" s="168"/>
    </row>
    <row r="63" spans="1:20" s="197" customFormat="1" ht="12.75">
      <c r="A63" s="556">
        <v>415</v>
      </c>
      <c r="B63" s="557" t="s">
        <v>789</v>
      </c>
      <c r="C63" s="550" t="s">
        <v>1187</v>
      </c>
      <c r="D63" s="98">
        <v>4472.268</v>
      </c>
      <c r="E63" s="227"/>
      <c r="F63" s="4"/>
      <c r="G63" s="4"/>
      <c r="H63" s="66"/>
      <c r="I63" s="66"/>
      <c r="K63" s="4"/>
      <c r="L63" s="781"/>
      <c r="M63" s="1044"/>
      <c r="N63" s="2229"/>
      <c r="O63" s="2196"/>
      <c r="P63" s="1296"/>
      <c r="Q63" s="1301"/>
      <c r="R63" s="1326"/>
      <c r="S63" s="1310"/>
      <c r="T63" s="168"/>
    </row>
    <row r="64" spans="1:20" s="197" customFormat="1" ht="12.75">
      <c r="A64" s="556">
        <v>416</v>
      </c>
      <c r="B64" s="561">
        <v>68</v>
      </c>
      <c r="C64" s="550" t="s">
        <v>1188</v>
      </c>
      <c r="D64" s="98">
        <v>2133.7539999999999</v>
      </c>
      <c r="E64" s="227"/>
      <c r="F64" s="4"/>
      <c r="G64" s="4"/>
      <c r="H64" s="66"/>
      <c r="I64" s="66"/>
      <c r="K64" s="4"/>
      <c r="L64" s="781"/>
      <c r="M64" s="1044"/>
      <c r="N64" s="2229"/>
      <c r="O64" s="2196"/>
      <c r="P64" s="1296"/>
      <c r="Q64" s="1301"/>
      <c r="R64" s="1326"/>
      <c r="S64" s="1326"/>
      <c r="T64" s="168"/>
    </row>
    <row r="65" spans="1:25" s="197" customFormat="1" ht="12.75">
      <c r="A65" s="556">
        <v>430</v>
      </c>
      <c r="B65" s="561">
        <v>66</v>
      </c>
      <c r="C65" s="550" t="s">
        <v>753</v>
      </c>
      <c r="D65" s="98">
        <v>2052.1640000000002</v>
      </c>
      <c r="E65" s="227"/>
      <c r="F65" s="4"/>
      <c r="G65" s="4"/>
      <c r="H65" s="66"/>
      <c r="I65" s="66"/>
      <c r="K65" s="4"/>
      <c r="L65" s="781"/>
      <c r="M65" s="1044"/>
      <c r="N65" s="2229"/>
      <c r="O65" s="2196"/>
      <c r="P65" s="1296"/>
      <c r="Q65" s="1301"/>
      <c r="R65" s="1326"/>
      <c r="S65" s="1326"/>
      <c r="T65" s="168"/>
    </row>
    <row r="66" spans="1:25" s="197" customFormat="1" ht="12.75">
      <c r="A66" s="556">
        <v>440</v>
      </c>
      <c r="B66" s="561">
        <v>701</v>
      </c>
      <c r="C66" s="550" t="s">
        <v>1045</v>
      </c>
      <c r="D66" s="98">
        <v>8088.107</v>
      </c>
      <c r="E66" s="227"/>
      <c r="F66" s="4"/>
      <c r="G66" s="4"/>
      <c r="H66" s="66"/>
      <c r="I66" s="66"/>
      <c r="K66" s="4"/>
      <c r="L66" s="549"/>
      <c r="M66" s="1195"/>
      <c r="N66" s="2230"/>
      <c r="O66" s="2196"/>
      <c r="P66" s="1296"/>
      <c r="Q66" s="1301"/>
      <c r="R66" s="1310"/>
      <c r="S66" s="1326"/>
      <c r="T66" s="168"/>
    </row>
    <row r="67" spans="1:25" s="197" customFormat="1" ht="12.75">
      <c r="A67" s="556">
        <v>450</v>
      </c>
      <c r="B67" s="561">
        <v>601</v>
      </c>
      <c r="C67" s="550" t="s">
        <v>1046</v>
      </c>
      <c r="D67" s="98">
        <v>35547.087</v>
      </c>
      <c r="E67" s="227"/>
      <c r="F67" s="4"/>
      <c r="G67" s="4"/>
      <c r="H67" s="66"/>
      <c r="I67" s="66"/>
      <c r="K67" s="4"/>
      <c r="L67" s="547">
        <v>450</v>
      </c>
      <c r="M67" s="1189">
        <v>35134.730000000003</v>
      </c>
      <c r="N67" s="2234">
        <f>IF(ISERROR((D67-M67)/M67),0,((D67-M67)/M67))</f>
        <v>1.1736449945680422E-2</v>
      </c>
      <c r="O67" s="2196"/>
      <c r="P67" s="1296"/>
      <c r="Q67" s="1301"/>
      <c r="R67" s="1326"/>
      <c r="S67" s="1326"/>
      <c r="T67" s="168"/>
    </row>
    <row r="68" spans="1:25" s="197" customFormat="1" ht="18.75">
      <c r="A68" s="556">
        <v>460</v>
      </c>
      <c r="B68" s="561">
        <v>602</v>
      </c>
      <c r="C68" s="562" t="s">
        <v>691</v>
      </c>
      <c r="D68" s="98">
        <v>82.751000000000005</v>
      </c>
      <c r="E68" s="227"/>
      <c r="F68" s="1683">
        <v>469</v>
      </c>
      <c r="G68" s="1684" t="s">
        <v>915</v>
      </c>
      <c r="H68" s="1513" t="s">
        <v>1194</v>
      </c>
      <c r="I68" s="1511">
        <v>3938.8159999999998</v>
      </c>
      <c r="K68" s="4"/>
      <c r="L68" s="551"/>
      <c r="M68" s="1053"/>
      <c r="N68" s="2232"/>
      <c r="O68" s="2196"/>
      <c r="P68" s="1296"/>
      <c r="Q68" s="1301"/>
      <c r="R68" s="1326"/>
      <c r="S68" s="1326"/>
      <c r="T68" s="1301"/>
    </row>
    <row r="69" spans="1:25" s="197" customFormat="1" ht="20.25" customHeight="1">
      <c r="A69" s="556">
        <v>470</v>
      </c>
      <c r="B69" s="1388" t="s">
        <v>1049</v>
      </c>
      <c r="C69" s="587" t="s">
        <v>1189</v>
      </c>
      <c r="D69" s="221">
        <v>9247.482</v>
      </c>
      <c r="E69" s="227"/>
      <c r="F69" s="702">
        <v>472</v>
      </c>
      <c r="G69" s="703">
        <v>731</v>
      </c>
      <c r="H69" s="2006" t="s">
        <v>1048</v>
      </c>
      <c r="I69" s="1512">
        <v>1313.941</v>
      </c>
      <c r="K69" s="4"/>
      <c r="L69" s="781"/>
      <c r="M69" s="1044"/>
      <c r="N69" s="2229"/>
      <c r="O69" s="2196"/>
      <c r="P69" s="1296"/>
      <c r="Q69" s="1301"/>
      <c r="R69" s="1310"/>
      <c r="S69" s="1310"/>
      <c r="T69" s="1301"/>
    </row>
    <row r="70" spans="1:25" s="197" customFormat="1" ht="18.75" customHeight="1">
      <c r="A70" s="556">
        <v>471</v>
      </c>
      <c r="B70" s="557" t="s">
        <v>665</v>
      </c>
      <c r="C70" s="550" t="s">
        <v>692</v>
      </c>
      <c r="D70" s="99">
        <v>12897.302</v>
      </c>
      <c r="E70" s="227"/>
      <c r="F70" s="702">
        <v>474</v>
      </c>
      <c r="G70" s="664">
        <v>732</v>
      </c>
      <c r="H70" s="753" t="s">
        <v>1020</v>
      </c>
      <c r="I70" s="286">
        <v>87.811999999999998</v>
      </c>
      <c r="K70" s="4"/>
      <c r="L70" s="549"/>
      <c r="M70" s="1195"/>
      <c r="N70" s="2230"/>
      <c r="O70" s="2196"/>
      <c r="P70" s="1296"/>
      <c r="Q70" s="1301"/>
      <c r="R70" s="1310"/>
      <c r="S70" s="1310"/>
      <c r="T70" s="1301"/>
    </row>
    <row r="71" spans="1:25" s="197" customFormat="1" ht="18.75" thickBot="1">
      <c r="A71" s="565">
        <v>479</v>
      </c>
      <c r="B71" s="566"/>
      <c r="C71" s="567" t="s">
        <v>693</v>
      </c>
      <c r="D71" s="355">
        <f>SUM(D59:D70)</f>
        <v>263748.21299999999</v>
      </c>
      <c r="E71" s="227"/>
      <c r="F71" s="1948">
        <v>476</v>
      </c>
      <c r="G71" s="1952" t="s">
        <v>1030</v>
      </c>
      <c r="H71" s="1900" t="s">
        <v>1195</v>
      </c>
      <c r="I71" s="286">
        <v>965.298</v>
      </c>
      <c r="K71" s="4"/>
      <c r="L71" s="558">
        <v>479</v>
      </c>
      <c r="M71" s="1196">
        <v>247547.50599999999</v>
      </c>
      <c r="N71" s="2231">
        <f>IF(ISERROR((D71-M71)/M71),0,((D71-M71)/M71))</f>
        <v>6.544484031279231E-2</v>
      </c>
      <c r="O71" s="2196"/>
      <c r="P71" s="1300"/>
      <c r="Q71" s="1301"/>
      <c r="R71" s="1302"/>
      <c r="S71" s="1310"/>
      <c r="T71" s="1301"/>
    </row>
    <row r="72" spans="1:25" s="197" customFormat="1" ht="19.5" customHeight="1">
      <c r="A72" s="568">
        <v>897</v>
      </c>
      <c r="B72" s="1388" t="s">
        <v>782</v>
      </c>
      <c r="C72" s="550" t="s">
        <v>1190</v>
      </c>
      <c r="D72" s="222">
        <v>1023.0309999999999</v>
      </c>
      <c r="E72" s="1933"/>
      <c r="F72" s="702">
        <v>477</v>
      </c>
      <c r="G72" s="664">
        <v>737</v>
      </c>
      <c r="H72" s="753" t="s">
        <v>1021</v>
      </c>
      <c r="I72" s="286">
        <v>2.8740000000000001</v>
      </c>
      <c r="K72" s="4"/>
      <c r="L72" s="1206"/>
      <c r="M72" s="1227"/>
      <c r="N72" s="2228"/>
      <c r="O72" s="2196"/>
      <c r="P72" s="1296"/>
      <c r="Q72" s="1301"/>
      <c r="R72" s="1510"/>
      <c r="S72" s="1310"/>
      <c r="T72" s="1301"/>
    </row>
    <row r="73" spans="1:25" s="197" customFormat="1" ht="15" customHeight="1">
      <c r="A73" s="547">
        <v>899</v>
      </c>
      <c r="B73" s="1389">
        <v>787</v>
      </c>
      <c r="C73" s="562" t="s">
        <v>748</v>
      </c>
      <c r="D73" s="219">
        <v>1233.2360000000001</v>
      </c>
      <c r="E73" s="2153"/>
      <c r="F73" s="1485" t="s">
        <v>247</v>
      </c>
      <c r="G73" s="664"/>
      <c r="H73" s="753" t="s">
        <v>889</v>
      </c>
      <c r="I73" s="286">
        <v>2.0819999999999999</v>
      </c>
      <c r="J73" s="140"/>
      <c r="K73" s="4"/>
      <c r="L73" s="781"/>
      <c r="M73" s="1044"/>
      <c r="N73" s="2229"/>
      <c r="O73" s="2196"/>
      <c r="P73" s="1296"/>
      <c r="Q73" s="1301"/>
      <c r="R73" s="1310"/>
      <c r="S73" s="1301"/>
      <c r="T73" s="1301"/>
    </row>
    <row r="74" spans="1:25" s="197" customFormat="1" ht="12.75" customHeight="1" thickBot="1">
      <c r="A74" s="565">
        <v>900</v>
      </c>
      <c r="B74" s="569">
        <v>789</v>
      </c>
      <c r="C74" s="570" t="s">
        <v>449</v>
      </c>
      <c r="D74" s="223">
        <v>28.004000000000001</v>
      </c>
      <c r="E74" s="302"/>
      <c r="F74" s="790">
        <v>478</v>
      </c>
      <c r="G74" s="664" t="s">
        <v>756</v>
      </c>
      <c r="H74" s="753" t="s">
        <v>1022</v>
      </c>
      <c r="I74" s="286">
        <v>2081.5630000000001</v>
      </c>
      <c r="K74" s="140"/>
      <c r="L74" s="781"/>
      <c r="M74" s="1044"/>
      <c r="N74" s="2229"/>
      <c r="O74" s="2196"/>
      <c r="P74" s="1296"/>
      <c r="Q74" s="1301"/>
      <c r="R74" s="1301"/>
      <c r="S74" s="1301"/>
      <c r="T74" s="1301"/>
    </row>
    <row r="75" spans="1:25" s="197" customFormat="1" ht="16.5" customHeight="1" thickBot="1">
      <c r="A75" s="560">
        <v>887</v>
      </c>
      <c r="B75" s="2244"/>
      <c r="C75" s="571" t="s">
        <v>1178</v>
      </c>
      <c r="D75" s="356">
        <f>SUM(D44+D53+D58+D71+D72+D73+D74)</f>
        <v>781965.41599999997</v>
      </c>
      <c r="F75" s="573">
        <v>473</v>
      </c>
      <c r="G75" s="1391" t="s">
        <v>801</v>
      </c>
      <c r="H75" s="1320" t="s">
        <v>1196</v>
      </c>
      <c r="I75" s="287">
        <v>469.33199999999999</v>
      </c>
      <c r="J75" s="140"/>
      <c r="K75" s="4"/>
      <c r="L75" s="545"/>
      <c r="M75" s="1228"/>
      <c r="N75" s="2233"/>
      <c r="O75" s="2196"/>
      <c r="P75" s="1300"/>
      <c r="Q75" s="1261"/>
      <c r="R75" s="1326"/>
      <c r="S75" s="1326"/>
      <c r="T75" s="1301"/>
    </row>
    <row r="76" spans="1:25" s="197" customFormat="1" ht="18" customHeight="1" thickBot="1">
      <c r="A76" s="572" t="s">
        <v>450</v>
      </c>
      <c r="B76" s="559"/>
      <c r="C76" s="536" t="s">
        <v>91</v>
      </c>
      <c r="D76" s="298">
        <f>RR!C8</f>
        <v>781965.41599999997</v>
      </c>
      <c r="E76" s="227"/>
      <c r="F76" s="2196"/>
      <c r="G76" s="2196"/>
      <c r="H76" s="2196"/>
      <c r="I76" s="2196"/>
      <c r="J76" s="2196"/>
      <c r="L76" s="1207"/>
      <c r="M76" s="1208"/>
      <c r="N76" s="2235"/>
      <c r="O76" s="2196"/>
      <c r="P76" s="1296"/>
      <c r="Q76" s="168"/>
      <c r="R76" s="1302"/>
      <c r="S76" s="1302"/>
      <c r="T76" s="168"/>
    </row>
    <row r="77" spans="1:25" s="197" customFormat="1" ht="15.75" customHeight="1">
      <c r="A77" s="2240" t="s">
        <v>1103</v>
      </c>
      <c r="B77" s="1390"/>
      <c r="C77" s="1390"/>
      <c r="D77" s="1656"/>
      <c r="F77" s="2196"/>
      <c r="G77" s="2196"/>
      <c r="H77" s="2196"/>
      <c r="I77" s="2196"/>
      <c r="J77" s="2196"/>
      <c r="K77" s="4"/>
      <c r="O77" s="2196"/>
      <c r="Q77" s="168"/>
      <c r="R77" s="1307"/>
      <c r="S77" s="1307"/>
      <c r="T77" s="168"/>
    </row>
    <row r="78" spans="1:25" s="197" customFormat="1" ht="21" customHeight="1">
      <c r="A78" s="144" t="s">
        <v>802</v>
      </c>
      <c r="B78" s="78"/>
      <c r="C78" s="78"/>
      <c r="D78" s="4"/>
      <c r="F78" s="2196"/>
      <c r="G78" s="2196"/>
      <c r="H78" s="2196"/>
      <c r="I78" s="2196"/>
      <c r="J78" s="2196"/>
      <c r="K78" s="4"/>
      <c r="Q78" s="168"/>
      <c r="R78" s="2501"/>
      <c r="S78" s="2501"/>
      <c r="T78" s="2501"/>
    </row>
    <row r="79" spans="1:25" s="197" customFormat="1" ht="12.75" customHeight="1">
      <c r="A79" s="168"/>
      <c r="B79" s="168"/>
      <c r="C79" s="168"/>
      <c r="D79" s="168"/>
      <c r="F79" s="2196"/>
      <c r="G79" s="2196"/>
      <c r="H79" s="2196"/>
      <c r="I79" s="2196"/>
      <c r="J79" s="2196"/>
      <c r="K79" s="4"/>
      <c r="L79" s="168"/>
      <c r="M79" s="168"/>
      <c r="N79" s="168"/>
      <c r="O79" s="168"/>
      <c r="P79" s="168"/>
      <c r="Q79" s="168"/>
      <c r="R79" s="2501"/>
      <c r="S79" s="2501"/>
      <c r="T79" s="2501"/>
      <c r="U79" s="168"/>
      <c r="V79" s="168"/>
    </row>
    <row r="80" spans="1:25" s="197" customFormat="1" ht="12.75">
      <c r="A80" s="168"/>
      <c r="B80" s="168"/>
      <c r="C80" s="168"/>
      <c r="D80" s="168"/>
      <c r="E80" s="168"/>
      <c r="F80" s="4"/>
      <c r="G80" s="4"/>
      <c r="H80" s="4"/>
      <c r="I80" s="4"/>
      <c r="J80" s="4"/>
      <c r="K80" s="168"/>
      <c r="L80" s="168"/>
      <c r="M80" s="168"/>
      <c r="N80" s="168"/>
      <c r="O80" s="168"/>
      <c r="P80" s="168"/>
      <c r="Q80" s="168"/>
      <c r="R80" s="417"/>
      <c r="S80" s="417"/>
      <c r="T80" s="168"/>
      <c r="U80" s="168"/>
      <c r="V80" s="168"/>
      <c r="W80" s="168"/>
      <c r="X80" s="168"/>
      <c r="Y80" s="168"/>
    </row>
    <row r="81" ht="12.75"/>
    <row r="82" ht="12.75"/>
    <row r="83" ht="12.75"/>
    <row r="84" ht="12.75"/>
    <row r="85" ht="12.75" hidden="1"/>
    <row r="86" ht="12.75" hidden="1"/>
    <row r="87" ht="12.75" hidden="1"/>
    <row r="88" ht="12.75" hidden="1"/>
    <row r="89" ht="12.75" hidden="1"/>
    <row r="90" ht="12.75" hidden="1"/>
    <row r="91" ht="12.75" hidden="1"/>
    <row r="92" ht="12.75"/>
    <row r="93" ht="12.75" hidden="1"/>
  </sheetData>
  <sheetProtection algorithmName="SHA-512" hashValue="h5uWeisp34jbRqBWGh9TKKRGpGQ5rC6P7odQinTnOp69xsHHzUW3Ya2VYl318YtkEt40xHXZBGaCR2GIgOuuew==" saltValue="PJA89r3BsuUyYB8vc41Ahg==" spinCount="100000" sheet="1" objects="1" scenarios="1"/>
  <mergeCells count="2">
    <mergeCell ref="B6:B7"/>
    <mergeCell ref="R78:T79"/>
  </mergeCells>
  <conditionalFormatting sqref="I17:I18 I21">
    <cfRule type="cellIs" dxfId="145" priority="21" stopIfTrue="1" operator="lessThan">
      <formula>-500</formula>
    </cfRule>
  </conditionalFormatting>
  <conditionalFormatting sqref="I24">
    <cfRule type="cellIs" dxfId="144" priority="20" stopIfTrue="1" operator="lessThan">
      <formula>-500</formula>
    </cfRule>
  </conditionalFormatting>
  <conditionalFormatting sqref="I57">
    <cfRule type="cellIs" dxfId="143" priority="19" stopIfTrue="1" operator="lessThan">
      <formula>-500</formula>
    </cfRule>
  </conditionalFormatting>
  <conditionalFormatting sqref="I27:I29">
    <cfRule type="cellIs" dxfId="142" priority="18" stopIfTrue="1" operator="lessThan">
      <formula>-500</formula>
    </cfRule>
  </conditionalFormatting>
  <conditionalFormatting sqref="D43 I43:I44">
    <cfRule type="cellIs" dxfId="141" priority="17" stopIfTrue="1" operator="lessThan">
      <formula>0</formula>
    </cfRule>
  </conditionalFormatting>
  <conditionalFormatting sqref="I68">
    <cfRule type="cellIs" dxfId="140" priority="16" stopIfTrue="1" operator="lessThan">
      <formula>-500</formula>
    </cfRule>
  </conditionalFormatting>
  <conditionalFormatting sqref="I68 I47:I48 I40:I45">
    <cfRule type="cellIs" dxfId="139" priority="15" stopIfTrue="1" operator="lessThan">
      <formula>-500</formula>
    </cfRule>
  </conditionalFormatting>
  <conditionalFormatting sqref="D8:D11 D13:D15 D17:D25 D27:D30 I24 I27:I29 D32:D34 D40:D43 D45 D49:D52 D54:D57 D59:D70 D72 D74 I68:I75 I57 I54 I49:I51">
    <cfRule type="cellIs" dxfId="138" priority="14" stopIfTrue="1" operator="lessThan">
      <formula>-500</formula>
    </cfRule>
  </conditionalFormatting>
  <conditionalFormatting sqref="I58">
    <cfRule type="cellIs" dxfId="137" priority="13" stopIfTrue="1" operator="lessThan">
      <formula>-500</formula>
    </cfRule>
  </conditionalFormatting>
  <conditionalFormatting sqref="I58">
    <cfRule type="cellIs" dxfId="136" priority="12" stopIfTrue="1" operator="lessThan">
      <formula>-500</formula>
    </cfRule>
  </conditionalFormatting>
  <conditionalFormatting sqref="I19:I20">
    <cfRule type="cellIs" dxfId="135" priority="11" stopIfTrue="1" operator="lessThan">
      <formula>-500</formula>
    </cfRule>
  </conditionalFormatting>
  <conditionalFormatting sqref="I19:I20">
    <cfRule type="cellIs" dxfId="134" priority="10" stopIfTrue="1" operator="lessThan">
      <formula>-500</formula>
    </cfRule>
  </conditionalFormatting>
  <conditionalFormatting sqref="I25">
    <cfRule type="cellIs" dxfId="133" priority="9" stopIfTrue="1" operator="lessThan">
      <formula>-500</formula>
    </cfRule>
  </conditionalFormatting>
  <conditionalFormatting sqref="I25">
    <cfRule type="cellIs" dxfId="132" priority="8" stopIfTrue="1" operator="lessThan">
      <formula>-500</formula>
    </cfRule>
  </conditionalFormatting>
  <conditionalFormatting sqref="D46">
    <cfRule type="cellIs" dxfId="131" priority="6" stopIfTrue="1" operator="lessThan">
      <formula>-500</formula>
    </cfRule>
  </conditionalFormatting>
  <conditionalFormatting sqref="I46">
    <cfRule type="cellIs" dxfId="130" priority="5" stopIfTrue="1" operator="lessThan">
      <formula>-500</formula>
    </cfRule>
  </conditionalFormatting>
  <conditionalFormatting sqref="I30">
    <cfRule type="cellIs" dxfId="129" priority="4" stopIfTrue="1" operator="lessThan">
      <formula>-500</formula>
    </cfRule>
  </conditionalFormatting>
  <conditionalFormatting sqref="I30">
    <cfRule type="cellIs" dxfId="128" priority="3" stopIfTrue="1" operator="lessThan">
      <formula>-500</formula>
    </cfRule>
  </conditionalFormatting>
  <conditionalFormatting sqref="I32">
    <cfRule type="cellIs" dxfId="127" priority="2" stopIfTrue="1" operator="lessThan">
      <formula>-500</formula>
    </cfRule>
  </conditionalFormatting>
  <conditionalFormatting sqref="I32">
    <cfRule type="cellIs" dxfId="126" priority="1" stopIfTrue="1" operator="lessThan">
      <formula>-500</formula>
    </cfRule>
  </conditionalFormatting>
  <dataValidations count="4">
    <dataValidation type="decimal" operator="lessThan" allowBlank="1" showInputMessage="1" showErrorMessage="1" error="beloppet ska vara 1000tal kr" sqref="I68" xr:uid="{00000000-0002-0000-0300-000000000000}">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4:D57 D40:D43 D17:D25 D27:D30 D13:D15 D8:D11 I54 I69:I75 I57:I58 D32:D34 D59:D70 D72:D74 D48:D52 I24:I25 D45:D46 I27:I30 I32 I40:I51" xr:uid="{00000000-0002-0000-0300-000002000000}">
      <formula1>99999999</formula1>
    </dataValidation>
    <dataValidation type="decimal" operator="lessThanOrEqual" allowBlank="1" showInputMessage="1" showErrorMessage="1" error="Beloppet ska redovisas med minustecken" sqref="D47"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49:G50 A76 F73 G74 F57:F58"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sqref="A1:F1"/>
      <selection pane="bottomLeft" sqref="A1:F1"/>
    </sheetView>
  </sheetViews>
  <sheetFormatPr defaultColWidth="9.28515625" defaultRowHeight="0" customHeight="1" zeroHeight="1"/>
  <cols>
    <col min="1" max="1" width="4" style="168" customWidth="1"/>
    <col min="2" max="2" width="9.28515625" style="168" customWidth="1"/>
    <col min="3" max="3" width="30.7109375" style="168" customWidth="1"/>
    <col min="4" max="4" width="10.5703125" style="168" customWidth="1"/>
    <col min="5" max="5" width="22" style="168" customWidth="1"/>
    <col min="6" max="6" width="5" style="168" customWidth="1"/>
    <col min="7" max="7" width="27.5703125" style="168" customWidth="1"/>
    <col min="8" max="8" width="4" style="168" customWidth="1"/>
    <col min="9" max="9" width="8.42578125" style="168" customWidth="1"/>
    <col min="10" max="10" width="31.42578125" style="168" customWidth="1"/>
    <col min="11" max="12" width="10.5703125" style="168" customWidth="1"/>
    <col min="13" max="13" width="13.42578125" style="168" customWidth="1"/>
    <col min="14" max="14" width="4.42578125" style="168" customWidth="1"/>
    <col min="15" max="15" width="3.5703125" style="168" customWidth="1"/>
    <col min="16" max="16" width="19.5703125" style="168" customWidth="1"/>
    <col min="17" max="17" width="7" style="168" customWidth="1"/>
    <col min="18" max="18" width="3.5703125" style="168" customWidth="1"/>
    <col min="19" max="19" width="1.5703125" style="168" customWidth="1"/>
    <col min="20" max="20" width="21.5703125" style="168" customWidth="1"/>
    <col min="21" max="16383" width="0" style="168" hidden="1" customWidth="1"/>
    <col min="16384" max="16384" width="4.42578125" style="168" hidden="1" customWidth="1"/>
  </cols>
  <sheetData>
    <row r="1" spans="1:20" ht="18">
      <c r="A1" s="1466" t="str">
        <f>"Skatteintäkter, utjämningssystem o. generella statliga bidrag samt finansiella poster "&amp;År&amp;", miljoner kr"</f>
        <v>Skatteintäkter, utjämningssystem o. generella statliga bidrag samt finansiella poster 2022, miljoner kr</v>
      </c>
      <c r="B1" s="513"/>
      <c r="C1" s="513"/>
      <c r="D1" s="513"/>
      <c r="E1" s="513"/>
      <c r="F1" s="513"/>
      <c r="G1" s="513"/>
      <c r="H1" s="513"/>
      <c r="I1" s="513"/>
      <c r="J1" s="513"/>
      <c r="K1" s="513"/>
      <c r="L1" s="513"/>
      <c r="M1" s="513"/>
      <c r="N1" s="515" t="s">
        <v>453</v>
      </c>
      <c r="O1" s="515"/>
      <c r="P1" s="515"/>
      <c r="Q1" s="515"/>
      <c r="R1" s="515"/>
      <c r="S1" s="515"/>
      <c r="T1" s="516" t="str">
        <f>Information!A2</f>
        <v>RIKSTOTAL</v>
      </c>
    </row>
    <row r="2" spans="1:20" ht="12.75" customHeight="1">
      <c r="A2" s="2196"/>
      <c r="B2" s="2196"/>
      <c r="C2" s="2196"/>
      <c r="D2" s="2196"/>
      <c r="E2" s="2196"/>
      <c r="F2" s="2196"/>
      <c r="G2" s="2196"/>
      <c r="H2" s="2196"/>
      <c r="I2" s="2196"/>
      <c r="J2" s="2196"/>
      <c r="K2" s="2196"/>
      <c r="L2" s="2196"/>
      <c r="M2" s="2196"/>
      <c r="N2" s="2196"/>
      <c r="O2" s="2196"/>
      <c r="P2" s="2196"/>
      <c r="Q2" s="2196"/>
      <c r="R2" s="2196"/>
      <c r="S2" s="2196"/>
      <c r="T2" s="2196"/>
    </row>
    <row r="3" spans="1:20" ht="12.75" customHeight="1">
      <c r="A3" s="2196"/>
      <c r="B3" s="2196"/>
      <c r="C3" s="2196"/>
      <c r="D3" s="2196"/>
      <c r="E3" s="2196"/>
      <c r="F3" s="2196"/>
      <c r="G3" s="2196"/>
      <c r="H3" s="2196"/>
      <c r="I3" s="2196"/>
      <c r="J3" s="2196"/>
      <c r="K3" s="2196"/>
      <c r="L3" s="2196"/>
      <c r="M3" s="2196"/>
      <c r="N3" s="2196"/>
      <c r="O3" s="2196"/>
      <c r="P3" s="2196"/>
      <c r="Q3" s="2196"/>
      <c r="R3" s="2196"/>
      <c r="S3" s="2196"/>
      <c r="T3" s="2196"/>
    </row>
    <row r="4" spans="1:20" ht="17.25" customHeight="1" thickBot="1">
      <c r="A4" s="73" t="s">
        <v>620</v>
      </c>
      <c r="B4" s="4"/>
      <c r="C4" s="4"/>
      <c r="D4" s="35"/>
      <c r="G4" s="4"/>
      <c r="H4" s="73" t="s">
        <v>621</v>
      </c>
      <c r="I4" s="169"/>
      <c r="J4" s="169"/>
      <c r="K4" s="169"/>
      <c r="L4" s="169"/>
      <c r="M4" s="4"/>
      <c r="N4" s="4"/>
      <c r="O4" s="4"/>
      <c r="P4" s="4"/>
      <c r="Q4" s="4"/>
      <c r="R4" s="4"/>
      <c r="S4" s="170"/>
      <c r="T4" s="4"/>
    </row>
    <row r="5" spans="1:20" s="180" customFormat="1" ht="12.75">
      <c r="A5" s="596" t="s">
        <v>615</v>
      </c>
      <c r="B5" s="2156" t="s">
        <v>1138</v>
      </c>
      <c r="C5" s="791"/>
      <c r="D5" s="797"/>
      <c r="E5" s="179"/>
      <c r="F5" s="179"/>
      <c r="G5" s="179"/>
      <c r="H5" s="596" t="s">
        <v>615</v>
      </c>
      <c r="I5" s="2156" t="s">
        <v>1138</v>
      </c>
      <c r="J5" s="791"/>
      <c r="K5" s="607" t="s">
        <v>617</v>
      </c>
      <c r="L5" s="1886" t="s">
        <v>720</v>
      </c>
      <c r="M5" s="1328"/>
      <c r="N5" s="214" t="s">
        <v>914</v>
      </c>
      <c r="O5" s="179"/>
      <c r="P5" s="179"/>
      <c r="Q5" s="179"/>
      <c r="S5" s="424"/>
      <c r="T5" s="179"/>
    </row>
    <row r="6" spans="1:20" s="180" customFormat="1" ht="12.75">
      <c r="A6" s="598" t="s">
        <v>618</v>
      </c>
      <c r="B6" s="778"/>
      <c r="C6" s="792"/>
      <c r="D6" s="796"/>
      <c r="E6" s="179"/>
      <c r="F6" s="179"/>
      <c r="G6" s="179"/>
      <c r="H6" s="598" t="s">
        <v>618</v>
      </c>
      <c r="I6" s="609"/>
      <c r="J6" s="792"/>
      <c r="K6" s="609" t="s">
        <v>1220</v>
      </c>
      <c r="L6" s="1017" t="s">
        <v>1220</v>
      </c>
      <c r="M6" s="1329"/>
      <c r="N6" s="179"/>
      <c r="O6" s="179"/>
      <c r="P6" s="179"/>
      <c r="Q6" s="179"/>
      <c r="S6" s="88"/>
      <c r="T6" s="179"/>
    </row>
    <row r="7" spans="1:20" ht="15">
      <c r="A7" s="2168"/>
      <c r="B7" s="2169"/>
      <c r="C7" s="793"/>
      <c r="D7" s="798"/>
      <c r="E7" s="4"/>
      <c r="F7" s="4"/>
      <c r="G7" s="4"/>
      <c r="H7" s="799"/>
      <c r="I7" s="591"/>
      <c r="J7" s="591"/>
      <c r="K7" s="591"/>
      <c r="L7" s="800"/>
      <c r="M7" s="1330"/>
      <c r="N7" s="4"/>
      <c r="O7" s="4"/>
      <c r="P7" s="4"/>
      <c r="Q7" s="4"/>
      <c r="S7" s="18"/>
      <c r="T7" s="4"/>
    </row>
    <row r="8" spans="1:20" ht="12.75">
      <c r="A8" s="767">
        <v>600</v>
      </c>
      <c r="B8" s="561">
        <v>801</v>
      </c>
      <c r="C8" s="562" t="s">
        <v>694</v>
      </c>
      <c r="D8" s="357">
        <v>531521</v>
      </c>
      <c r="E8" s="4"/>
      <c r="F8" s="4"/>
      <c r="G8" s="4"/>
      <c r="H8" s="764">
        <v>800</v>
      </c>
      <c r="I8" s="561">
        <v>841</v>
      </c>
      <c r="J8" s="562" t="s">
        <v>707</v>
      </c>
      <c r="K8" s="1674">
        <v>4426.1589999999997</v>
      </c>
      <c r="L8" s="1675">
        <v>1877.1780000000001</v>
      </c>
      <c r="M8" s="1935"/>
      <c r="N8" s="575">
        <v>801</v>
      </c>
      <c r="O8" s="1676">
        <v>8411</v>
      </c>
      <c r="P8" s="1566" t="s">
        <v>1204</v>
      </c>
      <c r="Q8" s="1567">
        <v>3626.85</v>
      </c>
      <c r="R8" s="1648" t="str">
        <f>IF(Q8&gt;K8,"däravrad 801&gt;rad 800",IF(AND(K8&gt;1,Q8=""),"skriv belopp eller 0",""))</f>
        <v/>
      </c>
      <c r="S8" s="1326"/>
      <c r="T8" s="4"/>
    </row>
    <row r="9" spans="1:20" ht="12.75">
      <c r="A9" s="767">
        <v>620</v>
      </c>
      <c r="B9" s="663">
        <v>8052</v>
      </c>
      <c r="C9" s="555" t="str">
        <f>"Slutavräkning, prognos för "&amp;År&amp;""</f>
        <v>Slutavräkning, prognos för 2022</v>
      </c>
      <c r="D9" s="357">
        <v>12270</v>
      </c>
      <c r="E9" s="4"/>
      <c r="F9" s="4"/>
      <c r="G9" s="4"/>
      <c r="H9" s="767">
        <v>810</v>
      </c>
      <c r="I9" s="794">
        <v>844</v>
      </c>
      <c r="J9" s="795" t="s">
        <v>708</v>
      </c>
      <c r="K9" s="23">
        <v>5069.8019999999997</v>
      </c>
      <c r="L9" s="100">
        <v>2168.0439999999999</v>
      </c>
      <c r="M9" s="1935"/>
      <c r="N9" s="4"/>
      <c r="O9" s="4"/>
      <c r="P9" s="4"/>
      <c r="Q9" s="4"/>
      <c r="S9" s="1326"/>
      <c r="T9" s="4"/>
    </row>
    <row r="10" spans="1:20" ht="12.75">
      <c r="A10" s="767">
        <v>625</v>
      </c>
      <c r="B10" s="663">
        <v>8051</v>
      </c>
      <c r="C10" s="555" t="str">
        <f>"Justering slutavräkning "&amp;År-1&amp;""</f>
        <v>Justering slutavräkning 2021</v>
      </c>
      <c r="D10" s="357">
        <v>3327</v>
      </c>
      <c r="E10" s="4"/>
      <c r="F10" s="4"/>
      <c r="G10" s="4"/>
      <c r="H10" s="767">
        <v>880</v>
      </c>
      <c r="I10" s="561">
        <v>845</v>
      </c>
      <c r="J10" s="562" t="s">
        <v>709</v>
      </c>
      <c r="K10" s="23">
        <v>75.686000000000007</v>
      </c>
      <c r="L10" s="909"/>
      <c r="M10" s="1935"/>
      <c r="N10" s="4"/>
      <c r="O10" s="4"/>
      <c r="P10" s="4"/>
      <c r="Q10" s="4"/>
      <c r="S10" s="1326"/>
      <c r="T10" s="4"/>
    </row>
    <row r="11" spans="1:20" ht="12.75">
      <c r="A11" s="767">
        <v>630</v>
      </c>
      <c r="B11" s="663"/>
      <c r="C11" s="555" t="str">
        <f>"Justeringspost slutavräkning "&amp;År&amp;""</f>
        <v>Justeringspost slutavräkning 2022</v>
      </c>
      <c r="D11" s="222">
        <v>-8.1999999999999993</v>
      </c>
      <c r="E11" s="177"/>
      <c r="F11" s="4"/>
      <c r="G11" s="4"/>
      <c r="H11" s="767">
        <v>885</v>
      </c>
      <c r="I11" s="561">
        <v>8481</v>
      </c>
      <c r="J11" s="562" t="s">
        <v>475</v>
      </c>
      <c r="K11" s="23">
        <v>5.0330000000000004</v>
      </c>
      <c r="L11" s="909"/>
      <c r="M11" s="1935"/>
      <c r="N11" s="4"/>
      <c r="O11" s="4"/>
      <c r="P11" s="4"/>
      <c r="Q11" s="4"/>
      <c r="S11" s="1326"/>
      <c r="T11" s="4"/>
    </row>
    <row r="12" spans="1:20" ht="12.75">
      <c r="A12" s="767">
        <v>640</v>
      </c>
      <c r="B12" s="557" t="s">
        <v>929</v>
      </c>
      <c r="C12" s="550" t="s">
        <v>1205</v>
      </c>
      <c r="D12" s="222">
        <v>7.1829999999999998</v>
      </c>
      <c r="E12" s="1351"/>
      <c r="F12" s="4"/>
      <c r="G12" s="4"/>
      <c r="H12" s="767">
        <v>886</v>
      </c>
      <c r="I12" s="561">
        <v>8482</v>
      </c>
      <c r="J12" s="562" t="s">
        <v>721</v>
      </c>
      <c r="K12" s="23">
        <v>5.1859999999999999</v>
      </c>
      <c r="L12" s="909"/>
      <c r="M12" s="1935"/>
      <c r="N12" s="1301"/>
      <c r="O12" s="1301"/>
      <c r="P12" s="145"/>
      <c r="Q12" s="1661"/>
      <c r="S12" s="1326"/>
      <c r="T12" s="4"/>
    </row>
    <row r="13" spans="1:20" ht="13.5" thickBot="1">
      <c r="A13" s="768">
        <v>680</v>
      </c>
      <c r="B13" s="1324"/>
      <c r="C13" s="1325" t="s">
        <v>920</v>
      </c>
      <c r="D13" s="354">
        <v>218</v>
      </c>
      <c r="E13" s="35"/>
      <c r="F13" s="4"/>
      <c r="G13" s="4"/>
      <c r="H13" s="767">
        <v>884</v>
      </c>
      <c r="I13" s="557">
        <v>843</v>
      </c>
      <c r="J13" s="550" t="s">
        <v>1119</v>
      </c>
      <c r="K13" s="23">
        <v>413.55599999999998</v>
      </c>
      <c r="L13" s="100">
        <v>1095.203</v>
      </c>
      <c r="M13" s="1935"/>
      <c r="N13" s="1301"/>
      <c r="O13" s="1301"/>
      <c r="P13" s="145"/>
      <c r="Q13" s="1661"/>
      <c r="S13" s="1326"/>
      <c r="T13" s="4"/>
    </row>
    <row r="14" spans="1:20" ht="21.75" customHeight="1" thickBot="1">
      <c r="A14" s="558">
        <v>690</v>
      </c>
      <c r="B14" s="563"/>
      <c r="C14" s="564" t="s">
        <v>620</v>
      </c>
      <c r="D14" s="354">
        <f>SUM(D8:D13)</f>
        <v>547334.98300000001</v>
      </c>
      <c r="E14" s="4"/>
      <c r="F14" s="4"/>
      <c r="G14" s="4"/>
      <c r="H14" s="547">
        <v>882</v>
      </c>
      <c r="I14" s="1388">
        <v>846</v>
      </c>
      <c r="J14" s="550" t="s">
        <v>1118</v>
      </c>
      <c r="K14" s="23">
        <v>1435.799</v>
      </c>
      <c r="L14" s="909"/>
      <c r="M14" s="1935"/>
      <c r="N14" s="1301"/>
      <c r="O14" s="1301"/>
      <c r="P14" s="145"/>
      <c r="Q14" s="1661"/>
      <c r="R14" s="1351"/>
      <c r="S14" s="1310"/>
      <c r="T14" s="4"/>
    </row>
    <row r="15" spans="1:20" ht="13.5" thickBot="1">
      <c r="A15" s="4"/>
      <c r="B15" s="4"/>
      <c r="C15" s="183"/>
      <c r="D15" s="4"/>
      <c r="E15" s="4"/>
      <c r="F15" s="4"/>
      <c r="G15" s="4"/>
      <c r="H15" s="558">
        <v>888</v>
      </c>
      <c r="I15" s="2024">
        <v>849</v>
      </c>
      <c r="J15" s="570" t="s">
        <v>1061</v>
      </c>
      <c r="K15" s="107">
        <v>1937.442</v>
      </c>
      <c r="L15" s="2010"/>
      <c r="M15" s="1935"/>
      <c r="N15" s="1486">
        <v>889</v>
      </c>
      <c r="O15" s="1486">
        <v>8491</v>
      </c>
      <c r="P15" s="1993" t="s">
        <v>1037</v>
      </c>
      <c r="Q15" s="1463">
        <v>1140.3520000000001</v>
      </c>
      <c r="R15" s="1351" t="str">
        <f>IF(SUM(Q15+Q16)&gt;K15,"däravrader 889+891&gt;rad888",IF(AND(K15&gt;1,Q15=""),"skriv belopp eller 0",""))</f>
        <v/>
      </c>
      <c r="S15" s="1301"/>
      <c r="T15" s="4"/>
    </row>
    <row r="16" spans="1:20" ht="16.5" thickBot="1">
      <c r="A16" s="73" t="s">
        <v>727</v>
      </c>
      <c r="B16" s="4"/>
      <c r="C16" s="4"/>
      <c r="D16" s="4"/>
      <c r="E16" s="4"/>
      <c r="F16" s="4"/>
      <c r="G16" s="4"/>
      <c r="H16" s="545">
        <v>890</v>
      </c>
      <c r="I16" s="559"/>
      <c r="J16" s="536" t="s">
        <v>7</v>
      </c>
      <c r="K16" s="1673">
        <f>RR!C14</f>
        <v>13368.663</v>
      </c>
      <c r="L16" s="1677"/>
      <c r="M16" s="1641"/>
      <c r="N16" s="1487">
        <v>891</v>
      </c>
      <c r="O16" s="1487"/>
      <c r="P16" s="1320" t="s">
        <v>892</v>
      </c>
      <c r="Q16" s="1464">
        <v>0.59199999999999997</v>
      </c>
      <c r="R16" s="1351" t="str">
        <f>IF(AND(K15&gt;1,Q16=""),"skriv belopp eller 0","")</f>
        <v/>
      </c>
      <c r="T16" s="4"/>
    </row>
    <row r="17" spans="1:20" ht="16.5" thickBot="1">
      <c r="A17" s="73" t="s">
        <v>728</v>
      </c>
      <c r="B17" s="4"/>
      <c r="C17" s="4"/>
      <c r="D17" s="35"/>
      <c r="E17" s="4"/>
      <c r="F17" s="4"/>
      <c r="G17" s="4"/>
      <c r="H17" s="8"/>
      <c r="I17" s="1331" t="s">
        <v>1019</v>
      </c>
      <c r="J17" s="125"/>
      <c r="K17" s="1331">
        <f>(K16-SUM(K8:K15))*-1</f>
        <v>-3.637978807091713E-12</v>
      </c>
      <c r="L17" s="1678"/>
      <c r="M17" s="1224"/>
      <c r="N17" s="4"/>
      <c r="O17" s="4"/>
      <c r="P17" s="4"/>
      <c r="Q17" s="4"/>
      <c r="R17" s="4"/>
      <c r="T17" s="4"/>
    </row>
    <row r="18" spans="1:20" ht="16.5" thickBot="1">
      <c r="A18" s="596" t="s">
        <v>615</v>
      </c>
      <c r="B18" s="2156" t="s">
        <v>1138</v>
      </c>
      <c r="C18" s="791"/>
      <c r="D18" s="797"/>
      <c r="E18" s="4"/>
      <c r="F18" s="4"/>
      <c r="G18" s="4"/>
      <c r="H18" s="73" t="s">
        <v>622</v>
      </c>
      <c r="I18" s="170"/>
      <c r="J18" s="170"/>
      <c r="K18" s="170"/>
      <c r="L18" s="170"/>
      <c r="N18" s="2502"/>
      <c r="O18" s="2502"/>
      <c r="P18" s="2502"/>
      <c r="Q18" s="2503"/>
      <c r="R18" s="4"/>
      <c r="T18" s="4"/>
    </row>
    <row r="19" spans="1:20" ht="12.75">
      <c r="A19" s="598" t="s">
        <v>618</v>
      </c>
      <c r="B19" s="778"/>
      <c r="C19" s="606"/>
      <c r="D19" s="801"/>
      <c r="E19" s="4"/>
      <c r="F19" s="4"/>
      <c r="G19" s="4"/>
      <c r="H19" s="596" t="s">
        <v>615</v>
      </c>
      <c r="I19" s="2156" t="s">
        <v>1138</v>
      </c>
      <c r="J19" s="791"/>
      <c r="K19" s="1681" t="s">
        <v>617</v>
      </c>
      <c r="L19" s="1884" t="s">
        <v>720</v>
      </c>
      <c r="M19" s="1301"/>
      <c r="N19" s="2504"/>
      <c r="O19" s="2504"/>
      <c r="P19" s="2504"/>
      <c r="Q19" s="2503"/>
      <c r="S19" s="424"/>
      <c r="T19" s="4"/>
    </row>
    <row r="20" spans="1:20" s="180" customFormat="1" ht="15">
      <c r="A20" s="821"/>
      <c r="B20" s="780"/>
      <c r="C20" s="591"/>
      <c r="D20" s="802"/>
      <c r="E20" s="179"/>
      <c r="F20" s="179"/>
      <c r="G20" s="179"/>
      <c r="H20" s="598" t="s">
        <v>618</v>
      </c>
      <c r="I20" s="803"/>
      <c r="J20" s="792"/>
      <c r="K20" s="1682" t="s">
        <v>1220</v>
      </c>
      <c r="L20" s="1885" t="s">
        <v>1220</v>
      </c>
      <c r="M20" s="88"/>
      <c r="Q20" s="203"/>
      <c r="S20" s="88"/>
      <c r="T20" s="179"/>
    </row>
    <row r="21" spans="1:20" s="180" customFormat="1" ht="14.25" customHeight="1">
      <c r="A21" s="547">
        <v>711</v>
      </c>
      <c r="B21" s="663">
        <v>821</v>
      </c>
      <c r="C21" s="555" t="s">
        <v>700</v>
      </c>
      <c r="D21" s="357">
        <v>88393</v>
      </c>
      <c r="E21" s="179"/>
      <c r="F21" s="1954"/>
      <c r="G21" s="1955"/>
      <c r="H21" s="804"/>
      <c r="I21" s="805"/>
      <c r="J21" s="793"/>
      <c r="K21" s="1679"/>
      <c r="L21" s="806"/>
      <c r="M21" s="18"/>
      <c r="N21" s="183"/>
      <c r="O21" s="183"/>
      <c r="P21" s="183"/>
      <c r="Q21" s="170"/>
      <c r="S21" s="18"/>
      <c r="T21" s="179"/>
    </row>
    <row r="22" spans="1:20" ht="14.25" customHeight="1">
      <c r="A22" s="547">
        <v>713</v>
      </c>
      <c r="B22" s="663">
        <v>822</v>
      </c>
      <c r="C22" s="555" t="s">
        <v>701</v>
      </c>
      <c r="D22" s="357">
        <v>1135</v>
      </c>
      <c r="E22" s="4"/>
      <c r="F22" s="1956"/>
      <c r="G22" s="1955"/>
      <c r="H22" s="547">
        <v>900</v>
      </c>
      <c r="I22" s="561">
        <v>852</v>
      </c>
      <c r="J22" s="550" t="s">
        <v>759</v>
      </c>
      <c r="K22" s="448">
        <v>5207.7920000000004</v>
      </c>
      <c r="L22" s="99">
        <v>8367.5130000000008</v>
      </c>
      <c r="M22" s="1935"/>
      <c r="N22" s="1301"/>
      <c r="O22" s="145"/>
      <c r="P22" s="254"/>
      <c r="Q22" s="125"/>
      <c r="S22" s="1326"/>
      <c r="T22" s="4"/>
    </row>
    <row r="23" spans="1:20" ht="14.25" customHeight="1">
      <c r="A23" s="547">
        <v>715</v>
      </c>
      <c r="B23" s="663">
        <v>823</v>
      </c>
      <c r="C23" s="555" t="s">
        <v>702</v>
      </c>
      <c r="D23" s="357">
        <v>243</v>
      </c>
      <c r="E23" s="197"/>
      <c r="F23" s="1956"/>
      <c r="G23" s="1955"/>
      <c r="H23" s="547">
        <v>910</v>
      </c>
      <c r="I23" s="557">
        <v>853</v>
      </c>
      <c r="J23" s="550" t="s">
        <v>1202</v>
      </c>
      <c r="K23" s="448">
        <v>1252.873</v>
      </c>
      <c r="L23" s="100">
        <v>1380.319</v>
      </c>
      <c r="M23" s="1935"/>
      <c r="N23" s="4"/>
      <c r="O23" s="4"/>
      <c r="P23" s="4"/>
      <c r="Q23" s="170"/>
      <c r="S23" s="1310"/>
      <c r="T23" s="4"/>
    </row>
    <row r="24" spans="1:20" ht="14.25" customHeight="1">
      <c r="A24" s="547">
        <v>717</v>
      </c>
      <c r="B24" s="663">
        <v>824</v>
      </c>
      <c r="C24" s="555" t="s">
        <v>703</v>
      </c>
      <c r="D24" s="357">
        <v>28825</v>
      </c>
      <c r="E24" s="197"/>
      <c r="F24" s="1956"/>
      <c r="G24" s="1955"/>
      <c r="H24" s="547">
        <v>920</v>
      </c>
      <c r="I24" s="794" t="s">
        <v>710</v>
      </c>
      <c r="J24" s="555" t="s">
        <v>1063</v>
      </c>
      <c r="K24" s="448">
        <v>188.304</v>
      </c>
      <c r="L24" s="909"/>
      <c r="M24" s="1935"/>
      <c r="N24" s="4"/>
      <c r="O24" s="4"/>
      <c r="P24" s="4"/>
      <c r="Q24" s="170"/>
      <c r="S24" s="1326"/>
      <c r="T24" s="4"/>
    </row>
    <row r="25" spans="1:20" ht="21" customHeight="1">
      <c r="A25" s="547">
        <v>719</v>
      </c>
      <c r="B25" s="663">
        <v>825</v>
      </c>
      <c r="C25" s="555" t="s">
        <v>704</v>
      </c>
      <c r="D25" s="357">
        <v>9903</v>
      </c>
      <c r="E25" s="197"/>
      <c r="F25" s="2505" t="s">
        <v>1117</v>
      </c>
      <c r="G25" s="2506"/>
      <c r="H25" s="547">
        <v>985</v>
      </c>
      <c r="I25" s="557">
        <v>8581</v>
      </c>
      <c r="J25" s="550" t="s">
        <v>729</v>
      </c>
      <c r="K25" s="448">
        <v>13.497999999999999</v>
      </c>
      <c r="L25" s="909"/>
      <c r="M25" s="1935"/>
      <c r="N25" s="1301"/>
      <c r="O25" s="1301"/>
      <c r="P25" s="145"/>
      <c r="Q25" s="249"/>
      <c r="S25" s="1310"/>
      <c r="T25" s="4"/>
    </row>
    <row r="26" spans="1:20" ht="22.5" customHeight="1">
      <c r="A26" s="547">
        <v>785</v>
      </c>
      <c r="B26" s="663">
        <v>826</v>
      </c>
      <c r="C26" s="555" t="s">
        <v>705</v>
      </c>
      <c r="D26" s="357">
        <v>4893</v>
      </c>
      <c r="E26" s="1949"/>
      <c r="F26" s="2507"/>
      <c r="G26" s="2506"/>
      <c r="H26" s="547">
        <v>996</v>
      </c>
      <c r="I26" s="557">
        <v>8582</v>
      </c>
      <c r="J26" s="550" t="s">
        <v>730</v>
      </c>
      <c r="K26" s="448">
        <v>173.25700000000001</v>
      </c>
      <c r="L26" s="909"/>
      <c r="M26" s="1935"/>
      <c r="N26" s="1301"/>
      <c r="O26" s="1301"/>
      <c r="P26" s="145"/>
      <c r="Q26" s="249"/>
      <c r="S26" s="1310"/>
      <c r="T26" s="170"/>
    </row>
    <row r="27" spans="1:20" ht="15.75" customHeight="1">
      <c r="A27" s="547">
        <v>740</v>
      </c>
      <c r="B27" s="557">
        <v>829</v>
      </c>
      <c r="C27" s="555" t="s">
        <v>784</v>
      </c>
      <c r="D27" s="222">
        <v>3919.5659999999998</v>
      </c>
      <c r="E27" s="1962"/>
      <c r="F27" s="2508"/>
      <c r="G27" s="2506"/>
      <c r="H27" s="547">
        <v>984</v>
      </c>
      <c r="I27" s="557">
        <v>851</v>
      </c>
      <c r="J27" s="550" t="s">
        <v>1203</v>
      </c>
      <c r="K27" s="448">
        <v>613.80799999999999</v>
      </c>
      <c r="L27" s="100">
        <v>727.52200000000005</v>
      </c>
      <c r="M27" s="1935"/>
      <c r="N27" s="1301"/>
      <c r="O27" s="1301"/>
      <c r="P27" s="145"/>
      <c r="Q27" s="249"/>
      <c r="S27" s="1310"/>
      <c r="T27" s="170"/>
    </row>
    <row r="28" spans="1:20" ht="20.25" customHeight="1" thickBot="1">
      <c r="A28" s="558">
        <v>750</v>
      </c>
      <c r="B28" s="559">
        <v>82</v>
      </c>
      <c r="C28" s="1321" t="s">
        <v>706</v>
      </c>
      <c r="D28" s="354">
        <f>SUM(D21:D27)</f>
        <v>137311.56599999999</v>
      </c>
      <c r="E28" s="1934"/>
      <c r="F28" s="2089"/>
      <c r="G28" s="2090"/>
      <c r="H28" s="2121">
        <v>992</v>
      </c>
      <c r="I28" s="1975">
        <v>856</v>
      </c>
      <c r="J28" s="550" t="s">
        <v>1064</v>
      </c>
      <c r="K28" s="448">
        <v>7170.3519999999999</v>
      </c>
      <c r="L28" s="909"/>
      <c r="M28" s="1935"/>
      <c r="N28" s="1301"/>
      <c r="O28" s="1301"/>
      <c r="P28" s="145"/>
      <c r="Q28" s="249"/>
      <c r="S28" s="1327"/>
      <c r="T28" s="170"/>
    </row>
    <row r="29" spans="1:20" ht="18" customHeight="1" thickBot="1">
      <c r="A29" s="4"/>
      <c r="B29" s="4"/>
      <c r="C29" s="4"/>
      <c r="D29" s="4"/>
      <c r="E29" s="1963"/>
      <c r="F29" s="2089"/>
      <c r="G29" s="2090"/>
      <c r="H29" s="1394">
        <v>998</v>
      </c>
      <c r="I29" s="1324">
        <v>859</v>
      </c>
      <c r="J29" s="1325" t="s">
        <v>1062</v>
      </c>
      <c r="K29" s="1680">
        <v>1668.002</v>
      </c>
      <c r="L29" s="2061"/>
      <c r="M29" s="1935"/>
      <c r="N29" s="170"/>
      <c r="O29" s="170"/>
      <c r="P29" s="170"/>
      <c r="Q29" s="170"/>
      <c r="S29" s="1301"/>
      <c r="T29" s="170"/>
    </row>
    <row r="30" spans="1:20" ht="19.5" customHeight="1" thickBot="1">
      <c r="A30" s="4"/>
      <c r="B30" s="4"/>
      <c r="C30" s="4"/>
      <c r="D30" s="4"/>
      <c r="E30" s="1964"/>
      <c r="F30" s="2196"/>
      <c r="G30" s="2196"/>
      <c r="H30" s="558">
        <v>990</v>
      </c>
      <c r="I30" s="563"/>
      <c r="J30" s="564" t="s">
        <v>8</v>
      </c>
      <c r="K30" s="1453">
        <f>RR!C15</f>
        <v>16287.886</v>
      </c>
      <c r="L30" s="19"/>
      <c r="N30" s="4"/>
      <c r="O30" s="4"/>
      <c r="P30" s="4"/>
      <c r="Q30" s="4"/>
      <c r="R30" s="170"/>
      <c r="T30" s="170"/>
    </row>
    <row r="31" spans="1:20" ht="16.5" customHeight="1" thickBot="1">
      <c r="A31" s="73" t="s">
        <v>908</v>
      </c>
      <c r="B31" s="4"/>
      <c r="C31" s="4"/>
      <c r="D31" s="35"/>
      <c r="E31" s="197"/>
      <c r="F31" s="2196"/>
      <c r="G31" s="2196"/>
      <c r="H31" s="4"/>
      <c r="I31" s="1332" t="s">
        <v>803</v>
      </c>
      <c r="J31" s="177"/>
      <c r="K31" s="1657">
        <f>(K30-SUM(K22:K29))*-1</f>
        <v>0</v>
      </c>
      <c r="L31" s="1242"/>
      <c r="M31" s="1242"/>
      <c r="N31" s="4"/>
      <c r="O31" s="4"/>
      <c r="P31" s="4"/>
      <c r="Q31" s="4"/>
      <c r="R31" s="4"/>
      <c r="T31" s="4"/>
    </row>
    <row r="32" spans="1:20" ht="12.75">
      <c r="A32" s="596" t="s">
        <v>615</v>
      </c>
      <c r="B32" s="2156" t="s">
        <v>1138</v>
      </c>
      <c r="C32" s="791"/>
      <c r="D32" s="797"/>
      <c r="E32" s="197"/>
      <c r="F32" s="2196"/>
      <c r="G32" s="2196"/>
      <c r="H32" s="4"/>
      <c r="I32" s="4"/>
      <c r="J32" s="4"/>
      <c r="K32" s="4"/>
      <c r="L32" s="4"/>
      <c r="M32" s="4"/>
      <c r="N32" s="4"/>
      <c r="O32" s="4"/>
      <c r="P32" s="4"/>
      <c r="Q32" s="4"/>
      <c r="R32" s="4"/>
      <c r="S32" s="4"/>
      <c r="T32" s="4"/>
    </row>
    <row r="33" spans="1:20" ht="12.75">
      <c r="A33" s="598" t="s">
        <v>618</v>
      </c>
      <c r="B33" s="778"/>
      <c r="C33" s="606"/>
      <c r="D33" s="801"/>
      <c r="E33" s="4"/>
      <c r="F33" s="2196"/>
      <c r="G33" s="2196"/>
      <c r="H33" s="4"/>
      <c r="I33" s="4"/>
      <c r="J33" s="4"/>
      <c r="K33" s="4"/>
      <c r="L33" s="4"/>
      <c r="M33" s="4"/>
      <c r="N33" s="4"/>
      <c r="O33" s="4"/>
      <c r="P33" s="4"/>
      <c r="Q33" s="4"/>
      <c r="R33" s="4"/>
      <c r="S33" s="4"/>
      <c r="T33" s="4"/>
    </row>
    <row r="34" spans="1:20" ht="15">
      <c r="A34" s="821"/>
      <c r="B34" s="780"/>
      <c r="C34" s="591"/>
      <c r="D34" s="802"/>
      <c r="E34" s="4"/>
      <c r="F34" s="2196"/>
      <c r="G34" s="2196"/>
      <c r="H34" s="2196"/>
      <c r="I34" s="2196"/>
      <c r="J34" s="2196"/>
      <c r="K34" s="2196"/>
      <c r="L34" s="4"/>
      <c r="M34" s="4"/>
      <c r="R34" s="4"/>
      <c r="S34" s="4"/>
      <c r="T34" s="4"/>
    </row>
    <row r="35" spans="1:20" ht="12.75">
      <c r="A35" s="767">
        <v>760</v>
      </c>
      <c r="B35" s="561">
        <v>831</v>
      </c>
      <c r="C35" s="562" t="s">
        <v>695</v>
      </c>
      <c r="D35" s="357">
        <v>10791</v>
      </c>
      <c r="E35" s="4"/>
      <c r="F35" s="4"/>
      <c r="G35" s="4"/>
      <c r="H35" s="2196"/>
      <c r="I35" s="2196"/>
      <c r="J35" s="2196"/>
      <c r="K35" s="2196"/>
      <c r="L35" s="2009"/>
    </row>
    <row r="36" spans="1:20" ht="12.75">
      <c r="A36" s="767">
        <v>770</v>
      </c>
      <c r="B36" s="561">
        <v>834</v>
      </c>
      <c r="C36" s="562" t="s">
        <v>696</v>
      </c>
      <c r="D36" s="357">
        <v>0</v>
      </c>
      <c r="E36" s="4"/>
      <c r="F36" s="4"/>
      <c r="G36" s="4"/>
      <c r="H36" s="2196"/>
      <c r="I36" s="2196"/>
      <c r="J36" s="2196"/>
      <c r="K36" s="2196"/>
      <c r="L36" s="2009"/>
      <c r="N36" s="4"/>
      <c r="O36" s="4"/>
      <c r="P36" s="4"/>
      <c r="Q36" s="4"/>
    </row>
    <row r="37" spans="1:20" ht="12.75">
      <c r="A37" s="767">
        <v>780</v>
      </c>
      <c r="B37" s="561">
        <v>835</v>
      </c>
      <c r="C37" s="562" t="s">
        <v>697</v>
      </c>
      <c r="D37" s="358">
        <v>9931</v>
      </c>
      <c r="E37" s="4"/>
      <c r="F37" s="4"/>
      <c r="G37" s="4"/>
      <c r="H37" s="2196"/>
      <c r="I37" s="2196"/>
      <c r="J37" s="2196"/>
      <c r="K37" s="2196"/>
      <c r="L37" s="2009"/>
      <c r="M37" s="4"/>
      <c r="N37" s="4"/>
      <c r="O37" s="4"/>
      <c r="P37" s="4"/>
      <c r="Q37" s="4"/>
      <c r="R37" s="4"/>
      <c r="S37" s="4"/>
      <c r="T37" s="4"/>
    </row>
    <row r="38" spans="1:20" ht="12.75">
      <c r="A38" s="767">
        <v>786</v>
      </c>
      <c r="B38" s="561">
        <v>836</v>
      </c>
      <c r="C38" s="562" t="s">
        <v>698</v>
      </c>
      <c r="D38" s="358">
        <v>4893</v>
      </c>
      <c r="E38" s="4"/>
      <c r="F38" s="4"/>
      <c r="G38" s="4"/>
      <c r="H38" s="2196"/>
      <c r="I38" s="2196"/>
      <c r="J38" s="2196"/>
      <c r="K38" s="2196"/>
      <c r="L38" s="2009"/>
      <c r="M38" s="4"/>
      <c r="N38" s="4"/>
      <c r="O38" s="4"/>
      <c r="P38" s="4"/>
      <c r="Q38" s="4"/>
      <c r="R38" s="4"/>
      <c r="S38" s="4"/>
      <c r="T38" s="4"/>
    </row>
    <row r="39" spans="1:20" ht="13.5" thickBot="1">
      <c r="A39" s="768">
        <v>790</v>
      </c>
      <c r="B39" s="807"/>
      <c r="C39" s="1322" t="s">
        <v>699</v>
      </c>
      <c r="D39" s="355">
        <f>SUM(D35:D38)</f>
        <v>25615</v>
      </c>
      <c r="E39" s="35"/>
      <c r="F39" s="4"/>
      <c r="G39" s="4"/>
      <c r="H39" s="4"/>
      <c r="I39" s="4"/>
      <c r="J39" s="4"/>
      <c r="K39" s="4"/>
      <c r="L39" s="4"/>
      <c r="M39" s="4"/>
      <c r="N39" s="4"/>
      <c r="O39" s="4"/>
      <c r="P39" s="4"/>
      <c r="Q39" s="4"/>
      <c r="R39" s="4"/>
      <c r="S39" s="4"/>
      <c r="T39" s="4"/>
    </row>
    <row r="40" spans="1:20" ht="13.5" thickBot="1">
      <c r="A40" s="228"/>
      <c r="B40" s="17"/>
      <c r="C40" s="18"/>
      <c r="D40" s="19"/>
      <c r="E40" s="35"/>
      <c r="F40" s="4"/>
      <c r="G40" s="4"/>
      <c r="H40" s="4"/>
      <c r="I40" s="4"/>
      <c r="J40" s="4"/>
      <c r="K40" s="4"/>
      <c r="L40" s="4"/>
      <c r="M40" s="4"/>
      <c r="N40" s="4"/>
      <c r="O40" s="4"/>
      <c r="P40" s="4"/>
      <c r="Q40" s="4"/>
      <c r="R40" s="4"/>
      <c r="S40" s="4"/>
      <c r="T40" s="4"/>
    </row>
    <row r="41" spans="1:20" ht="13.5" thickBot="1">
      <c r="A41" s="775">
        <v>765</v>
      </c>
      <c r="B41" s="808">
        <v>828</v>
      </c>
      <c r="C41" s="1323" t="s">
        <v>757</v>
      </c>
      <c r="D41" s="229">
        <v>21259.663</v>
      </c>
      <c r="E41" s="2130" t="str">
        <f>IF(OR(D41="",D41=0),"Kontrollera Kommunal fastighetsavgift","")</f>
        <v/>
      </c>
      <c r="F41" s="4"/>
      <c r="G41" s="4"/>
      <c r="H41" s="4"/>
      <c r="I41" s="4"/>
      <c r="J41" s="4"/>
      <c r="K41" s="4"/>
      <c r="L41" s="4"/>
      <c r="M41" s="4"/>
      <c r="N41" s="4"/>
      <c r="O41" s="4"/>
      <c r="P41" s="4"/>
      <c r="Q41" s="4"/>
      <c r="R41" s="4"/>
      <c r="S41" s="4"/>
      <c r="T41" s="4"/>
    </row>
    <row r="42" spans="1:20" ht="12.75">
      <c r="A42" s="4"/>
      <c r="B42" s="4"/>
      <c r="C42" s="4"/>
      <c r="D42" s="4"/>
      <c r="E42" s="4"/>
      <c r="F42" s="4"/>
      <c r="G42" s="4"/>
      <c r="H42" s="4"/>
      <c r="I42" s="4"/>
      <c r="J42" s="4"/>
      <c r="K42" s="4"/>
      <c r="L42" s="4"/>
      <c r="M42" s="4"/>
      <c r="N42" s="4"/>
      <c r="O42" s="4"/>
      <c r="P42" s="4"/>
      <c r="Q42" s="4"/>
      <c r="R42" s="4"/>
      <c r="S42" s="4"/>
      <c r="T42" s="4"/>
    </row>
    <row r="43" spans="1:20" ht="12.75">
      <c r="A43" s="4"/>
      <c r="B43" s="4"/>
      <c r="C43" s="4"/>
      <c r="D43" s="4"/>
      <c r="E43" s="4"/>
      <c r="F43" s="4"/>
      <c r="G43" s="4"/>
      <c r="H43" s="4"/>
      <c r="I43" s="4"/>
      <c r="J43" s="4"/>
      <c r="K43" s="4"/>
      <c r="L43" s="4"/>
      <c r="M43" s="4"/>
      <c r="N43" s="4"/>
      <c r="O43" s="4"/>
      <c r="P43" s="4"/>
      <c r="Q43" s="4"/>
      <c r="R43" s="4"/>
      <c r="S43" s="4"/>
      <c r="T43" s="4"/>
    </row>
    <row r="44" spans="1:20" ht="12.75" hidden="1">
      <c r="A44" s="4"/>
      <c r="B44" s="4"/>
      <c r="C44" s="4"/>
      <c r="D44" s="4"/>
      <c r="E44" s="4"/>
      <c r="H44" s="4"/>
      <c r="I44" s="4"/>
      <c r="J44" s="4"/>
      <c r="K44" s="4"/>
      <c r="L44" s="4"/>
      <c r="M44" s="4"/>
      <c r="R44" s="4"/>
      <c r="S44" s="4"/>
      <c r="T44" s="4"/>
    </row>
    <row r="45" spans="1:20" ht="12.75" hidden="1" customHeight="1"/>
    <row r="49" s="168" customFormat="1" ht="0" hidden="1" customHeight="1"/>
    <row r="50" s="168" customFormat="1" ht="0" hidden="1" customHeight="1"/>
    <row r="51" s="168" customFormat="1" ht="0" hidden="1" customHeight="1"/>
    <row r="52" s="168" customFormat="1" ht="0" hidden="1" customHeight="1"/>
    <row r="53" s="168" customFormat="1" ht="0" hidden="1" customHeight="1"/>
    <row r="54" s="168" customFormat="1" ht="0" hidden="1" customHeight="1"/>
    <row r="55" s="168" customFormat="1" ht="0" hidden="1" customHeight="1"/>
    <row r="56" s="168" customFormat="1" ht="0" hidden="1" customHeight="1"/>
    <row r="57" s="168" customFormat="1" ht="0" hidden="1" customHeight="1"/>
    <row r="58" s="168" customFormat="1" ht="0" hidden="1" customHeight="1"/>
    <row r="59" s="168" customFormat="1" ht="0" hidden="1" customHeight="1"/>
    <row r="60" s="168" customFormat="1" ht="0" hidden="1" customHeight="1"/>
    <row r="61" s="168" customFormat="1" ht="0" hidden="1" customHeight="1"/>
    <row r="62" s="168" customFormat="1" ht="0" hidden="1" customHeight="1"/>
    <row r="63" s="168" customFormat="1" ht="0" hidden="1" customHeight="1"/>
  </sheetData>
  <sheetProtection algorithmName="SHA-512" hashValue="GQEbP2BmpoV425aXtjHxUeyz6jduJDy3pwXFUew0R9qNIOlV60KaHIWmRh47+nu9YstLPXs/iYy9tR+qM+IRdQ==" saltValue="7WuK4tvS2p0RGsT4cDFHbg==" spinCount="100000" sheet="1" objects="1" scenarios="1"/>
  <mergeCells count="2">
    <mergeCell ref="N18:Q19"/>
    <mergeCell ref="F25:G27"/>
  </mergeCells>
  <conditionalFormatting sqref="D27 D41 K22:L28 K8:L15">
    <cfRule type="cellIs" dxfId="125" priority="19" stopIfTrue="1" operator="lessThan">
      <formula>-500</formula>
    </cfRule>
  </conditionalFormatting>
  <conditionalFormatting sqref="K29:L29">
    <cfRule type="cellIs" dxfId="124" priority="17" stopIfTrue="1" operator="lessThan">
      <formula>-500</formula>
    </cfRule>
  </conditionalFormatting>
  <conditionalFormatting sqref="I17">
    <cfRule type="expression" dxfId="123" priority="16" stopIfTrue="1">
      <formula>ABS(K17)&gt;100</formula>
    </cfRule>
  </conditionalFormatting>
  <conditionalFormatting sqref="K17:L17">
    <cfRule type="expression" dxfId="122" priority="15" stopIfTrue="1">
      <formula>ABS(K17)&gt;100</formula>
    </cfRule>
  </conditionalFormatting>
  <conditionalFormatting sqref="I31">
    <cfRule type="expression" dxfId="121" priority="14" stopIfTrue="1">
      <formula>ABS(K31)&gt;100</formula>
    </cfRule>
  </conditionalFormatting>
  <conditionalFormatting sqref="K31:L31">
    <cfRule type="expression" dxfId="120" priority="13" stopIfTrue="1">
      <formula>ABS(K31)&gt;100</formula>
    </cfRule>
  </conditionalFormatting>
  <conditionalFormatting sqref="Q8 Q15">
    <cfRule type="cellIs" dxfId="119" priority="12" stopIfTrue="1" operator="lessThan">
      <formula>-500</formula>
    </cfRule>
  </conditionalFormatting>
  <conditionalFormatting sqref="G29">
    <cfRule type="cellIs" dxfId="118" priority="11" stopIfTrue="1" operator="lessThan">
      <formula>0</formula>
    </cfRule>
  </conditionalFormatting>
  <conditionalFormatting sqref="F21">
    <cfRule type="expression" dxfId="117" priority="20">
      <formula>G27&gt;0</formula>
    </cfRule>
  </conditionalFormatting>
  <conditionalFormatting sqref="F25:G27">
    <cfRule type="expression" dxfId="116" priority="10" stopIfTrue="1">
      <formula>(D27)&lt;1000</formula>
    </cfRule>
  </conditionalFormatting>
  <conditionalFormatting sqref="Q14">
    <cfRule type="cellIs" dxfId="115" priority="9" stopIfTrue="1" operator="lessThan">
      <formula>-500</formula>
    </cfRule>
  </conditionalFormatting>
  <conditionalFormatting sqref="Q16">
    <cfRule type="cellIs" dxfId="114" priority="8" stopIfTrue="1" operator="lessThan">
      <formula>-500</formula>
    </cfRule>
  </conditionalFormatting>
  <conditionalFormatting sqref="Q27">
    <cfRule type="cellIs" dxfId="113" priority="7" stopIfTrue="1" operator="lessThan">
      <formula>-500</formula>
    </cfRule>
  </conditionalFormatting>
  <conditionalFormatting sqref="Q26">
    <cfRule type="cellIs" dxfId="112" priority="6" stopIfTrue="1" operator="lessThan">
      <formula>-500</formula>
    </cfRule>
  </conditionalFormatting>
  <conditionalFormatting sqref="Q28">
    <cfRule type="cellIs" dxfId="111" priority="5" stopIfTrue="1" operator="lessThan">
      <formula>-500</formula>
    </cfRule>
  </conditionalFormatting>
  <conditionalFormatting sqref="Q13">
    <cfRule type="cellIs" dxfId="110" priority="4" stopIfTrue="1" operator="lessThan">
      <formula>-500</formula>
    </cfRule>
  </conditionalFormatting>
  <conditionalFormatting sqref="Q12">
    <cfRule type="cellIs" dxfId="109" priority="3" stopIfTrue="1" operator="lessThan">
      <formula>-500</formula>
    </cfRule>
  </conditionalFormatting>
  <conditionalFormatting sqref="Q25">
    <cfRule type="cellIs" dxfId="108" priority="2" stopIfTrue="1" operator="lessThan">
      <formula>-500</formula>
    </cfRule>
  </conditionalFormatting>
  <conditionalFormatting sqref="G28">
    <cfRule type="cellIs" dxfId="107"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sqref="A1:F1"/>
      <selection pane="bottomLeft" sqref="A1:F1"/>
    </sheetView>
  </sheetViews>
  <sheetFormatPr defaultColWidth="0" defaultRowHeight="12.75" zeroHeight="1"/>
  <cols>
    <col min="1" max="1" width="4" style="142" customWidth="1"/>
    <col min="2" max="2" width="33.5703125" style="142" customWidth="1"/>
    <col min="3" max="3" width="10.5703125" style="142" customWidth="1"/>
    <col min="4" max="4" width="11.42578125" style="142" customWidth="1"/>
    <col min="5" max="5" width="8.42578125" style="142" customWidth="1"/>
    <col min="6" max="6" width="9" style="142" customWidth="1"/>
    <col min="7" max="7" width="10" style="142" customWidth="1"/>
    <col min="8" max="8" width="10.42578125" style="142" customWidth="1"/>
    <col min="9" max="9" width="34" style="145" customWidth="1"/>
    <col min="10" max="10" width="39.5703125" style="142" customWidth="1"/>
    <col min="11" max="11" width="2.7109375" style="142" customWidth="1"/>
    <col min="12" max="12" width="4.28515625" style="168" customWidth="1"/>
    <col min="13" max="13" width="3" style="168" customWidth="1"/>
    <col min="14" max="16384" width="9.28515625" style="168" hidden="1"/>
  </cols>
  <sheetData>
    <row r="1" spans="1:13" s="230" customFormat="1" ht="20.25">
      <c r="A1" s="76" t="str">
        <f>"Investeringsredovisning "&amp;År&amp;", miljoner kr"</f>
        <v>Investeringsredovisning 2022, miljoner kr</v>
      </c>
      <c r="B1" s="93"/>
      <c r="C1" s="93"/>
      <c r="D1" s="93"/>
      <c r="E1" s="94"/>
      <c r="F1" s="94"/>
      <c r="G1" s="510" t="s">
        <v>453</v>
      </c>
      <c r="H1" s="511" t="str">
        <f>Information!A2</f>
        <v>RIKSTOTAL</v>
      </c>
      <c r="I1" s="157"/>
      <c r="J1" s="95">
        <v>1</v>
      </c>
      <c r="K1" s="95"/>
      <c r="L1" s="95"/>
      <c r="M1" s="95"/>
    </row>
    <row r="2" spans="1:13" s="230" customFormat="1" ht="12.75" customHeight="1">
      <c r="A2" s="2196"/>
      <c r="B2" s="2196"/>
      <c r="C2" s="2196"/>
      <c r="D2" s="2196"/>
      <c r="E2" s="2196"/>
      <c r="F2" s="2196"/>
      <c r="G2" s="2196"/>
      <c r="H2" s="2196"/>
      <c r="I2" s="2196"/>
      <c r="J2" s="2196"/>
      <c r="K2" s="2196"/>
      <c r="L2" s="2196"/>
      <c r="M2" s="2196"/>
    </row>
    <row r="3" spans="1:13" s="230" customFormat="1" ht="12.75" customHeight="1" thickBot="1">
      <c r="A3" s="2196"/>
      <c r="B3" s="2196"/>
      <c r="C3" s="2196"/>
      <c r="D3" s="2196"/>
      <c r="E3" s="2196"/>
      <c r="F3" s="2196"/>
      <c r="G3" s="2196"/>
      <c r="H3" s="2196"/>
      <c r="I3" s="2196"/>
      <c r="J3" s="2196"/>
      <c r="K3" s="2196"/>
      <c r="L3" s="2196"/>
      <c r="M3" s="2196"/>
    </row>
    <row r="4" spans="1:13" s="230" customFormat="1" ht="43.5" customHeight="1">
      <c r="A4" s="809" t="s">
        <v>471</v>
      </c>
      <c r="B4" s="810"/>
      <c r="C4" s="2509" t="s">
        <v>1206</v>
      </c>
      <c r="D4" s="2509" t="s">
        <v>964</v>
      </c>
      <c r="E4" s="2509" t="s">
        <v>1207</v>
      </c>
      <c r="F4" s="1687" t="s">
        <v>965</v>
      </c>
      <c r="G4" s="1887" t="s">
        <v>966</v>
      </c>
      <c r="H4" s="1888" t="s">
        <v>1208</v>
      </c>
      <c r="I4" s="67"/>
      <c r="J4" s="43"/>
      <c r="K4" s="231"/>
      <c r="L4" s="231"/>
    </row>
    <row r="5" spans="1:13" s="230" customFormat="1" ht="39.75" customHeight="1">
      <c r="A5" s="811"/>
      <c r="B5" s="812"/>
      <c r="C5" s="2510"/>
      <c r="D5" s="2510"/>
      <c r="E5" s="2510"/>
      <c r="F5" s="1688" t="s">
        <v>760</v>
      </c>
      <c r="G5" s="1689"/>
      <c r="H5" s="1686"/>
      <c r="I5" s="87"/>
      <c r="J5" s="1307"/>
      <c r="K5" s="231"/>
      <c r="L5" s="231"/>
    </row>
    <row r="6" spans="1:13" s="233" customFormat="1" ht="19.5" customHeight="1">
      <c r="A6" s="577" t="s">
        <v>476</v>
      </c>
      <c r="B6" s="578" t="s">
        <v>364</v>
      </c>
      <c r="C6" s="346">
        <v>633367.549</v>
      </c>
      <c r="D6" s="346">
        <v>34597.599000000002</v>
      </c>
      <c r="E6" s="346">
        <v>311724.027</v>
      </c>
      <c r="F6" s="1690">
        <v>78915.024000000005</v>
      </c>
      <c r="G6" s="1691">
        <v>1536478.7350000001</v>
      </c>
      <c r="H6" s="1262">
        <v>43259.307000000001</v>
      </c>
      <c r="I6" s="2080"/>
      <c r="J6" s="1307"/>
      <c r="K6" s="232"/>
      <c r="L6" s="232"/>
    </row>
    <row r="7" spans="1:13" s="233" customFormat="1" ht="19.5" customHeight="1">
      <c r="A7" s="579" t="s">
        <v>477</v>
      </c>
      <c r="B7" s="2259" t="s">
        <v>882</v>
      </c>
      <c r="C7" s="238">
        <v>74427.671000000002</v>
      </c>
      <c r="D7" s="239">
        <v>8849.6939999999995</v>
      </c>
      <c r="E7" s="240">
        <v>4832.6210000000001</v>
      </c>
      <c r="F7" s="1692">
        <v>1858.8989999999999</v>
      </c>
      <c r="G7" s="1773">
        <v>161369.03400000001</v>
      </c>
      <c r="H7" s="1815">
        <v>3568.614</v>
      </c>
      <c r="I7" s="1936"/>
      <c r="J7" s="2081"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32"/>
      <c r="L7" s="232"/>
    </row>
    <row r="8" spans="1:13" s="233" customFormat="1" ht="17.25" customHeight="1">
      <c r="A8" s="581" t="s">
        <v>478</v>
      </c>
      <c r="B8" s="580" t="s">
        <v>993</v>
      </c>
      <c r="C8" s="238">
        <v>-3956.7710000000002</v>
      </c>
      <c r="D8" s="239">
        <v>-680.12400000000002</v>
      </c>
      <c r="E8" s="240">
        <v>-2212.317</v>
      </c>
      <c r="F8" s="1692">
        <v>-308.51</v>
      </c>
      <c r="G8" s="1773">
        <v>-17343.93</v>
      </c>
      <c r="H8" s="1815">
        <v>-3043.9430000000002</v>
      </c>
      <c r="I8" s="1864"/>
      <c r="J8" s="2004" t="str">
        <f>IF(F8&lt;E8,"Rad 988: därav-kol.F&lt;Kol.E","")</f>
        <v/>
      </c>
      <c r="K8" s="232"/>
      <c r="L8" s="232"/>
    </row>
    <row r="9" spans="1:13" s="233" customFormat="1" ht="20.25" customHeight="1">
      <c r="A9" s="581" t="s">
        <v>479</v>
      </c>
      <c r="B9" s="580" t="s">
        <v>488</v>
      </c>
      <c r="C9" s="308">
        <v>2593.5630000000001</v>
      </c>
      <c r="D9" s="239">
        <v>114.202</v>
      </c>
      <c r="E9" s="240">
        <v>1969.739</v>
      </c>
      <c r="F9" s="1692">
        <v>98.361999999999995</v>
      </c>
      <c r="G9" s="1773">
        <v>7027.1310000000003</v>
      </c>
      <c r="H9" s="1815">
        <v>102.69799999999999</v>
      </c>
      <c r="I9" s="1936"/>
      <c r="J9" s="2003" t="str">
        <f>IF(F9&gt;E9,"Rad 989: därav-kol.F&gt;kol.E","")</f>
        <v/>
      </c>
      <c r="K9" s="232"/>
      <c r="L9" s="232"/>
    </row>
    <row r="10" spans="1:13" s="233" customFormat="1" ht="21" customHeight="1">
      <c r="A10" s="581" t="s">
        <v>352</v>
      </c>
      <c r="B10" s="580" t="s">
        <v>1008</v>
      </c>
      <c r="C10" s="308">
        <v>-873.79899999999998</v>
      </c>
      <c r="D10" s="239">
        <v>-122.14100000000001</v>
      </c>
      <c r="E10" s="240">
        <v>-422.97699999999998</v>
      </c>
      <c r="F10" s="1692">
        <v>-45.954999999999998</v>
      </c>
      <c r="G10" s="1773">
        <v>-3191.366</v>
      </c>
      <c r="H10" s="1815">
        <v>-430.36599999999999</v>
      </c>
      <c r="I10" s="1936"/>
      <c r="J10" s="2003" t="str">
        <f>IF(F10&lt;E10,"Rad 990: därav-kol.F&lt;Kol.E","")</f>
        <v/>
      </c>
      <c r="K10" s="232"/>
      <c r="L10" s="232"/>
    </row>
    <row r="11" spans="1:13" s="233" customFormat="1" ht="15" customHeight="1">
      <c r="A11" s="581" t="s">
        <v>353</v>
      </c>
      <c r="B11" s="580" t="s">
        <v>350</v>
      </c>
      <c r="C11" s="238">
        <v>-26749.405999999999</v>
      </c>
      <c r="D11" s="239">
        <v>-6859.8459999999995</v>
      </c>
      <c r="E11" s="1455">
        <v>-0.11799999999999999</v>
      </c>
      <c r="F11" s="1693">
        <v>0</v>
      </c>
      <c r="G11" s="1773">
        <v>-68317.712</v>
      </c>
      <c r="H11" s="1815">
        <v>-4.2320000000000002</v>
      </c>
      <c r="I11" s="1864"/>
      <c r="J11" s="1961"/>
      <c r="K11" s="232"/>
      <c r="L11" s="232"/>
    </row>
    <row r="12" spans="1:13" s="233" customFormat="1" ht="15" customHeight="1">
      <c r="A12" s="581" t="s">
        <v>354</v>
      </c>
      <c r="B12" s="580" t="s">
        <v>151</v>
      </c>
      <c r="C12" s="241">
        <v>-533.79600000000005</v>
      </c>
      <c r="D12" s="242">
        <v>3.3159999999999998</v>
      </c>
      <c r="E12" s="53">
        <v>-523.82299999999998</v>
      </c>
      <c r="F12" s="1512">
        <v>-199.465</v>
      </c>
      <c r="G12" s="1773">
        <v>-1807.9069999999999</v>
      </c>
      <c r="H12" s="1815">
        <v>-356.29700000000003</v>
      </c>
      <c r="I12" s="2073"/>
      <c r="J12" s="2516"/>
      <c r="K12" s="2517"/>
      <c r="L12" s="2517"/>
      <c r="M12" s="2517"/>
    </row>
    <row r="13" spans="1:13" s="233" customFormat="1" ht="19.5" customHeight="1">
      <c r="A13" s="582" t="s">
        <v>355</v>
      </c>
      <c r="B13" s="2259" t="s">
        <v>1132</v>
      </c>
      <c r="C13" s="238">
        <v>-92.652000000000001</v>
      </c>
      <c r="D13" s="239">
        <v>255.875</v>
      </c>
      <c r="E13" s="240">
        <v>233.90700000000001</v>
      </c>
      <c r="F13" s="1692">
        <v>33.889000000000003</v>
      </c>
      <c r="G13" s="1773">
        <v>749.31600000000003</v>
      </c>
      <c r="H13" s="1815">
        <v>39.292999999999999</v>
      </c>
      <c r="I13" s="2077"/>
      <c r="J13" s="2517"/>
      <c r="K13" s="2517"/>
      <c r="L13" s="2517"/>
      <c r="M13" s="2517"/>
    </row>
    <row r="14" spans="1:13" s="233" customFormat="1" ht="13.5" customHeight="1">
      <c r="A14" s="581" t="s">
        <v>356</v>
      </c>
      <c r="B14" s="580" t="s">
        <v>351</v>
      </c>
      <c r="C14" s="238">
        <v>13529.857</v>
      </c>
      <c r="D14" s="239">
        <v>1318.9359999999999</v>
      </c>
      <c r="E14" s="240">
        <v>11593.896000000001</v>
      </c>
      <c r="F14" s="1692">
        <v>171.28899999999999</v>
      </c>
      <c r="G14" s="1773">
        <v>4453.2359999999999</v>
      </c>
      <c r="H14" s="1815">
        <v>1079.5730000000001</v>
      </c>
      <c r="I14" s="2078"/>
      <c r="J14" s="2517"/>
      <c r="K14" s="2517"/>
      <c r="L14" s="2517"/>
      <c r="M14" s="2517"/>
    </row>
    <row r="15" spans="1:13" s="233" customFormat="1" ht="12" thickBot="1">
      <c r="A15" s="583" t="s">
        <v>357</v>
      </c>
      <c r="B15" s="584" t="s">
        <v>365</v>
      </c>
      <c r="C15" s="290">
        <f>BR!D10</f>
        <v>691712.21600000001</v>
      </c>
      <c r="D15" s="291">
        <f>BR!D11</f>
        <v>37477.510999999999</v>
      </c>
      <c r="E15" s="291">
        <f>BR!D17</f>
        <v>327194.95500000002</v>
      </c>
      <c r="F15" s="1694">
        <f>BR!D13</f>
        <v>80523.532999999996</v>
      </c>
      <c r="G15" s="1695">
        <f>BR!E12</f>
        <v>1619416.537</v>
      </c>
      <c r="H15" s="1685">
        <f>BR!E17</f>
        <v>44214.646999999997</v>
      </c>
      <c r="I15" s="1456"/>
      <c r="J15" s="2517"/>
      <c r="K15" s="2517"/>
      <c r="L15" s="2517"/>
      <c r="M15" s="2517"/>
    </row>
    <row r="16" spans="1:13" s="233" customFormat="1" ht="37.5" customHeight="1">
      <c r="A16" s="59"/>
      <c r="B16" s="58"/>
      <c r="C16" s="139"/>
      <c r="D16" s="139"/>
      <c r="E16" s="139"/>
      <c r="F16" s="139"/>
      <c r="G16" s="1774"/>
      <c r="H16" s="1775"/>
      <c r="I16" s="2196"/>
      <c r="J16" s="2196"/>
      <c r="K16" s="2196"/>
      <c r="L16" s="2196"/>
    </row>
    <row r="17" spans="1:12" ht="12.75" customHeight="1">
      <c r="A17" s="277"/>
      <c r="B17" s="197"/>
      <c r="C17" s="43"/>
      <c r="D17" s="43"/>
      <c r="E17" s="43"/>
      <c r="F17" s="43"/>
      <c r="G17" s="1772"/>
      <c r="H17" s="1772"/>
      <c r="I17" s="45"/>
      <c r="J17" s="45"/>
      <c r="K17" s="4"/>
      <c r="L17" s="169"/>
    </row>
    <row r="18" spans="1:12" ht="25.5" customHeight="1">
      <c r="A18" s="1478" t="s">
        <v>1209</v>
      </c>
      <c r="B18" s="1477"/>
      <c r="C18" s="1477"/>
      <c r="D18" s="1477"/>
      <c r="E18" s="1477"/>
      <c r="F18" s="1477"/>
      <c r="G18" s="1477"/>
      <c r="H18" s="1477"/>
      <c r="I18" s="1477"/>
      <c r="J18" s="1477"/>
      <c r="K18" s="2076"/>
      <c r="L18" s="2076"/>
    </row>
    <row r="19" spans="1:12" s="235" customFormat="1" ht="22.5" customHeight="1" thickBot="1">
      <c r="A19" s="1449" t="s">
        <v>1095</v>
      </c>
      <c r="B19" s="234"/>
      <c r="C19" s="60"/>
      <c r="D19" s="61"/>
      <c r="E19" s="62"/>
      <c r="F19" s="62"/>
      <c r="G19" s="62"/>
      <c r="H19" s="62"/>
      <c r="I19" s="158"/>
      <c r="J19" s="156"/>
      <c r="K19" s="63"/>
      <c r="L19" s="234"/>
    </row>
    <row r="20" spans="1:12" ht="14.25" customHeight="1">
      <c r="A20" s="813" t="s">
        <v>615</v>
      </c>
      <c r="B20" s="814" t="s">
        <v>13</v>
      </c>
      <c r="C20" s="1450" t="s">
        <v>886</v>
      </c>
      <c r="D20" s="815" t="s">
        <v>170</v>
      </c>
      <c r="E20" s="816"/>
      <c r="F20" s="816"/>
      <c r="G20" s="1828"/>
      <c r="H20" s="1829"/>
      <c r="I20" s="39"/>
      <c r="J20" s="39"/>
      <c r="K20" s="44"/>
      <c r="L20" s="4"/>
    </row>
    <row r="21" spans="1:12" ht="27.75" customHeight="1">
      <c r="A21" s="817" t="s">
        <v>618</v>
      </c>
      <c r="B21" s="779"/>
      <c r="C21" s="1451" t="s">
        <v>887</v>
      </c>
      <c r="D21" s="1448" t="s">
        <v>950</v>
      </c>
      <c r="E21" s="1448" t="s">
        <v>884</v>
      </c>
      <c r="F21" s="1816" t="s">
        <v>885</v>
      </c>
      <c r="G21" s="1830"/>
      <c r="H21" s="1831"/>
      <c r="I21" s="8"/>
      <c r="J21" s="64"/>
      <c r="K21" s="44"/>
      <c r="L21" s="4"/>
    </row>
    <row r="22" spans="1:12">
      <c r="A22" s="817"/>
      <c r="B22" s="819"/>
      <c r="C22" s="820"/>
      <c r="D22" s="818" t="s">
        <v>951</v>
      </c>
      <c r="E22" s="868" t="s">
        <v>171</v>
      </c>
      <c r="F22" s="1817" t="s">
        <v>172</v>
      </c>
      <c r="G22" s="1832"/>
      <c r="H22" s="1833"/>
      <c r="I22" s="8"/>
      <c r="J22" s="64"/>
      <c r="K22" s="44"/>
      <c r="L22" s="4"/>
    </row>
    <row r="23" spans="1:12" ht="36" customHeight="1">
      <c r="A23" s="821"/>
      <c r="B23" s="822"/>
      <c r="C23" s="823"/>
      <c r="D23" s="1562" t="s">
        <v>954</v>
      </c>
      <c r="E23" s="1563" t="s">
        <v>952</v>
      </c>
      <c r="F23" s="1818" t="s">
        <v>953</v>
      </c>
      <c r="G23" s="1834"/>
      <c r="H23" s="1500"/>
      <c r="I23" s="8"/>
      <c r="J23" s="8"/>
      <c r="K23" s="44"/>
      <c r="L23" s="4"/>
    </row>
    <row r="24" spans="1:12">
      <c r="A24" s="824"/>
      <c r="B24" s="2170" t="s">
        <v>14</v>
      </c>
      <c r="C24" s="825"/>
      <c r="D24" s="825"/>
      <c r="E24" s="825"/>
      <c r="F24" s="1819"/>
      <c r="G24" s="1835"/>
      <c r="H24" s="1836"/>
      <c r="I24" s="159"/>
      <c r="J24" s="160"/>
      <c r="K24" s="161"/>
      <c r="L24" s="161"/>
    </row>
    <row r="25" spans="1:12">
      <c r="A25" s="1911" t="s">
        <v>214</v>
      </c>
      <c r="B25" s="589" t="s">
        <v>15</v>
      </c>
      <c r="C25" s="243">
        <v>64.3</v>
      </c>
      <c r="D25" s="243">
        <v>37</v>
      </c>
      <c r="E25" s="243">
        <v>14.971</v>
      </c>
      <c r="F25" s="1820">
        <v>8.7439999999999998</v>
      </c>
      <c r="G25" s="1848"/>
      <c r="H25" s="1837"/>
      <c r="I25" s="305"/>
      <c r="J25" s="305"/>
      <c r="K25" s="306"/>
      <c r="L25" s="177"/>
    </row>
    <row r="26" spans="1:12" ht="18.75">
      <c r="A26" s="826" t="s">
        <v>215</v>
      </c>
      <c r="B26" s="592" t="s">
        <v>1011</v>
      </c>
      <c r="C26" s="20">
        <v>7051.4319999999998</v>
      </c>
      <c r="D26" s="20">
        <v>3989.4650000000001</v>
      </c>
      <c r="E26" s="20">
        <v>193.626</v>
      </c>
      <c r="F26" s="448">
        <v>2464.201</v>
      </c>
      <c r="G26" s="1848"/>
      <c r="H26" s="1837"/>
      <c r="I26" s="305"/>
      <c r="J26" s="305"/>
      <c r="K26" s="306"/>
      <c r="L26" s="177"/>
    </row>
    <row r="27" spans="1:12">
      <c r="A27" s="581" t="s">
        <v>344</v>
      </c>
      <c r="B27" s="550" t="s">
        <v>173</v>
      </c>
      <c r="C27" s="20">
        <v>188.75</v>
      </c>
      <c r="D27" s="20">
        <v>141.48500000000001</v>
      </c>
      <c r="E27" s="20">
        <v>11.188000000000001</v>
      </c>
      <c r="F27" s="448">
        <v>14.563000000000001</v>
      </c>
      <c r="G27" s="1848"/>
      <c r="H27" s="1837"/>
      <c r="I27" s="305"/>
      <c r="J27" s="305"/>
      <c r="K27" s="306"/>
      <c r="L27" s="177"/>
    </row>
    <row r="28" spans="1:12">
      <c r="A28" s="581" t="s">
        <v>218</v>
      </c>
      <c r="B28" s="550" t="s">
        <v>819</v>
      </c>
      <c r="C28" s="20">
        <v>15660.014999999999</v>
      </c>
      <c r="D28" s="20">
        <v>13748.017</v>
      </c>
      <c r="E28" s="20">
        <v>338.44</v>
      </c>
      <c r="F28" s="448">
        <v>555.31299999999999</v>
      </c>
      <c r="G28" s="1848"/>
      <c r="H28" s="1837"/>
      <c r="I28" s="305"/>
      <c r="J28" s="305"/>
      <c r="K28" s="306"/>
      <c r="L28" s="177"/>
    </row>
    <row r="29" spans="1:12">
      <c r="A29" s="581" t="s">
        <v>219</v>
      </c>
      <c r="B29" s="550" t="s">
        <v>16</v>
      </c>
      <c r="C29" s="20">
        <v>2369.1460000000002</v>
      </c>
      <c r="D29" s="20">
        <v>1757.663</v>
      </c>
      <c r="E29" s="20">
        <v>157.70500000000001</v>
      </c>
      <c r="F29" s="448">
        <v>73.513000000000005</v>
      </c>
      <c r="G29" s="1848"/>
      <c r="H29" s="1837"/>
      <c r="I29" s="305"/>
      <c r="J29" s="305"/>
      <c r="K29" s="306"/>
      <c r="L29" s="177"/>
    </row>
    <row r="30" spans="1:12">
      <c r="A30" s="581" t="s">
        <v>345</v>
      </c>
      <c r="B30" s="550" t="s">
        <v>175</v>
      </c>
      <c r="C30" s="20">
        <v>289.54599999999999</v>
      </c>
      <c r="D30" s="20">
        <v>170.47499999999999</v>
      </c>
      <c r="E30" s="20">
        <v>25.911999999999999</v>
      </c>
      <c r="F30" s="448">
        <v>66.363</v>
      </c>
      <c r="G30" s="1848"/>
      <c r="H30" s="1837"/>
      <c r="I30" s="305"/>
      <c r="J30" s="305"/>
      <c r="K30" s="306"/>
      <c r="L30" s="177"/>
    </row>
    <row r="31" spans="1:12">
      <c r="A31" s="581" t="s">
        <v>223</v>
      </c>
      <c r="B31" s="550" t="s">
        <v>17</v>
      </c>
      <c r="C31" s="20">
        <v>595.17499999999995</v>
      </c>
      <c r="D31" s="20">
        <v>304.56400000000002</v>
      </c>
      <c r="E31" s="20">
        <v>247.059</v>
      </c>
      <c r="F31" s="448">
        <v>13.359</v>
      </c>
      <c r="G31" s="1848"/>
      <c r="H31" s="1837"/>
      <c r="I31" s="305"/>
      <c r="J31" s="305"/>
      <c r="K31" s="306"/>
      <c r="L31" s="177"/>
    </row>
    <row r="32" spans="1:12">
      <c r="A32" s="581" t="s">
        <v>224</v>
      </c>
      <c r="B32" s="550" t="s">
        <v>176</v>
      </c>
      <c r="C32" s="20">
        <v>259.286</v>
      </c>
      <c r="D32" s="20">
        <v>172.12</v>
      </c>
      <c r="E32" s="20">
        <v>68.355000000000004</v>
      </c>
      <c r="F32" s="448">
        <v>14.319000000000001</v>
      </c>
      <c r="G32" s="1848"/>
      <c r="H32" s="1837"/>
      <c r="I32" s="305"/>
      <c r="J32" s="305"/>
      <c r="K32" s="306"/>
      <c r="L32" s="177"/>
    </row>
    <row r="33" spans="1:12">
      <c r="A33" s="588" t="s">
        <v>225</v>
      </c>
      <c r="B33" s="589" t="s">
        <v>177</v>
      </c>
      <c r="C33" s="361">
        <f>SUM(C26:C32)</f>
        <v>26413.35</v>
      </c>
      <c r="D33" s="361">
        <f>SUM(D26:D32)</f>
        <v>20283.788999999997</v>
      </c>
      <c r="E33" s="361">
        <f>SUM(E26:E32)</f>
        <v>1042.2850000000001</v>
      </c>
      <c r="F33" s="1821">
        <f>SUM(F26:F32)</f>
        <v>3201.6309999999999</v>
      </c>
      <c r="G33" s="1848"/>
      <c r="H33" s="1837"/>
      <c r="I33" s="305"/>
      <c r="J33" s="305"/>
      <c r="K33" s="307"/>
      <c r="L33" s="177"/>
    </row>
    <row r="34" spans="1:12">
      <c r="A34" s="590" t="s">
        <v>235</v>
      </c>
      <c r="B34" s="591" t="s">
        <v>178</v>
      </c>
      <c r="C34" s="244">
        <v>7756.348</v>
      </c>
      <c r="D34" s="244">
        <v>6402.482</v>
      </c>
      <c r="E34" s="244">
        <v>698.79100000000005</v>
      </c>
      <c r="F34" s="1822">
        <v>354.83100000000002</v>
      </c>
      <c r="G34" s="1848"/>
      <c r="H34" s="1837"/>
      <c r="I34" s="305"/>
      <c r="J34" s="305"/>
      <c r="K34" s="306"/>
      <c r="L34" s="177"/>
    </row>
    <row r="35" spans="1:12" ht="18.75">
      <c r="A35" s="827" t="s">
        <v>241</v>
      </c>
      <c r="B35" s="1225" t="s">
        <v>737</v>
      </c>
      <c r="C35" s="243">
        <v>5742.2060000000001</v>
      </c>
      <c r="D35" s="243">
        <v>5051.5659999999998</v>
      </c>
      <c r="E35" s="243">
        <v>280.26799999999997</v>
      </c>
      <c r="F35" s="1820">
        <v>127.565</v>
      </c>
      <c r="G35" s="1848"/>
      <c r="H35" s="1837"/>
      <c r="I35" s="305"/>
      <c r="J35" s="305"/>
      <c r="K35" s="306"/>
      <c r="L35" s="177"/>
    </row>
    <row r="36" spans="1:12">
      <c r="A36" s="585"/>
      <c r="B36" s="586" t="s">
        <v>179</v>
      </c>
      <c r="C36" s="828"/>
      <c r="D36" s="828"/>
      <c r="E36" s="828"/>
      <c r="F36" s="1823"/>
      <c r="G36" s="1848"/>
      <c r="H36" s="1837"/>
      <c r="I36" s="305"/>
      <c r="J36" s="305"/>
      <c r="K36" s="306"/>
      <c r="L36" s="177"/>
    </row>
    <row r="37" spans="1:12">
      <c r="A37" s="579" t="s">
        <v>389</v>
      </c>
      <c r="B37" s="587" t="s">
        <v>726</v>
      </c>
      <c r="C37" s="20">
        <v>12387.593000000001</v>
      </c>
      <c r="D37" s="20">
        <v>10175.901</v>
      </c>
      <c r="E37" s="20">
        <v>1209.4480000000001</v>
      </c>
      <c r="F37" s="448">
        <v>653.90099999999995</v>
      </c>
      <c r="G37" s="1848"/>
      <c r="H37" s="1837"/>
      <c r="I37" s="305"/>
      <c r="J37" s="305"/>
      <c r="K37" s="306"/>
      <c r="L37" s="177"/>
    </row>
    <row r="38" spans="1:12">
      <c r="A38" s="581" t="s">
        <v>346</v>
      </c>
      <c r="B38" s="550" t="s">
        <v>180</v>
      </c>
      <c r="C38" s="20">
        <v>2425.1759999999999</v>
      </c>
      <c r="D38" s="20">
        <v>1951.4849999999999</v>
      </c>
      <c r="E38" s="20">
        <v>350.84300000000002</v>
      </c>
      <c r="F38" s="448">
        <v>50.197000000000003</v>
      </c>
      <c r="G38" s="1848"/>
      <c r="H38" s="1837"/>
      <c r="I38" s="305"/>
      <c r="J38" s="305"/>
      <c r="K38" s="306"/>
      <c r="L38" s="177"/>
    </row>
    <row r="39" spans="1:12">
      <c r="A39" s="579" t="s">
        <v>347</v>
      </c>
      <c r="B39" s="550" t="s">
        <v>18</v>
      </c>
      <c r="C39" s="20">
        <v>706.88</v>
      </c>
      <c r="D39" s="20">
        <v>105.45099999999999</v>
      </c>
      <c r="E39" s="20">
        <v>55.027999999999999</v>
      </c>
      <c r="F39" s="448">
        <v>533.28</v>
      </c>
      <c r="G39" s="1848"/>
      <c r="H39" s="1837"/>
      <c r="I39" s="305"/>
      <c r="J39" s="305"/>
      <c r="K39" s="306"/>
      <c r="L39" s="306"/>
    </row>
    <row r="40" spans="1:12">
      <c r="A40" s="588" t="s">
        <v>250</v>
      </c>
      <c r="B40" s="589" t="s">
        <v>19</v>
      </c>
      <c r="C40" s="361">
        <f>SUM(C37:C39)</f>
        <v>15519.648999999999</v>
      </c>
      <c r="D40" s="361">
        <f>SUM(D37:D39)</f>
        <v>12232.837</v>
      </c>
      <c r="E40" s="361">
        <f>SUM(E37:E39)</f>
        <v>1615.3190000000002</v>
      </c>
      <c r="F40" s="1821">
        <f>SUM(F37:F39)</f>
        <v>1237.3779999999999</v>
      </c>
      <c r="G40" s="1848"/>
      <c r="H40" s="1837"/>
      <c r="I40" s="305"/>
      <c r="J40" s="305"/>
      <c r="K40" s="306"/>
      <c r="L40" s="306"/>
    </row>
    <row r="41" spans="1:12">
      <c r="A41" s="590" t="s">
        <v>251</v>
      </c>
      <c r="B41" s="591" t="s">
        <v>181</v>
      </c>
      <c r="C41" s="361">
        <f>C35+C40</f>
        <v>21261.855</v>
      </c>
      <c r="D41" s="361">
        <f>D35+D40</f>
        <v>17284.402999999998</v>
      </c>
      <c r="E41" s="361">
        <f>E35+E40</f>
        <v>1895.5870000000002</v>
      </c>
      <c r="F41" s="1824">
        <f>F35+F40</f>
        <v>1364.943</v>
      </c>
      <c r="G41" s="1848"/>
      <c r="H41" s="1837"/>
      <c r="I41" s="305"/>
      <c r="J41" s="305"/>
      <c r="K41" s="306"/>
      <c r="L41" s="306"/>
    </row>
    <row r="42" spans="1:12" ht="18.75">
      <c r="A42" s="577" t="s">
        <v>252</v>
      </c>
      <c r="B42" s="592" t="s">
        <v>182</v>
      </c>
      <c r="C42" s="20">
        <v>22.311</v>
      </c>
      <c r="D42" s="20">
        <v>19.616</v>
      </c>
      <c r="E42" s="20">
        <v>2.3279999999999998</v>
      </c>
      <c r="F42" s="448">
        <v>0</v>
      </c>
      <c r="G42" s="1848"/>
      <c r="H42" s="1837"/>
      <c r="I42" s="305"/>
      <c r="J42" s="305"/>
      <c r="K42" s="306"/>
      <c r="L42" s="306"/>
    </row>
    <row r="43" spans="1:12">
      <c r="A43" s="593" t="s">
        <v>253</v>
      </c>
      <c r="B43" s="550" t="s">
        <v>98</v>
      </c>
      <c r="C43" s="20">
        <v>122.202</v>
      </c>
      <c r="D43" s="20">
        <v>71.135999999999996</v>
      </c>
      <c r="E43" s="20">
        <v>34.067999999999998</v>
      </c>
      <c r="F43" s="448">
        <v>0</v>
      </c>
      <c r="G43" s="1848"/>
      <c r="H43" s="1837"/>
      <c r="I43" s="305"/>
      <c r="J43" s="305"/>
      <c r="K43" s="306"/>
      <c r="L43" s="177"/>
    </row>
    <row r="44" spans="1:12">
      <c r="A44" s="581" t="s">
        <v>431</v>
      </c>
      <c r="B44" s="594" t="s">
        <v>483</v>
      </c>
      <c r="C44" s="486">
        <v>4171.1419999999998</v>
      </c>
      <c r="D44" s="20">
        <v>2167.8789999999999</v>
      </c>
      <c r="E44" s="20">
        <v>663.678</v>
      </c>
      <c r="F44" s="448">
        <v>849.76300000000003</v>
      </c>
      <c r="G44" s="1848"/>
      <c r="H44" s="1837"/>
      <c r="I44" s="305"/>
      <c r="J44" s="305"/>
      <c r="K44" s="306"/>
      <c r="L44" s="177"/>
    </row>
    <row r="45" spans="1:12" ht="18.75">
      <c r="A45" s="581" t="s">
        <v>495</v>
      </c>
      <c r="B45" s="587" t="s">
        <v>496</v>
      </c>
      <c r="C45" s="486">
        <v>1131.4839999999999</v>
      </c>
      <c r="D45" s="20">
        <v>711.35799999999995</v>
      </c>
      <c r="E45" s="20">
        <v>137.44800000000001</v>
      </c>
      <c r="F45" s="448">
        <v>190.268</v>
      </c>
      <c r="G45" s="1848"/>
      <c r="H45" s="1837"/>
      <c r="I45" s="305"/>
      <c r="J45" s="305"/>
      <c r="K45" s="306"/>
      <c r="L45" s="177"/>
    </row>
    <row r="46" spans="1:12">
      <c r="A46" s="581" t="s">
        <v>348</v>
      </c>
      <c r="B46" s="550" t="s">
        <v>183</v>
      </c>
      <c r="C46" s="20">
        <v>198.51300000000001</v>
      </c>
      <c r="D46" s="20">
        <v>110.68899999999999</v>
      </c>
      <c r="E46" s="20">
        <v>47.683999999999997</v>
      </c>
      <c r="F46" s="448">
        <v>23.978999999999999</v>
      </c>
      <c r="G46" s="1848"/>
      <c r="H46" s="1837"/>
      <c r="I46" s="305"/>
      <c r="J46" s="305"/>
      <c r="K46" s="306"/>
      <c r="L46" s="177"/>
    </row>
    <row r="47" spans="1:12">
      <c r="A47" s="588" t="s">
        <v>349</v>
      </c>
      <c r="B47" s="829" t="s">
        <v>184</v>
      </c>
      <c r="C47" s="361">
        <f>SUM(C42:C46)</f>
        <v>5645.6519999999991</v>
      </c>
      <c r="D47" s="361">
        <f>SUM(D42:D46)</f>
        <v>3080.6779999999994</v>
      </c>
      <c r="E47" s="361">
        <f>SUM(E42:E46)</f>
        <v>885.2059999999999</v>
      </c>
      <c r="F47" s="1821">
        <f>SUM(F42:F46)</f>
        <v>1064.01</v>
      </c>
      <c r="G47" s="1848"/>
      <c r="H47" s="1837"/>
      <c r="I47" s="305"/>
      <c r="J47" s="305"/>
      <c r="K47" s="307"/>
      <c r="L47" s="177"/>
    </row>
    <row r="48" spans="1:12">
      <c r="A48" s="590" t="s">
        <v>258</v>
      </c>
      <c r="B48" s="591" t="s">
        <v>185</v>
      </c>
      <c r="C48" s="244">
        <v>66.05</v>
      </c>
      <c r="D48" s="244">
        <v>30.433</v>
      </c>
      <c r="E48" s="244">
        <v>26.68</v>
      </c>
      <c r="F48" s="1822">
        <v>5.96</v>
      </c>
      <c r="G48" s="1848"/>
      <c r="H48" s="1837"/>
      <c r="I48" s="305"/>
      <c r="J48" s="305"/>
      <c r="K48" s="306"/>
      <c r="L48" s="177"/>
    </row>
    <row r="49" spans="1:12">
      <c r="A49" s="827" t="s">
        <v>259</v>
      </c>
      <c r="B49" s="589" t="s">
        <v>20</v>
      </c>
      <c r="C49" s="361">
        <f>SUM(C25,C33,C34,C41,C47,C48)</f>
        <v>61207.555000000008</v>
      </c>
      <c r="D49" s="361">
        <f>SUM(D25,D33,D34,D41,D47,D48)</f>
        <v>47118.784999999996</v>
      </c>
      <c r="E49" s="361">
        <f>SUM(E25,E33,E34,E41,E47,E48)</f>
        <v>4563.5200000000004</v>
      </c>
      <c r="F49" s="1825">
        <f>SUM(F25,F33,F34,F41,F47,F48)</f>
        <v>6000.1190000000006</v>
      </c>
      <c r="G49" s="1848"/>
      <c r="H49" s="1837"/>
      <c r="I49" s="305"/>
      <c r="J49" s="305"/>
      <c r="K49" s="306"/>
      <c r="L49" s="177"/>
    </row>
    <row r="50" spans="1:12" ht="31.5" customHeight="1">
      <c r="A50" s="826" t="s">
        <v>260</v>
      </c>
      <c r="B50" s="587" t="s">
        <v>1211</v>
      </c>
      <c r="C50" s="20">
        <v>1644.0239999999999</v>
      </c>
      <c r="D50" s="20">
        <v>1320.021</v>
      </c>
      <c r="E50" s="20">
        <v>44.802999999999997</v>
      </c>
      <c r="F50" s="448">
        <v>135.99199999999999</v>
      </c>
      <c r="G50" s="1848"/>
      <c r="H50" s="1837"/>
      <c r="I50" s="305"/>
      <c r="J50" s="305"/>
      <c r="K50" s="306"/>
      <c r="L50" s="177"/>
    </row>
    <row r="51" spans="1:12">
      <c r="A51" s="593" t="s">
        <v>261</v>
      </c>
      <c r="B51" s="562" t="s">
        <v>21</v>
      </c>
      <c r="C51" s="20">
        <v>544.947</v>
      </c>
      <c r="D51" s="20">
        <v>481.12900000000002</v>
      </c>
      <c r="E51" s="20">
        <v>22.497</v>
      </c>
      <c r="F51" s="448">
        <v>28.280999999999999</v>
      </c>
      <c r="G51" s="1848"/>
      <c r="H51" s="1837"/>
      <c r="I51" s="305"/>
      <c r="J51" s="305"/>
      <c r="K51" s="306"/>
      <c r="L51" s="177"/>
    </row>
    <row r="52" spans="1:12">
      <c r="A52" s="593" t="s">
        <v>262</v>
      </c>
      <c r="B52" s="562" t="s">
        <v>22</v>
      </c>
      <c r="C52" s="20">
        <v>815.51499999999999</v>
      </c>
      <c r="D52" s="20">
        <v>420.29700000000003</v>
      </c>
      <c r="E52" s="20">
        <v>41.826000000000001</v>
      </c>
      <c r="F52" s="448">
        <v>323.13200000000001</v>
      </c>
      <c r="G52" s="1848"/>
      <c r="H52" s="1837"/>
      <c r="I52" s="305"/>
      <c r="J52" s="305"/>
      <c r="K52" s="306"/>
      <c r="L52" s="177"/>
    </row>
    <row r="53" spans="1:12">
      <c r="A53" s="593" t="s">
        <v>263</v>
      </c>
      <c r="B53" s="562" t="s">
        <v>23</v>
      </c>
      <c r="C53" s="20">
        <v>2679.85</v>
      </c>
      <c r="D53" s="20">
        <v>2314.2420000000002</v>
      </c>
      <c r="E53" s="20">
        <v>3.8460000000000001</v>
      </c>
      <c r="F53" s="448">
        <v>323.00799999999998</v>
      </c>
      <c r="G53" s="1848"/>
      <c r="H53" s="1837"/>
      <c r="I53" s="305"/>
      <c r="J53" s="305"/>
      <c r="K53" s="306"/>
      <c r="L53" s="177"/>
    </row>
    <row r="54" spans="1:12">
      <c r="A54" s="830" t="s">
        <v>264</v>
      </c>
      <c r="B54" s="831" t="s">
        <v>24</v>
      </c>
      <c r="C54" s="361">
        <f>SUM(C50:C53)</f>
        <v>5684.3359999999993</v>
      </c>
      <c r="D54" s="361">
        <f>SUM(D50:D53)</f>
        <v>4535.6890000000003</v>
      </c>
      <c r="E54" s="361">
        <f>SUM(E50:E53)</f>
        <v>112.97200000000001</v>
      </c>
      <c r="F54" s="1821">
        <f>SUM(F50:F53)</f>
        <v>810.41300000000001</v>
      </c>
      <c r="G54" s="1848"/>
      <c r="H54" s="1837"/>
      <c r="I54" s="305"/>
      <c r="J54" s="305"/>
      <c r="K54" s="307"/>
      <c r="L54" s="177"/>
    </row>
    <row r="55" spans="1:12" ht="18.75">
      <c r="A55" s="577" t="s">
        <v>265</v>
      </c>
      <c r="B55" s="832" t="s">
        <v>186</v>
      </c>
      <c r="C55" s="20">
        <v>20.239999999999998</v>
      </c>
      <c r="D55" s="20">
        <v>14.541</v>
      </c>
      <c r="E55" s="20">
        <v>5.048</v>
      </c>
      <c r="F55" s="448">
        <v>0</v>
      </c>
      <c r="G55" s="1848"/>
      <c r="H55" s="1837"/>
      <c r="I55" s="305"/>
      <c r="J55" s="305"/>
      <c r="K55" s="306"/>
      <c r="L55" s="177"/>
    </row>
    <row r="56" spans="1:12">
      <c r="A56" s="593" t="s">
        <v>266</v>
      </c>
      <c r="B56" s="601" t="s">
        <v>818</v>
      </c>
      <c r="C56" s="20">
        <v>156.434</v>
      </c>
      <c r="D56" s="20">
        <v>146.524</v>
      </c>
      <c r="E56" s="20">
        <v>1.871</v>
      </c>
      <c r="F56" s="448">
        <v>5.0000000000000001E-3</v>
      </c>
      <c r="G56" s="1848"/>
      <c r="H56" s="1837"/>
      <c r="I56" s="305"/>
      <c r="J56" s="305"/>
      <c r="K56" s="306"/>
      <c r="L56" s="177"/>
    </row>
    <row r="57" spans="1:12">
      <c r="A57" s="593" t="s">
        <v>267</v>
      </c>
      <c r="B57" s="833" t="s">
        <v>25</v>
      </c>
      <c r="C57" s="20">
        <v>3.1579999999999999</v>
      </c>
      <c r="D57" s="20">
        <v>2.4940000000000002</v>
      </c>
      <c r="E57" s="20">
        <v>0.52300000000000002</v>
      </c>
      <c r="F57" s="448">
        <v>0</v>
      </c>
      <c r="G57" s="1848"/>
      <c r="H57" s="1837"/>
      <c r="I57" s="305"/>
      <c r="J57" s="305"/>
      <c r="K57" s="306"/>
      <c r="L57" s="177"/>
    </row>
    <row r="58" spans="1:12">
      <c r="A58" s="830" t="s">
        <v>268</v>
      </c>
      <c r="B58" s="591" t="s">
        <v>26</v>
      </c>
      <c r="C58" s="361">
        <f>SUM(C55:C57)</f>
        <v>179.83199999999999</v>
      </c>
      <c r="D58" s="361">
        <f>SUM(D55:D57)</f>
        <v>163.559</v>
      </c>
      <c r="E58" s="361">
        <f>SUM(E55:E57)</f>
        <v>7.4420000000000002</v>
      </c>
      <c r="F58" s="1821">
        <f>SUM(F55:F57)</f>
        <v>5.0000000000000001E-3</v>
      </c>
      <c r="G58" s="1848"/>
      <c r="H58" s="1837"/>
      <c r="I58" s="305"/>
      <c r="J58" s="305"/>
      <c r="K58" s="307"/>
      <c r="L58" s="177"/>
    </row>
    <row r="59" spans="1:12" ht="18.75">
      <c r="A59" s="577" t="s">
        <v>269</v>
      </c>
      <c r="B59" s="592" t="s">
        <v>187</v>
      </c>
      <c r="C59" s="20">
        <v>93.855000000000004</v>
      </c>
      <c r="D59" s="20">
        <v>58.720999999999997</v>
      </c>
      <c r="E59" s="20">
        <v>7.157</v>
      </c>
      <c r="F59" s="448">
        <v>10.598000000000001</v>
      </c>
      <c r="G59" s="1848"/>
      <c r="H59" s="1837"/>
      <c r="I59" s="305"/>
      <c r="J59" s="305"/>
      <c r="K59" s="306"/>
      <c r="L59" s="177"/>
    </row>
    <row r="60" spans="1:12">
      <c r="A60" s="593" t="s">
        <v>270</v>
      </c>
      <c r="B60" s="562" t="s">
        <v>27</v>
      </c>
      <c r="C60" s="20">
        <v>36.911000000000001</v>
      </c>
      <c r="D60" s="20">
        <v>34.893999999999998</v>
      </c>
      <c r="E60" s="20">
        <v>0.95899999999999996</v>
      </c>
      <c r="F60" s="448">
        <v>0.35199999999999998</v>
      </c>
      <c r="G60" s="1848"/>
      <c r="H60" s="1837"/>
      <c r="I60" s="305"/>
      <c r="J60" s="305"/>
      <c r="K60" s="306"/>
      <c r="L60" s="177"/>
    </row>
    <row r="61" spans="1:12">
      <c r="A61" s="593" t="s">
        <v>271</v>
      </c>
      <c r="B61" s="562" t="s">
        <v>28</v>
      </c>
      <c r="C61" s="20">
        <v>10108.763000000001</v>
      </c>
      <c r="D61" s="20">
        <v>8486.4369999999999</v>
      </c>
      <c r="E61" s="20">
        <v>257.12400000000002</v>
      </c>
      <c r="F61" s="448">
        <v>414.702</v>
      </c>
      <c r="G61" s="1848"/>
      <c r="H61" s="1837"/>
      <c r="I61" s="305"/>
      <c r="J61" s="305"/>
      <c r="K61" s="306"/>
      <c r="L61" s="177"/>
    </row>
    <row r="62" spans="1:12">
      <c r="A62" s="593" t="s">
        <v>272</v>
      </c>
      <c r="B62" s="562" t="s">
        <v>29</v>
      </c>
      <c r="C62" s="20">
        <v>427.56900000000002</v>
      </c>
      <c r="D62" s="20">
        <v>268.90300000000002</v>
      </c>
      <c r="E62" s="20">
        <v>125.776</v>
      </c>
      <c r="F62" s="448">
        <v>5.9539999999999997</v>
      </c>
      <c r="G62" s="1848"/>
      <c r="H62" s="1837"/>
      <c r="I62" s="305"/>
      <c r="J62" s="305"/>
      <c r="K62" s="306"/>
      <c r="L62" s="177"/>
    </row>
    <row r="63" spans="1:12">
      <c r="A63" s="830" t="s">
        <v>273</v>
      </c>
      <c r="B63" s="591" t="s">
        <v>188</v>
      </c>
      <c r="C63" s="361">
        <f>SUM(C59:C62)</f>
        <v>10667.098</v>
      </c>
      <c r="D63" s="361">
        <f>SUM(D59:D62)</f>
        <v>8848.9549999999999</v>
      </c>
      <c r="E63" s="361">
        <f>SUM(E59:E62)</f>
        <v>391.01600000000002</v>
      </c>
      <c r="F63" s="1821">
        <f>SUM(F59:F62)</f>
        <v>431.60599999999999</v>
      </c>
      <c r="G63" s="1848"/>
      <c r="H63" s="1837"/>
      <c r="I63" s="305"/>
      <c r="J63" s="305"/>
      <c r="K63" s="307"/>
      <c r="L63" s="177"/>
    </row>
    <row r="64" spans="1:12">
      <c r="A64" s="827" t="s">
        <v>274</v>
      </c>
      <c r="B64" s="589" t="s">
        <v>30</v>
      </c>
      <c r="C64" s="361">
        <f>SUM(C54,C58,C63)</f>
        <v>16531.266</v>
      </c>
      <c r="D64" s="361">
        <f>SUM(D54,D58,D63)</f>
        <v>13548.203000000001</v>
      </c>
      <c r="E64" s="361">
        <f>SUM(E54,E58,E63)</f>
        <v>511.43000000000006</v>
      </c>
      <c r="F64" s="1825">
        <f>SUM(F54,F58,F63)</f>
        <v>1242.0239999999999</v>
      </c>
      <c r="G64" s="1848"/>
      <c r="H64" s="1837"/>
      <c r="I64" s="305"/>
      <c r="J64" s="305"/>
      <c r="K64" s="306"/>
      <c r="L64" s="177"/>
    </row>
    <row r="65" spans="1:13" ht="13.5" thickBot="1">
      <c r="A65" s="834" t="s">
        <v>277</v>
      </c>
      <c r="B65" s="835" t="s">
        <v>32</v>
      </c>
      <c r="C65" s="245">
        <v>5629.2030000000004</v>
      </c>
      <c r="D65" s="245">
        <v>2150.433</v>
      </c>
      <c r="E65" s="245">
        <v>2241.9470000000001</v>
      </c>
      <c r="F65" s="1826">
        <v>750.495</v>
      </c>
      <c r="G65" s="1848"/>
      <c r="H65" s="1837"/>
      <c r="I65" s="305"/>
      <c r="J65" s="305"/>
      <c r="K65" s="306"/>
      <c r="L65" s="177"/>
    </row>
    <row r="66" spans="1:13" ht="27" customHeight="1" thickBot="1">
      <c r="A66" s="836" t="s">
        <v>278</v>
      </c>
      <c r="B66" s="668" t="s">
        <v>33</v>
      </c>
      <c r="C66" s="365">
        <f>SUM(C49,C64,C65)</f>
        <v>83368.024000000005</v>
      </c>
      <c r="D66" s="365">
        <f>SUM(D49,D64,D65)</f>
        <v>62817.420999999995</v>
      </c>
      <c r="E66" s="365">
        <f>SUM(E49,E64,E65)</f>
        <v>7316.8970000000008</v>
      </c>
      <c r="F66" s="1827">
        <f>SUM(F49,F64,F65)</f>
        <v>7992.6379999999999</v>
      </c>
      <c r="G66" s="1848"/>
      <c r="H66" s="1837"/>
      <c r="I66" s="1200"/>
      <c r="J66" s="1436"/>
      <c r="K66" s="1209"/>
      <c r="L66" s="177"/>
    </row>
    <row r="67" spans="1:13" ht="10.5" customHeight="1">
      <c r="A67" s="296"/>
      <c r="B67" s="18"/>
      <c r="C67" s="71"/>
      <c r="D67" s="71"/>
      <c r="E67" s="71"/>
      <c r="F67" s="71"/>
      <c r="G67" s="2196"/>
      <c r="H67" s="2196"/>
      <c r="I67" s="2196"/>
      <c r="J67" s="2196"/>
      <c r="K67" s="2196"/>
      <c r="L67" s="4"/>
    </row>
    <row r="68" spans="1:13" ht="25.5" customHeight="1">
      <c r="A68" s="296"/>
      <c r="B68" s="18"/>
      <c r="C68" s="71"/>
      <c r="D68" s="71"/>
      <c r="E68" s="71"/>
      <c r="F68" s="71"/>
      <c r="G68" s="2196"/>
      <c r="H68" s="2196"/>
      <c r="I68" s="2196"/>
      <c r="J68" s="2196"/>
      <c r="K68" s="2196"/>
      <c r="L68" s="1839"/>
    </row>
    <row r="69" spans="1:13" ht="31.5" customHeight="1">
      <c r="A69" s="296"/>
      <c r="B69" s="18"/>
      <c r="C69" s="71"/>
      <c r="D69" s="71"/>
      <c r="E69" s="71"/>
      <c r="F69" s="71"/>
      <c r="G69" s="2196"/>
      <c r="H69" s="2196"/>
      <c r="I69" s="2196"/>
      <c r="J69" s="2196"/>
      <c r="K69" s="2196"/>
      <c r="L69" s="1839"/>
      <c r="M69" s="1221"/>
    </row>
    <row r="70" spans="1:13" ht="28.5" customHeight="1">
      <c r="A70" s="2511" t="s">
        <v>1096</v>
      </c>
      <c r="B70" s="2512"/>
      <c r="C70" s="2513"/>
      <c r="D70" s="2513"/>
      <c r="E70" s="2513"/>
      <c r="F70" s="2513"/>
      <c r="G70" s="71"/>
      <c r="H70" s="1283"/>
      <c r="I70" s="1814"/>
      <c r="J70" s="1814"/>
      <c r="K70" s="1814"/>
      <c r="L70" s="1814"/>
      <c r="M70" s="1221"/>
    </row>
    <row r="71" spans="1:13">
      <c r="A71" s="1700" t="s">
        <v>969</v>
      </c>
      <c r="B71" s="1340"/>
      <c r="C71" s="140"/>
      <c r="D71" s="68"/>
      <c r="F71" s="69"/>
      <c r="G71" s="70"/>
      <c r="H71" s="236"/>
      <c r="I71" s="1814"/>
      <c r="J71" s="1814"/>
      <c r="K71" s="1814"/>
      <c r="L71" s="1814"/>
      <c r="M71" s="1221"/>
    </row>
    <row r="72" spans="1:13" ht="32.25" customHeight="1" thickBot="1">
      <c r="A72" s="1696" t="s">
        <v>1006</v>
      </c>
      <c r="B72" s="87"/>
      <c r="C72" s="1307"/>
      <c r="D72" s="39"/>
      <c r="E72" s="1219"/>
      <c r="F72" s="1220"/>
      <c r="G72" s="1220"/>
      <c r="H72" s="1220"/>
      <c r="I72" s="1838"/>
      <c r="J72" s="1838"/>
      <c r="K72" s="1838"/>
      <c r="L72" s="1838"/>
      <c r="M72" s="1221"/>
    </row>
    <row r="73" spans="1:13" ht="27">
      <c r="A73" s="1698" t="s">
        <v>967</v>
      </c>
      <c r="B73" s="2131" t="s">
        <v>968</v>
      </c>
      <c r="C73" s="1720"/>
      <c r="D73" s="144"/>
      <c r="E73" s="1220"/>
      <c r="F73" s="1220"/>
      <c r="G73" s="1867"/>
      <c r="H73" s="1220"/>
      <c r="I73" s="1867"/>
      <c r="J73" s="282"/>
      <c r="K73" s="282"/>
      <c r="L73" s="282"/>
      <c r="M73" s="1221"/>
    </row>
    <row r="74" spans="1:13" ht="15" customHeight="1">
      <c r="A74" s="1907" t="s">
        <v>417</v>
      </c>
      <c r="B74" s="2260" t="s">
        <v>1139</v>
      </c>
      <c r="C74" s="219">
        <v>3976.0949999999998</v>
      </c>
      <c r="D74" s="1879"/>
      <c r="E74" s="1220"/>
      <c r="F74" s="1220"/>
      <c r="G74" s="1840"/>
      <c r="H74" s="172"/>
      <c r="I74" s="172"/>
      <c r="J74" s="172"/>
      <c r="K74" s="172"/>
      <c r="L74" s="172"/>
      <c r="M74" s="1221"/>
    </row>
    <row r="75" spans="1:13" ht="13.5" thickBot="1">
      <c r="A75" s="1908">
        <v>705</v>
      </c>
      <c r="B75" s="2261" t="s">
        <v>1130</v>
      </c>
      <c r="C75" s="223">
        <v>11904.715</v>
      </c>
      <c r="D75" s="1879"/>
      <c r="E75" s="1220"/>
      <c r="F75" s="1220"/>
      <c r="G75" s="172"/>
      <c r="H75" s="281"/>
      <c r="I75" s="172"/>
      <c r="J75" s="172"/>
      <c r="K75" s="172"/>
      <c r="L75" s="172"/>
      <c r="M75" s="1221"/>
    </row>
    <row r="76" spans="1:13" ht="13.5" thickBot="1">
      <c r="A76" s="1342"/>
      <c r="B76" s="1341"/>
      <c r="C76" s="146"/>
      <c r="D76" s="1454"/>
      <c r="E76" s="1220"/>
      <c r="F76" s="1220"/>
      <c r="G76" s="1220"/>
      <c r="H76" s="1220"/>
      <c r="I76" s="1868"/>
      <c r="J76" s="1868"/>
      <c r="K76" s="1868"/>
      <c r="L76" s="1868"/>
      <c r="M76" s="1221"/>
    </row>
    <row r="77" spans="1:13" ht="26.25" customHeight="1">
      <c r="A77" s="1699" t="s">
        <v>471</v>
      </c>
      <c r="B77" s="2262" t="s">
        <v>1114</v>
      </c>
      <c r="C77" s="1869"/>
      <c r="D77" s="1454"/>
      <c r="E77" s="1220"/>
      <c r="F77" s="1220"/>
      <c r="G77" s="2196"/>
      <c r="H77" s="2196"/>
      <c r="I77" s="2196"/>
      <c r="J77" s="2196"/>
      <c r="K77" s="1868"/>
      <c r="L77" s="1868"/>
      <c r="M77" s="1221"/>
    </row>
    <row r="78" spans="1:13" ht="15" customHeight="1">
      <c r="A78" s="1909">
        <v>710</v>
      </c>
      <c r="B78" s="1134" t="s">
        <v>1010</v>
      </c>
      <c r="C78" s="219">
        <v>6549.0590000000002</v>
      </c>
      <c r="D78" s="1879"/>
      <c r="E78" s="1220"/>
      <c r="F78" s="1220"/>
      <c r="G78" s="2196"/>
      <c r="H78" s="2196"/>
      <c r="I78" s="2196"/>
      <c r="J78" s="2196"/>
      <c r="K78" s="1868"/>
      <c r="L78" s="1868"/>
      <c r="M78" s="1221"/>
    </row>
    <row r="79" spans="1:13" ht="15" customHeight="1">
      <c r="A79" s="1889" t="s">
        <v>970</v>
      </c>
      <c r="B79" s="1128" t="s">
        <v>997</v>
      </c>
      <c r="C79" s="219">
        <v>2191.9830000000002</v>
      </c>
      <c r="D79" s="1879"/>
      <c r="E79" s="1220"/>
      <c r="F79" s="1220"/>
      <c r="G79" s="2196"/>
      <c r="H79" s="2196"/>
      <c r="I79" s="2196"/>
      <c r="J79" s="2196"/>
      <c r="K79" s="1868"/>
      <c r="L79" s="1868"/>
      <c r="M79" s="1221"/>
    </row>
    <row r="80" spans="1:13" ht="15" customHeight="1">
      <c r="A80" s="1889" t="s">
        <v>971</v>
      </c>
      <c r="B80" s="1128" t="s">
        <v>998</v>
      </c>
      <c r="C80" s="219">
        <v>48.789000000000001</v>
      </c>
      <c r="D80" s="1879"/>
      <c r="E80" s="1220"/>
      <c r="F80" s="1220"/>
      <c r="G80" s="2196"/>
      <c r="H80" s="2196"/>
      <c r="I80" s="2196"/>
      <c r="J80" s="2196"/>
      <c r="K80" s="1868"/>
      <c r="L80" s="1868"/>
      <c r="M80" s="1221"/>
    </row>
    <row r="81" spans="1:13" ht="15" customHeight="1">
      <c r="A81" s="1889" t="s">
        <v>972</v>
      </c>
      <c r="B81" s="1128" t="s">
        <v>1110</v>
      </c>
      <c r="C81" s="219">
        <v>3350.643</v>
      </c>
      <c r="D81" s="1879"/>
      <c r="E81" s="1220"/>
      <c r="F81" s="1220"/>
      <c r="G81" s="2196"/>
      <c r="H81" s="2196"/>
      <c r="I81" s="2196"/>
      <c r="J81" s="2196"/>
      <c r="K81" s="1868"/>
      <c r="L81" s="1868"/>
      <c r="M81" s="1221"/>
    </row>
    <row r="82" spans="1:13" ht="15" customHeight="1" thickBot="1">
      <c r="A82" s="2056" t="s">
        <v>976</v>
      </c>
      <c r="B82" s="1658" t="s">
        <v>1111</v>
      </c>
      <c r="C82" s="1865">
        <f>C78-C79-C80-C81</f>
        <v>957.64400000000023</v>
      </c>
      <c r="D82" s="1648"/>
      <c r="E82" s="1220"/>
      <c r="F82" s="1220"/>
      <c r="G82" s="2196"/>
      <c r="H82" s="2196"/>
      <c r="I82" s="2196"/>
      <c r="J82" s="2196"/>
      <c r="K82" s="1868"/>
      <c r="L82" s="1868"/>
      <c r="M82" s="1221"/>
    </row>
    <row r="83" spans="1:13">
      <c r="A83" s="1342"/>
      <c r="B83" s="1341"/>
      <c r="C83" s="146"/>
      <c r="D83" s="1454"/>
      <c r="E83" s="1220"/>
      <c r="F83" s="1220"/>
      <c r="G83" s="2196"/>
      <c r="H83" s="2196"/>
      <c r="I83" s="2196"/>
      <c r="J83" s="2196"/>
      <c r="K83" s="1868"/>
      <c r="L83" s="1868"/>
      <c r="M83" s="1221"/>
    </row>
    <row r="84" spans="1:13" ht="19.5" customHeight="1">
      <c r="A84" s="2511" t="s">
        <v>1097</v>
      </c>
      <c r="B84" s="2514"/>
      <c r="C84" s="2515"/>
      <c r="D84" s="2515"/>
      <c r="E84" s="2515"/>
      <c r="F84" s="2515"/>
      <c r="G84" s="2515"/>
      <c r="H84" s="2515"/>
      <c r="I84" s="2515"/>
      <c r="J84" s="2515"/>
      <c r="K84" s="2515"/>
      <c r="L84" s="1868"/>
      <c r="M84" s="1221"/>
    </row>
    <row r="85" spans="1:13">
      <c r="A85" s="2515"/>
      <c r="B85" s="2515"/>
      <c r="C85" s="2515"/>
      <c r="D85" s="2515"/>
      <c r="E85" s="2515"/>
      <c r="F85" s="2515"/>
      <c r="G85" s="2515"/>
      <c r="H85" s="2515"/>
      <c r="I85" s="2515"/>
      <c r="J85" s="2515"/>
      <c r="K85" s="2515"/>
      <c r="L85" s="1868"/>
      <c r="M85" s="1221"/>
    </row>
    <row r="86" spans="1:13">
      <c r="A86" s="1709" t="s">
        <v>1007</v>
      </c>
      <c r="B86" s="1714"/>
      <c r="C86" s="1715"/>
      <c r="D86" s="1716"/>
      <c r="E86" s="1716"/>
      <c r="F86" s="1706"/>
      <c r="G86" s="1717"/>
      <c r="H86" s="1718"/>
      <c r="I86" s="1719"/>
      <c r="J86" s="1219"/>
      <c r="K86" s="1219"/>
      <c r="L86" s="1219"/>
      <c r="M86" s="1221"/>
    </row>
    <row r="87" spans="1:13">
      <c r="A87" s="1709" t="s">
        <v>973</v>
      </c>
      <c r="B87" s="1714"/>
      <c r="C87" s="1715"/>
      <c r="D87" s="1716"/>
      <c r="E87" s="1716"/>
      <c r="F87" s="1706"/>
      <c r="G87" s="1717"/>
      <c r="H87" s="1718"/>
      <c r="I87" s="1719"/>
      <c r="J87" s="1219"/>
      <c r="K87" s="1219"/>
      <c r="L87" s="1219"/>
      <c r="M87" s="1221"/>
    </row>
    <row r="88" spans="1:13" ht="21.75" customHeight="1" thickBot="1">
      <c r="A88" s="1709" t="s">
        <v>1210</v>
      </c>
      <c r="B88" s="1714"/>
      <c r="C88" s="1715"/>
      <c r="D88" s="1716"/>
      <c r="E88" s="1716"/>
      <c r="F88" s="1706"/>
      <c r="G88" s="1717"/>
      <c r="H88" s="1718"/>
      <c r="I88" s="1719"/>
      <c r="J88" s="1219"/>
      <c r="K88" s="1219"/>
      <c r="L88" s="1219"/>
      <c r="M88" s="1221"/>
    </row>
    <row r="89" spans="1:13" ht="21.75" customHeight="1">
      <c r="A89" s="1702" t="s">
        <v>471</v>
      </c>
      <c r="B89" s="1708" t="s">
        <v>974</v>
      </c>
      <c r="C89" s="1891" t="s">
        <v>975</v>
      </c>
      <c r="D89" s="1892" t="s">
        <v>975</v>
      </c>
      <c r="E89" s="1220"/>
      <c r="F89" s="1220"/>
      <c r="G89" s="1867"/>
      <c r="H89" s="1220"/>
      <c r="I89" s="1867"/>
      <c r="J89" s="282"/>
      <c r="K89" s="282"/>
      <c r="L89" s="282"/>
      <c r="M89" s="1221"/>
    </row>
    <row r="90" spans="1:13">
      <c r="A90" s="1701"/>
      <c r="B90" s="1710"/>
      <c r="C90" s="1965" t="s">
        <v>886</v>
      </c>
      <c r="D90" s="1893" t="s">
        <v>886</v>
      </c>
      <c r="E90" s="1220"/>
      <c r="F90" s="1220"/>
      <c r="G90" s="1841"/>
      <c r="H90" s="172"/>
      <c r="I90" s="172"/>
      <c r="J90" s="172"/>
      <c r="K90" s="172"/>
      <c r="L90" s="172"/>
      <c r="M90" s="1221"/>
    </row>
    <row r="91" spans="1:13">
      <c r="A91" s="1701"/>
      <c r="B91" s="1703"/>
      <c r="C91" s="1966" t="s">
        <v>1031</v>
      </c>
      <c r="D91" s="1894" t="s">
        <v>808</v>
      </c>
      <c r="E91" s="1220"/>
      <c r="F91" s="1220"/>
      <c r="G91" s="172"/>
      <c r="H91" s="172"/>
      <c r="I91" s="172"/>
      <c r="J91" s="172"/>
      <c r="K91" s="172"/>
      <c r="L91" s="172"/>
      <c r="M91" s="1221"/>
    </row>
    <row r="92" spans="1:13" ht="39.75" customHeight="1">
      <c r="A92" s="1701"/>
      <c r="B92" s="1710"/>
      <c r="C92" s="1967" t="s">
        <v>1032</v>
      </c>
      <c r="D92" s="1953" t="s">
        <v>986</v>
      </c>
      <c r="E92" s="1220"/>
      <c r="F92" s="1220"/>
      <c r="G92" s="1220"/>
      <c r="H92" s="1220"/>
      <c r="I92" s="1868"/>
      <c r="J92" s="1868"/>
      <c r="K92" s="1868"/>
      <c r="L92" s="1868"/>
      <c r="M92" s="1221"/>
    </row>
    <row r="93" spans="1:13">
      <c r="A93" s="1701"/>
      <c r="B93" s="1704"/>
      <c r="C93" s="1895"/>
      <c r="D93" s="1896"/>
      <c r="E93" s="1880"/>
      <c r="F93" s="1220"/>
      <c r="G93" s="1220"/>
      <c r="H93" s="1220"/>
      <c r="I93" s="1868"/>
      <c r="J93" s="1868"/>
      <c r="K93" s="1868"/>
      <c r="L93" s="1868"/>
      <c r="M93" s="1221"/>
    </row>
    <row r="94" spans="1:13">
      <c r="A94" s="1909" t="s">
        <v>978</v>
      </c>
      <c r="B94" s="2263" t="s">
        <v>977</v>
      </c>
      <c r="C94" s="1711">
        <v>32047.037</v>
      </c>
      <c r="D94" s="1697">
        <v>754.58600000000001</v>
      </c>
      <c r="E94" s="1968"/>
      <c r="F94" s="1220"/>
      <c r="G94" s="1220"/>
      <c r="H94" s="1220"/>
      <c r="I94" s="1868"/>
      <c r="J94" s="1868"/>
      <c r="K94" s="1868"/>
      <c r="L94" s="1868"/>
      <c r="M94" s="1221"/>
    </row>
    <row r="95" spans="1:13">
      <c r="A95" s="1909" t="s">
        <v>980</v>
      </c>
      <c r="B95" s="2263" t="s">
        <v>979</v>
      </c>
      <c r="C95" s="1711">
        <v>19108.142</v>
      </c>
      <c r="D95" s="1697">
        <v>295.50900000000001</v>
      </c>
      <c r="E95" s="1968"/>
      <c r="F95" s="1220"/>
      <c r="G95" s="1220"/>
      <c r="H95" s="1220"/>
      <c r="I95" s="1868"/>
      <c r="J95" s="1868"/>
      <c r="K95" s="1868"/>
      <c r="L95" s="1868"/>
      <c r="M95" s="1221"/>
    </row>
    <row r="96" spans="1:13">
      <c r="A96" s="1909" t="s">
        <v>982</v>
      </c>
      <c r="B96" s="2263" t="s">
        <v>981</v>
      </c>
      <c r="C96" s="1711">
        <v>1944.1369999999999</v>
      </c>
      <c r="D96" s="1697">
        <v>22.513999999999999</v>
      </c>
      <c r="E96" s="1968"/>
      <c r="F96" s="1220"/>
      <c r="G96" s="2196"/>
      <c r="H96" s="2196"/>
      <c r="I96" s="2196"/>
      <c r="J96" s="2196"/>
      <c r="K96" s="1868"/>
      <c r="L96" s="1868"/>
      <c r="M96" s="1221"/>
    </row>
    <row r="97" spans="1:13" ht="13.5" thickBot="1">
      <c r="A97" s="1910" t="s">
        <v>984</v>
      </c>
      <c r="B97" s="1710" t="s">
        <v>983</v>
      </c>
      <c r="C97" s="1712">
        <v>4114.1719999999996</v>
      </c>
      <c r="D97" s="1713">
        <v>104.22499999999999</v>
      </c>
      <c r="E97" s="1968"/>
      <c r="F97" s="1220"/>
      <c r="G97" s="2196"/>
      <c r="H97" s="2196"/>
      <c r="I97" s="2196"/>
      <c r="J97" s="2196"/>
      <c r="K97" s="1668"/>
      <c r="L97" s="1668"/>
      <c r="M97" s="1221"/>
    </row>
    <row r="98" spans="1:13" ht="13.5" thickBot="1">
      <c r="A98" s="1912" t="s">
        <v>1002</v>
      </c>
      <c r="B98" s="1890" t="s">
        <v>985</v>
      </c>
      <c r="C98" s="1707">
        <f>SUM(C94:C97)</f>
        <v>57213.488000000005</v>
      </c>
      <c r="D98" s="1705">
        <f>SUM(D94:D97)</f>
        <v>1176.8339999999998</v>
      </c>
      <c r="E98" s="1969" t="str">
        <f>IF(C98&gt;0.2*SUM(BR!E9+BR!E12),"Kontrollera invest.utgifterna.","")</f>
        <v/>
      </c>
      <c r="F98" s="1220"/>
      <c r="G98" s="2196"/>
      <c r="H98" s="2196"/>
      <c r="I98" s="2196"/>
      <c r="J98" s="2196"/>
      <c r="K98" s="1668"/>
      <c r="L98" s="1668"/>
      <c r="M98" s="1221"/>
    </row>
    <row r="99" spans="1:13">
      <c r="A99" s="1342"/>
      <c r="B99" s="1341"/>
      <c r="C99" s="146"/>
      <c r="D99" s="66"/>
      <c r="E99" s="1220"/>
      <c r="F99" s="1220"/>
      <c r="G99" s="1866" t="s">
        <v>453</v>
      </c>
      <c r="H99" s="1220"/>
      <c r="I99" s="1868"/>
      <c r="J99" s="1868"/>
      <c r="K99" s="1868"/>
      <c r="L99" s="1868"/>
      <c r="M99" s="1221"/>
    </row>
    <row r="100" spans="1:13">
      <c r="A100" s="1342"/>
      <c r="B100" s="1341"/>
      <c r="C100" s="146"/>
      <c r="D100" s="66"/>
      <c r="E100" s="1220"/>
      <c r="F100" s="1220"/>
      <c r="G100" s="1220"/>
      <c r="H100" s="1220"/>
      <c r="I100" s="1868"/>
      <c r="J100" s="1868"/>
      <c r="K100" s="1868"/>
      <c r="L100" s="1868"/>
      <c r="M100" s="1221"/>
    </row>
    <row r="101" spans="1:13">
      <c r="A101" s="1342"/>
      <c r="B101" s="1341"/>
      <c r="C101" s="146"/>
      <c r="D101" s="66"/>
      <c r="E101" s="1220"/>
      <c r="F101" s="1220"/>
      <c r="G101" s="1220"/>
      <c r="H101" s="1220"/>
      <c r="I101" s="1868"/>
      <c r="J101" s="1868"/>
      <c r="K101" s="1868"/>
      <c r="L101" s="1868"/>
      <c r="M101" s="1221"/>
    </row>
    <row r="102" spans="1:13">
      <c r="A102" s="1342"/>
      <c r="B102" s="1341"/>
      <c r="C102" s="146"/>
      <c r="D102" s="66"/>
      <c r="E102" s="1220"/>
      <c r="F102" s="1220"/>
      <c r="G102" s="1220"/>
      <c r="H102" s="1220"/>
      <c r="I102" s="1868"/>
      <c r="J102" s="1868"/>
      <c r="K102" s="1868"/>
      <c r="L102" s="1868"/>
      <c r="M102" s="1221"/>
    </row>
    <row r="103" spans="1:13">
      <c r="A103" s="1342"/>
      <c r="B103" s="1341"/>
      <c r="C103" s="146"/>
      <c r="D103" s="66"/>
      <c r="E103" s="1220"/>
      <c r="F103" s="1220"/>
      <c r="G103" s="1220"/>
      <c r="H103" s="1220"/>
      <c r="I103" s="1868"/>
      <c r="J103" s="1868"/>
      <c r="K103" s="1868"/>
      <c r="L103" s="1868"/>
      <c r="M103" s="1221"/>
    </row>
    <row r="104" spans="1:13">
      <c r="A104" s="1342"/>
      <c r="B104" s="1341"/>
      <c r="C104" s="146"/>
      <c r="D104" s="66"/>
      <c r="E104" s="1220"/>
      <c r="F104" s="1220"/>
      <c r="G104" s="1220"/>
      <c r="H104" s="1220"/>
      <c r="I104" s="1221"/>
      <c r="J104" s="1221"/>
      <c r="K104" s="1221"/>
      <c r="L104" s="1221"/>
      <c r="M104" s="1221"/>
    </row>
    <row r="105" spans="1:13" ht="14.25" hidden="1" customHeight="1">
      <c r="A105" s="1342"/>
      <c r="B105" s="1341"/>
      <c r="C105" s="146"/>
      <c r="D105" s="66"/>
      <c r="E105" s="1220"/>
      <c r="F105" s="1220"/>
      <c r="G105" s="1220"/>
      <c r="H105" s="1220"/>
      <c r="J105" s="168"/>
      <c r="K105" s="168"/>
    </row>
    <row r="106" spans="1:13" ht="14.25" hidden="1" customHeight="1">
      <c r="A106" s="1342"/>
      <c r="B106" s="1341"/>
      <c r="C106" s="146"/>
      <c r="D106" s="66"/>
      <c r="E106" s="1220"/>
      <c r="F106" s="1220"/>
      <c r="G106" s="1220"/>
      <c r="H106" s="1220"/>
      <c r="I106" s="144"/>
      <c r="J106" s="144"/>
      <c r="K106" s="145"/>
    </row>
    <row r="107" spans="1:13" ht="14.25" hidden="1" customHeight="1">
      <c r="A107" s="4"/>
      <c r="B107" s="4"/>
      <c r="C107" s="4"/>
      <c r="D107" s="4"/>
      <c r="E107" s="4"/>
      <c r="F107" s="4"/>
      <c r="G107" s="4"/>
      <c r="H107" s="4"/>
      <c r="J107" s="143"/>
      <c r="K107" s="145"/>
    </row>
    <row r="108" spans="1:13" ht="14.25" hidden="1" customHeight="1">
      <c r="A108" s="168"/>
      <c r="B108" s="168"/>
      <c r="C108" s="168"/>
      <c r="D108" s="168"/>
      <c r="E108" s="168"/>
      <c r="F108" s="168"/>
      <c r="G108" s="168"/>
      <c r="H108" s="168"/>
      <c r="I108" s="144"/>
      <c r="J108" s="144"/>
      <c r="K108" s="145"/>
    </row>
    <row r="109" spans="1:13" ht="14.25" hidden="1" customHeight="1">
      <c r="A109" s="237"/>
      <c r="B109" s="143"/>
      <c r="C109" s="144"/>
      <c r="D109" s="144"/>
      <c r="E109" s="144"/>
      <c r="F109" s="144"/>
      <c r="G109" s="144"/>
      <c r="H109" s="144"/>
      <c r="I109" s="144"/>
      <c r="J109" s="144"/>
      <c r="K109" s="145"/>
    </row>
    <row r="110" spans="1:13" ht="14.25" hidden="1" customHeight="1">
      <c r="A110" s="237"/>
      <c r="B110" s="143"/>
      <c r="C110" s="144"/>
      <c r="D110" s="144"/>
      <c r="E110" s="144"/>
      <c r="F110" s="144"/>
      <c r="G110" s="144"/>
      <c r="H110" s="144"/>
      <c r="I110" s="144"/>
      <c r="J110" s="144"/>
      <c r="K110" s="145"/>
    </row>
    <row r="111" spans="1:13" ht="14.25" hidden="1" customHeight="1">
      <c r="A111" s="237"/>
      <c r="B111" s="143"/>
      <c r="C111" s="144"/>
      <c r="D111" s="144"/>
      <c r="E111" s="144"/>
      <c r="F111" s="144"/>
      <c r="G111" s="144"/>
      <c r="H111" s="144"/>
      <c r="J111" s="143"/>
      <c r="K111" s="145"/>
    </row>
    <row r="112" spans="1:13" ht="14.25" hidden="1" customHeight="1">
      <c r="A112" s="237"/>
      <c r="B112" s="143"/>
      <c r="C112" s="144"/>
      <c r="D112" s="144"/>
      <c r="E112" s="144"/>
      <c r="F112" s="144"/>
      <c r="G112" s="144"/>
      <c r="H112" s="144"/>
      <c r="J112" s="168"/>
      <c r="K112" s="168"/>
    </row>
    <row r="113" spans="1:11" ht="14.25" hidden="1" customHeight="1">
      <c r="A113" s="145"/>
      <c r="B113" s="143"/>
      <c r="C113" s="143"/>
      <c r="D113" s="143"/>
      <c r="E113" s="143"/>
      <c r="F113" s="143"/>
      <c r="G113" s="144"/>
      <c r="H113" s="144"/>
      <c r="J113" s="168"/>
      <c r="K113" s="168"/>
    </row>
    <row r="114" spans="1:11" ht="14.25" hidden="1" customHeight="1">
      <c r="A114" s="143"/>
      <c r="B114" s="143"/>
      <c r="C114" s="143"/>
      <c r="D114" s="143"/>
      <c r="E114" s="143"/>
      <c r="F114" s="143"/>
      <c r="G114" s="143"/>
      <c r="H114" s="143"/>
      <c r="J114" s="168"/>
      <c r="K114" s="168"/>
    </row>
    <row r="115" spans="1:11">
      <c r="A115" s="168"/>
      <c r="B115" s="168"/>
      <c r="C115" s="168"/>
      <c r="D115" s="168"/>
      <c r="E115" s="168"/>
      <c r="F115" s="168"/>
      <c r="G115" s="168"/>
      <c r="H115" s="168"/>
    </row>
    <row r="116" spans="1:11">
      <c r="A116" s="168"/>
      <c r="B116" s="168"/>
      <c r="C116" s="168"/>
      <c r="D116" s="168"/>
      <c r="E116" s="168"/>
      <c r="F116" s="168"/>
      <c r="G116" s="168"/>
      <c r="H116" s="168"/>
    </row>
    <row r="117" spans="1:11">
      <c r="A117" s="168"/>
      <c r="B117" s="168"/>
      <c r="C117" s="168"/>
      <c r="D117" s="168"/>
      <c r="E117" s="168"/>
      <c r="F117" s="168"/>
      <c r="G117" s="168"/>
      <c r="H117" s="168"/>
    </row>
    <row r="118" spans="1:11"/>
    <row r="119" spans="1:11"/>
  </sheetData>
  <sheetProtection algorithmName="SHA-512" hashValue="KnAlRKbLpm+fEsPSbay96G2CfZK1w1oF+HWsCUslGWEpLzVHiVWHErQhm2xH9m9JMOjc4f8aPrVTqft+YzguKQ==" saltValue="pOtXe7T7xGknjY5X8J68qA==" spinCount="100000" sheet="1" objects="1" scenarios="1"/>
  <customSheetViews>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1"/>
      <headerFooter alignWithMargins="0">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3"/>
      <headerFooter>
        <oddHeader>&amp;L&amp;8Statistiska Centralbyrå
Offentlig ekonomi&amp;R&amp;P</oddHeader>
      </headerFooter>
    </customSheetView>
  </customSheetViews>
  <mergeCells count="6">
    <mergeCell ref="E4:E5"/>
    <mergeCell ref="D4:D5"/>
    <mergeCell ref="C4:C5"/>
    <mergeCell ref="A70:F70"/>
    <mergeCell ref="A84:K85"/>
    <mergeCell ref="J12:M15"/>
  </mergeCells>
  <phoneticPr fontId="88" type="noConversion"/>
  <conditionalFormatting sqref="C74:C77 C34:F35 C37:F39 C42:F46 C48:F48 C50:F53 C55:F57 C59:F62 C65:F65 C86:C106 D98 C83 C25:H25 H65 H59:H62 H55:H57 H50:H53 H48 H42:H46 H37:H39 H34:H35 C26:F32 H26:H32 G26:G65">
    <cfRule type="cellIs" dxfId="106" priority="10" stopIfTrue="1" operator="lessThan">
      <formula>-500</formula>
    </cfRule>
  </conditionalFormatting>
  <conditionalFormatting sqref="D8:F8 D10:F11">
    <cfRule type="cellIs" dxfId="105" priority="12" stopIfTrue="1" operator="greaterThan">
      <formula>1</formula>
    </cfRule>
  </conditionalFormatting>
  <conditionalFormatting sqref="D7:F7 D9:F9">
    <cfRule type="cellIs" dxfId="104" priority="13" stopIfTrue="1" operator="lessThan">
      <formula>-1</formula>
    </cfRule>
  </conditionalFormatting>
  <conditionalFormatting sqref="C78:C82">
    <cfRule type="cellIs" dxfId="103" priority="7" stopIfTrue="1" operator="lessThan">
      <formula>-10</formula>
    </cfRule>
  </conditionalFormatting>
  <conditionalFormatting sqref="C8 C10:C11">
    <cfRule type="cellIs" dxfId="102" priority="4" stopIfTrue="1" operator="greaterThan">
      <formula>1</formula>
    </cfRule>
  </conditionalFormatting>
  <conditionalFormatting sqref="C7 C9">
    <cfRule type="cellIs" dxfId="101"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64" orientation="portrait" r:id="rId4"/>
  <headerFooter>
    <oddHeader>&amp;L&amp;8Statistiska Centralbyrå
Offentlig ekonomi&amp;R&amp;P</oddHeader>
  </headerFooter>
  <ignoredErrors>
    <ignoredError sqref="A6:A15 A25:A66 A74:A82 A94:A98" numberStoredAsText="1"/>
  </ignoredError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sqref="A1:F1"/>
      <selection pane="topRight" sqref="A1:F1"/>
      <selection pane="bottomLeft" sqref="A1:F1"/>
      <selection pane="bottomRight" sqref="A1:F1"/>
    </sheetView>
  </sheetViews>
  <sheetFormatPr defaultColWidth="0" defaultRowHeight="12.75" zeroHeight="1"/>
  <cols>
    <col min="1" max="1" width="3.7109375" style="200" customWidth="1"/>
    <col min="2" max="2" width="30.28515625" style="200" customWidth="1"/>
    <col min="3" max="3" width="10.28515625" style="200" customWidth="1"/>
    <col min="4" max="4" width="9.5703125" style="200" customWidth="1"/>
    <col min="5" max="5" width="8.5703125" style="200" customWidth="1"/>
    <col min="6" max="6" width="9.5703125" style="200" customWidth="1"/>
    <col min="7" max="7" width="11.28515625" style="200" customWidth="1"/>
    <col min="8" max="8" width="9.5703125" style="200" customWidth="1"/>
    <col min="9" max="10" width="8.5703125" style="200" customWidth="1"/>
    <col min="11" max="11" width="1.42578125" style="200" customWidth="1"/>
    <col min="12" max="14" width="8.5703125" style="200" customWidth="1"/>
    <col min="15" max="15" width="9.42578125" style="200" customWidth="1"/>
    <col min="16" max="16" width="10" style="200" customWidth="1"/>
    <col min="17" max="17" width="3.5703125" style="200" customWidth="1"/>
    <col min="18" max="19" width="8.5703125" style="200" customWidth="1"/>
    <col min="20" max="20" width="10.7109375" style="200" customWidth="1"/>
    <col min="21" max="21" width="2.42578125" style="200" customWidth="1"/>
    <col min="22" max="22" width="9" style="200" customWidth="1"/>
    <col min="23" max="23" width="10.5703125" style="200" customWidth="1"/>
    <col min="24" max="24" width="2.42578125" style="200" customWidth="1"/>
    <col min="25" max="25" width="11.5703125" style="200" customWidth="1"/>
    <col min="26" max="27" width="9.28515625" style="200" customWidth="1"/>
    <col min="28" max="28" width="8.5703125" style="142" customWidth="1"/>
    <col min="29" max="29" width="7.42578125" style="142" customWidth="1"/>
    <col min="30" max="30" width="1" style="168" customWidth="1"/>
    <col min="31" max="31" width="6.7109375" style="415" hidden="1" customWidth="1"/>
    <col min="32" max="32" width="10.42578125" style="168" customWidth="1"/>
    <col min="33" max="33" width="10.28515625" style="168" customWidth="1"/>
    <col min="34" max="34" width="0.28515625" style="168" customWidth="1"/>
    <col min="35" max="36" width="9.28515625" style="168" customWidth="1"/>
    <col min="37" max="16384" width="0" style="168" hidden="1"/>
  </cols>
  <sheetData>
    <row r="1" spans="1:34" ht="21.75" customHeight="1">
      <c r="A1" s="167"/>
      <c r="B1" s="77"/>
      <c r="C1" s="76" t="str">
        <f>"Driftredovisning "&amp;År&amp;", miljoner kr"</f>
        <v>Driftredovisning 2022, miljoner kr</v>
      </c>
      <c r="D1" s="77"/>
      <c r="E1" s="77"/>
      <c r="F1" s="167"/>
      <c r="G1" s="167"/>
      <c r="H1" s="167"/>
      <c r="I1" s="510" t="s">
        <v>453</v>
      </c>
      <c r="J1" s="511" t="str">
        <f>Information!A2</f>
        <v>RIKSTOTAL</v>
      </c>
      <c r="K1" s="192"/>
      <c r="L1" s="167"/>
      <c r="M1" s="167"/>
      <c r="N1" s="167"/>
      <c r="O1" s="167"/>
      <c r="P1" s="167"/>
      <c r="Q1" s="167"/>
      <c r="R1" s="76" t="str">
        <f>"Driftredovisning "&amp;År&amp;", miljoner kr"</f>
        <v>Driftredovisning 2022, miljoner kr</v>
      </c>
      <c r="S1" s="167"/>
      <c r="T1" s="167"/>
      <c r="U1" s="167"/>
      <c r="V1" s="167"/>
      <c r="W1" s="167"/>
      <c r="X1" s="167"/>
      <c r="Y1" s="510" t="s">
        <v>453</v>
      </c>
      <c r="Z1" s="511" t="str">
        <f>Information!A2</f>
        <v>RIKSTOTAL</v>
      </c>
      <c r="AA1" s="167"/>
      <c r="AB1" s="412"/>
      <c r="AC1" s="412"/>
      <c r="AD1" s="167"/>
      <c r="AE1" s="412"/>
      <c r="AF1" s="167"/>
      <c r="AG1" s="167"/>
    </row>
    <row r="2" spans="1:34" ht="12.75" customHeight="1">
      <c r="A2" s="2196"/>
      <c r="B2" s="2196"/>
      <c r="C2" s="2196"/>
      <c r="D2" s="2196"/>
      <c r="E2" s="2196"/>
      <c r="F2" s="2196"/>
      <c r="G2" s="2196"/>
      <c r="H2" s="2196"/>
      <c r="I2" s="2196"/>
      <c r="J2" s="2196"/>
      <c r="K2" s="2196"/>
      <c r="L2" s="2196"/>
      <c r="M2" s="2196"/>
      <c r="N2" s="2196"/>
      <c r="O2" s="2196"/>
      <c r="P2" s="2196"/>
      <c r="Q2" s="2196"/>
      <c r="R2" s="2196"/>
      <c r="S2" s="2196"/>
      <c r="T2" s="2196"/>
      <c r="U2" s="2196"/>
      <c r="V2" s="2196"/>
      <c r="W2" s="2196"/>
      <c r="X2" s="2196"/>
      <c r="Y2" s="4"/>
      <c r="Z2" s="2196"/>
      <c r="AA2" s="2196"/>
      <c r="AB2" s="2196"/>
      <c r="AC2" s="2196"/>
      <c r="AD2" s="2196"/>
      <c r="AE2" s="2196"/>
      <c r="AF2" s="2196"/>
      <c r="AG2" s="2196"/>
    </row>
    <row r="3" spans="1:34" s="195" customFormat="1" ht="12.75" customHeight="1" thickBot="1">
      <c r="A3" s="2196"/>
      <c r="B3" s="2196"/>
      <c r="C3" s="2196"/>
      <c r="D3" s="2196"/>
      <c r="E3" s="2196"/>
      <c r="F3" s="2196"/>
      <c r="G3" s="2196"/>
      <c r="H3" s="2196"/>
      <c r="I3" s="2196"/>
      <c r="J3" s="2196"/>
      <c r="K3" s="2196"/>
      <c r="L3" s="2196"/>
      <c r="M3" s="2196"/>
      <c r="N3" s="2196"/>
      <c r="O3" s="2196"/>
      <c r="P3" s="2196"/>
      <c r="Q3" s="2196"/>
      <c r="R3" s="2196"/>
      <c r="S3" s="2196"/>
      <c r="T3" s="2196"/>
      <c r="U3" s="2196"/>
      <c r="V3" s="2196"/>
      <c r="W3" s="2196"/>
      <c r="X3" s="2196"/>
      <c r="Y3" s="194" t="s">
        <v>142</v>
      </c>
      <c r="Z3" s="2196"/>
      <c r="AA3" s="2196"/>
      <c r="AB3" s="2196"/>
      <c r="AC3" s="2196"/>
      <c r="AD3" s="2196"/>
      <c r="AE3" s="2196"/>
      <c r="AF3" s="2196"/>
      <c r="AG3" s="2196"/>
    </row>
    <row r="4" spans="1:34" s="180" customFormat="1" ht="43.5" customHeight="1">
      <c r="A4" s="837" t="s">
        <v>201</v>
      </c>
      <c r="B4" s="838" t="s">
        <v>13</v>
      </c>
      <c r="C4" s="2518" t="s">
        <v>34</v>
      </c>
      <c r="D4" s="2519"/>
      <c r="E4" s="2520" t="s">
        <v>35</v>
      </c>
      <c r="F4" s="2521"/>
      <c r="G4" s="2521"/>
      <c r="H4" s="2522"/>
      <c r="I4" s="2525" t="s">
        <v>36</v>
      </c>
      <c r="J4" s="2526"/>
      <c r="K4" s="39"/>
      <c r="L4" s="2523" t="s">
        <v>143</v>
      </c>
      <c r="M4" s="2524"/>
      <c r="N4" s="2524"/>
      <c r="O4" s="2519"/>
      <c r="P4" s="910"/>
      <c r="Q4" s="72"/>
      <c r="R4" s="2523" t="s">
        <v>37</v>
      </c>
      <c r="S4" s="2544"/>
      <c r="T4" s="2545"/>
      <c r="U4" s="109"/>
      <c r="V4" s="1849" t="s">
        <v>145</v>
      </c>
      <c r="W4" s="927"/>
      <c r="X4" s="39"/>
      <c r="Y4" s="1565" t="s">
        <v>916</v>
      </c>
      <c r="Z4" s="2546" t="s">
        <v>943</v>
      </c>
      <c r="AA4" s="2547"/>
      <c r="AB4" s="2548"/>
      <c r="AC4" s="2264" t="str">
        <f>"Förändring kostnader för eget åtagande "&amp;År-1&amp;"-"&amp;År&amp;" procent"</f>
        <v>Förändring kostnader för eget åtagande 2021-2022 procent</v>
      </c>
      <c r="AD4" s="2196"/>
      <c r="AE4" s="1182" t="str">
        <f>"Köp av verksamhet som andel av "</f>
        <v xml:space="preserve">Köp av verksamhet som andel av </v>
      </c>
      <c r="AF4" s="2324" t="s">
        <v>921</v>
      </c>
      <c r="AG4" s="2314" t="s">
        <v>922</v>
      </c>
      <c r="AH4" s="1905" t="s">
        <v>987</v>
      </c>
    </row>
    <row r="5" spans="1:34" ht="47.25" customHeight="1">
      <c r="A5" s="1278"/>
      <c r="B5" s="1279"/>
      <c r="C5" s="1263" t="s">
        <v>192</v>
      </c>
      <c r="D5" s="2338" t="s">
        <v>492</v>
      </c>
      <c r="E5" s="1352" t="s">
        <v>821</v>
      </c>
      <c r="F5" s="867" t="s">
        <v>761</v>
      </c>
      <c r="G5" s="868" t="s">
        <v>200</v>
      </c>
      <c r="H5" s="869" t="s">
        <v>750</v>
      </c>
      <c r="I5" s="870" t="s">
        <v>459</v>
      </c>
      <c r="J5" s="2340" t="s">
        <v>493</v>
      </c>
      <c r="K5" s="39"/>
      <c r="L5" s="925" t="s">
        <v>526</v>
      </c>
      <c r="M5" s="1539" t="s">
        <v>460</v>
      </c>
      <c r="N5" s="2563" t="s">
        <v>1029</v>
      </c>
      <c r="O5" s="2564"/>
      <c r="P5" s="911" t="s">
        <v>469</v>
      </c>
      <c r="Q5" s="48"/>
      <c r="R5" s="925" t="s">
        <v>677</v>
      </c>
      <c r="S5" s="869" t="s">
        <v>462</v>
      </c>
      <c r="T5" s="926" t="s">
        <v>463</v>
      </c>
      <c r="U5" s="33"/>
      <c r="V5" s="912"/>
      <c r="W5" s="928" t="s">
        <v>470</v>
      </c>
      <c r="X5" s="39"/>
      <c r="Y5" s="2558" t="s">
        <v>1060</v>
      </c>
      <c r="Z5" s="872" t="str">
        <f>"Netto-kostnader "&amp;År&amp;""</f>
        <v>Netto-kostnader 2022</v>
      </c>
      <c r="AA5" s="872" t="str">
        <f>"Kostnader för eget åtagande "&amp;År&amp;""</f>
        <v>Kostnader för eget åtagande 2022</v>
      </c>
      <c r="AB5" s="872" t="str">
        <f>"Kostnader för eget åtagande "&amp;År-1&amp;""</f>
        <v>Kostnader för eget åtagande 2021</v>
      </c>
      <c r="AC5" s="2265"/>
      <c r="AD5" s="2196"/>
      <c r="AE5" s="2295" t="str">
        <f>"verksamhetens kostnad för eget åtagande "&amp;År&amp;" procent"</f>
        <v>verksamhetens kostnad för eget åtagande 2022 procent</v>
      </c>
      <c r="AF5" s="2540" t="s">
        <v>923</v>
      </c>
      <c r="AG5" s="2538" t="s">
        <v>924</v>
      </c>
      <c r="AH5" s="2536" t="s">
        <v>988</v>
      </c>
    </row>
    <row r="6" spans="1:34" ht="56.25" customHeight="1" thickBot="1">
      <c r="A6" s="840"/>
      <c r="B6" s="2177" t="s">
        <v>1138</v>
      </c>
      <c r="C6" s="2084" t="s">
        <v>1082</v>
      </c>
      <c r="D6" s="2171"/>
      <c r="E6" s="2339" t="s">
        <v>1116</v>
      </c>
      <c r="F6" s="1343" t="s">
        <v>785</v>
      </c>
      <c r="G6" s="1396" t="s">
        <v>1128</v>
      </c>
      <c r="H6" s="1343" t="s">
        <v>43</v>
      </c>
      <c r="I6" s="1344" t="s">
        <v>44</v>
      </c>
      <c r="J6" s="2341" t="s">
        <v>1131</v>
      </c>
      <c r="K6" s="39"/>
      <c r="L6" s="2343" t="s">
        <v>1129</v>
      </c>
      <c r="M6" s="2172"/>
      <c r="N6" s="2173" t="s">
        <v>822</v>
      </c>
      <c r="O6" s="2174" t="s">
        <v>823</v>
      </c>
      <c r="P6" s="2176"/>
      <c r="Q6" s="72"/>
      <c r="R6" s="2128" t="s">
        <v>817</v>
      </c>
      <c r="S6" s="2129" t="s">
        <v>45</v>
      </c>
      <c r="T6" s="1345" t="s">
        <v>762</v>
      </c>
      <c r="U6" s="33"/>
      <c r="V6" s="2175"/>
      <c r="W6" s="2176"/>
      <c r="X6" s="39"/>
      <c r="Y6" s="2559"/>
      <c r="Z6" s="1602"/>
      <c r="AA6" s="1603"/>
      <c r="AB6" s="1604"/>
      <c r="AC6" s="2266"/>
      <c r="AD6" s="2196"/>
      <c r="AE6" s="2296"/>
      <c r="AF6" s="2541"/>
      <c r="AG6" s="2539"/>
      <c r="AH6" s="2537"/>
    </row>
    <row r="7" spans="1:34" ht="9.75" hidden="1" customHeight="1">
      <c r="A7" s="840"/>
      <c r="B7" s="1479"/>
      <c r="C7" s="1399"/>
      <c r="D7" s="1400"/>
      <c r="E7" s="1404"/>
      <c r="F7" s="1405"/>
      <c r="G7" s="1406"/>
      <c r="H7" s="1407"/>
      <c r="I7" s="1408"/>
      <c r="J7" s="1409"/>
      <c r="K7" s="33"/>
      <c r="L7" s="1266"/>
      <c r="M7" s="1267"/>
      <c r="N7" s="1264"/>
      <c r="O7" s="841"/>
      <c r="P7" s="913"/>
      <c r="Q7" s="48"/>
      <c r="R7" s="1430"/>
      <c r="S7" s="1431"/>
      <c r="T7" s="1432"/>
      <c r="U7" s="33"/>
      <c r="V7" s="912"/>
      <c r="W7" s="913"/>
      <c r="X7" s="33"/>
      <c r="Y7" s="1257"/>
      <c r="Z7" s="943"/>
      <c r="AA7" s="945"/>
      <c r="AB7" s="944"/>
      <c r="AC7" s="2265"/>
      <c r="AD7" s="2196"/>
      <c r="AE7" s="2296"/>
      <c r="AF7" s="2325"/>
      <c r="AG7" s="1564"/>
      <c r="AH7" s="1799"/>
    </row>
    <row r="8" spans="1:34" ht="12.75" hidden="1" customHeight="1">
      <c r="A8" s="842"/>
      <c r="B8" s="1401"/>
      <c r="C8" s="1402"/>
      <c r="D8" s="1403"/>
      <c r="E8" s="1410"/>
      <c r="F8" s="1411"/>
      <c r="G8" s="1412"/>
      <c r="H8" s="1413"/>
      <c r="I8" s="1414"/>
      <c r="J8" s="1415"/>
      <c r="K8" s="33"/>
      <c r="L8" s="912"/>
      <c r="M8" s="874"/>
      <c r="N8" s="1264"/>
      <c r="O8" s="841"/>
      <c r="P8" s="913"/>
      <c r="Q8" s="48"/>
      <c r="R8" s="1430"/>
      <c r="S8" s="1431"/>
      <c r="T8" s="1432"/>
      <c r="U8" s="33"/>
      <c r="V8" s="914"/>
      <c r="W8" s="913"/>
      <c r="X8" s="33"/>
      <c r="Y8" s="1257"/>
      <c r="Z8" s="946"/>
      <c r="AA8" s="947"/>
      <c r="AB8" s="873"/>
      <c r="AC8" s="2265"/>
      <c r="AD8" s="2196"/>
      <c r="AE8" s="2297"/>
      <c r="AF8" s="2325"/>
      <c r="AG8" s="1564"/>
      <c r="AH8" s="1799"/>
    </row>
    <row r="9" spans="1:34" ht="10.5" hidden="1" customHeight="1">
      <c r="A9" s="840"/>
      <c r="B9" s="1416"/>
      <c r="C9" s="1417"/>
      <c r="D9" s="1418"/>
      <c r="E9" s="1419"/>
      <c r="F9" s="1420"/>
      <c r="G9" s="1412"/>
      <c r="H9" s="1413"/>
      <c r="I9" s="1421"/>
      <c r="J9" s="1422"/>
      <c r="K9" s="11"/>
      <c r="L9" s="914"/>
      <c r="M9" s="874"/>
      <c r="N9" s="1175"/>
      <c r="O9" s="1183"/>
      <c r="P9" s="913"/>
      <c r="Q9" s="48"/>
      <c r="R9" s="1433"/>
      <c r="S9" s="1434"/>
      <c r="T9" s="1422"/>
      <c r="U9" s="11"/>
      <c r="V9" s="914"/>
      <c r="W9" s="929"/>
      <c r="X9" s="11"/>
      <c r="Y9" s="1257"/>
      <c r="Z9" s="946"/>
      <c r="AA9" s="946"/>
      <c r="AB9" s="873"/>
      <c r="AC9" s="2265"/>
      <c r="AD9" s="2196"/>
      <c r="AE9" s="2298"/>
      <c r="AF9" s="2325"/>
      <c r="AG9" s="1564"/>
      <c r="AH9" s="1799"/>
    </row>
    <row r="10" spans="1:34" ht="12" hidden="1" customHeight="1">
      <c r="A10" s="843"/>
      <c r="B10" s="1423"/>
      <c r="C10" s="1424"/>
      <c r="D10" s="1425"/>
      <c r="E10" s="1426"/>
      <c r="F10" s="1425"/>
      <c r="G10" s="1427"/>
      <c r="H10" s="1428"/>
      <c r="I10" s="1424"/>
      <c r="J10" s="1429"/>
      <c r="K10" s="11"/>
      <c r="L10" s="915"/>
      <c r="M10" s="875"/>
      <c r="N10" s="1032"/>
      <c r="O10" s="1265"/>
      <c r="P10" s="916"/>
      <c r="Q10" s="198"/>
      <c r="R10" s="1435"/>
      <c r="S10" s="1425"/>
      <c r="T10" s="1429"/>
      <c r="U10" s="110"/>
      <c r="V10" s="915"/>
      <c r="W10" s="930"/>
      <c r="X10" s="11"/>
      <c r="Y10" s="1615"/>
      <c r="Z10" s="1599"/>
      <c r="AA10" s="1600"/>
      <c r="AB10" s="1601"/>
      <c r="AC10" s="2267"/>
      <c r="AD10" s="2196"/>
      <c r="AE10" s="2299"/>
      <c r="AF10" s="2325"/>
      <c r="AG10" s="1564"/>
      <c r="AH10" s="1800"/>
    </row>
    <row r="11" spans="1:34" ht="39" customHeight="1" thickBot="1">
      <c r="A11" s="844"/>
      <c r="B11" s="845" t="s">
        <v>14</v>
      </c>
      <c r="C11" s="876"/>
      <c r="D11" s="877"/>
      <c r="E11" s="876"/>
      <c r="F11" s="878"/>
      <c r="G11" s="879"/>
      <c r="H11" s="880"/>
      <c r="I11" s="876"/>
      <c r="J11" s="881"/>
      <c r="K11" s="199"/>
      <c r="L11" s="917"/>
      <c r="M11" s="878"/>
      <c r="N11" s="877"/>
      <c r="O11" s="918"/>
      <c r="P11" s="881"/>
      <c r="Q11" s="199"/>
      <c r="R11" s="917"/>
      <c r="S11" s="878"/>
      <c r="T11" s="881"/>
      <c r="U11" s="199"/>
      <c r="V11" s="931"/>
      <c r="W11" s="932"/>
      <c r="X11" s="37"/>
      <c r="Y11" s="1614" t="s">
        <v>48</v>
      </c>
      <c r="Z11" s="2530"/>
      <c r="AA11" s="2531"/>
      <c r="AB11" s="2531"/>
      <c r="AC11" s="2532"/>
      <c r="AD11" s="2196"/>
      <c r="AE11" s="2300"/>
      <c r="AF11" s="2325"/>
      <c r="AG11" s="1564"/>
      <c r="AH11" s="1801"/>
    </row>
    <row r="12" spans="1:34" ht="11.25" customHeight="1">
      <c r="A12" s="846"/>
      <c r="B12" s="847" t="s">
        <v>46</v>
      </c>
      <c r="C12" s="882"/>
      <c r="D12" s="883"/>
      <c r="E12" s="882"/>
      <c r="F12" s="884"/>
      <c r="G12" s="885"/>
      <c r="H12" s="886"/>
      <c r="I12" s="882"/>
      <c r="J12" s="887"/>
      <c r="K12" s="199"/>
      <c r="L12" s="919"/>
      <c r="M12" s="884"/>
      <c r="N12" s="883"/>
      <c r="O12" s="920"/>
      <c r="P12" s="887"/>
      <c r="Q12" s="199"/>
      <c r="R12" s="919"/>
      <c r="S12" s="884"/>
      <c r="T12" s="887"/>
      <c r="U12" s="199"/>
      <c r="V12" s="933"/>
      <c r="W12" s="934"/>
      <c r="X12" s="30"/>
      <c r="Y12" s="953"/>
      <c r="Z12" s="948"/>
      <c r="AA12" s="948"/>
      <c r="AB12" s="949"/>
      <c r="AC12" s="2268"/>
      <c r="AD12" s="2196"/>
      <c r="AE12" s="2300"/>
      <c r="AF12" s="2325"/>
      <c r="AG12" s="1564"/>
      <c r="AH12" s="1802"/>
    </row>
    <row r="13" spans="1:34">
      <c r="A13" s="2034" t="s">
        <v>210</v>
      </c>
      <c r="B13" s="848" t="s">
        <v>47</v>
      </c>
      <c r="C13" s="20">
        <v>2265.2220000000002</v>
      </c>
      <c r="D13" s="21">
        <v>741.779</v>
      </c>
      <c r="E13" s="22">
        <v>76.451999999999998</v>
      </c>
      <c r="F13" s="20">
        <v>22.609000000000002</v>
      </c>
      <c r="G13" s="20">
        <v>270.96100000000001</v>
      </c>
      <c r="H13" s="21">
        <v>59.281999999999996</v>
      </c>
      <c r="I13" s="20">
        <v>24.343</v>
      </c>
      <c r="J13" s="99">
        <v>13.95</v>
      </c>
      <c r="K13" s="31"/>
      <c r="L13" s="102">
        <v>66.385999999999996</v>
      </c>
      <c r="M13" s="20">
        <v>223.92599999999999</v>
      </c>
      <c r="N13" s="21">
        <v>14.678000000000001</v>
      </c>
      <c r="O13" s="439">
        <v>143.40199999999999</v>
      </c>
      <c r="P13" s="366">
        <f>SUM(C13:O13)</f>
        <v>3922.99</v>
      </c>
      <c r="Q13" s="49"/>
      <c r="R13" s="102">
        <v>3.5379999999999998</v>
      </c>
      <c r="S13" s="20">
        <v>1.054</v>
      </c>
      <c r="T13" s="99">
        <v>67.150000000000006</v>
      </c>
      <c r="U13" s="50"/>
      <c r="V13" s="112">
        <v>86.156000000000006</v>
      </c>
      <c r="W13" s="401">
        <f>SUM(R13:V13)</f>
        <v>157.89800000000002</v>
      </c>
      <c r="X13" s="56"/>
      <c r="Y13" s="1593">
        <v>3824.5540000000001</v>
      </c>
      <c r="Z13" s="1594"/>
      <c r="AA13" s="1595"/>
      <c r="AB13" s="1596"/>
      <c r="AC13" s="2269"/>
      <c r="AD13" s="2196"/>
      <c r="AE13" s="2301"/>
      <c r="AF13" s="2326">
        <v>3765.0920000000001</v>
      </c>
      <c r="AG13" s="2315">
        <v>3754.9430000000002</v>
      </c>
      <c r="AH13" s="1803">
        <f>W13-V13-(IF(AND(Motpart!$Y$9="",Motpart!$Z$9=""),0,IF(AND(Motpart!$Y$9=0,Motpart!$Z$9=0),0,((T13/$T$17)*(Motpart!$Y$9+Motpart!$Z$9)))))</f>
        <v>48.08505488120116</v>
      </c>
    </row>
    <row r="14" spans="1:34">
      <c r="A14" s="2034" t="s">
        <v>211</v>
      </c>
      <c r="B14" s="849" t="s">
        <v>49</v>
      </c>
      <c r="C14" s="23">
        <v>7.5810000000000004</v>
      </c>
      <c r="D14" s="21">
        <v>2.5409999999999999</v>
      </c>
      <c r="E14" s="25">
        <v>0.255</v>
      </c>
      <c r="F14" s="23">
        <v>0.54400000000000004</v>
      </c>
      <c r="G14" s="23">
        <v>0.79600000000000004</v>
      </c>
      <c r="H14" s="24">
        <v>500.60500000000002</v>
      </c>
      <c r="I14" s="23">
        <v>7.9000000000000001E-2</v>
      </c>
      <c r="J14" s="100">
        <v>0</v>
      </c>
      <c r="K14" s="31"/>
      <c r="L14" s="103">
        <v>0.26400000000000001</v>
      </c>
      <c r="M14" s="23">
        <v>1.917</v>
      </c>
      <c r="N14" s="21">
        <v>0.25</v>
      </c>
      <c r="O14" s="367">
        <v>0.191</v>
      </c>
      <c r="P14" s="366">
        <f>SUM(C14:O14)</f>
        <v>515.02300000000002</v>
      </c>
      <c r="Q14" s="49"/>
      <c r="R14" s="103">
        <v>0</v>
      </c>
      <c r="S14" s="23">
        <v>0</v>
      </c>
      <c r="T14" s="100">
        <v>0.16200000000000001</v>
      </c>
      <c r="U14" s="50"/>
      <c r="V14" s="113">
        <v>1.7649999999999999</v>
      </c>
      <c r="W14" s="401">
        <f>SUM(R14:V14)</f>
        <v>1.9269999999999998</v>
      </c>
      <c r="X14" s="56"/>
      <c r="Y14" s="1474">
        <v>513.16399999999999</v>
      </c>
      <c r="Z14" s="1597"/>
      <c r="AA14" s="1598"/>
      <c r="AB14" s="1598"/>
      <c r="AC14" s="2270"/>
      <c r="AD14" s="2196"/>
      <c r="AE14" s="2301"/>
      <c r="AF14" s="2326">
        <v>513.096</v>
      </c>
      <c r="AG14" s="2315">
        <v>12.109</v>
      </c>
      <c r="AH14" s="1803">
        <f>W14-V14-(IF(AND(Motpart!$Y$9="",Motpart!$Z$9=""),0,IF(AND(Motpart!$Y$9=0,Motpart!$Z$9=0),0,((T14/$T$17)*(Motpart!$Y$9+Motpart!$Z$9)))))</f>
        <v>0.10492739971339657</v>
      </c>
    </row>
    <row r="15" spans="1:34">
      <c r="A15" s="2034" t="s">
        <v>212</v>
      </c>
      <c r="B15" s="849" t="s">
        <v>50</v>
      </c>
      <c r="C15" s="23">
        <v>137.56299999999999</v>
      </c>
      <c r="D15" s="21">
        <v>43.048000000000002</v>
      </c>
      <c r="E15" s="25">
        <v>3.9340000000000002</v>
      </c>
      <c r="F15" s="23">
        <v>2.9969999999999999</v>
      </c>
      <c r="G15" s="23">
        <v>273.63900000000001</v>
      </c>
      <c r="H15" s="24">
        <v>2.4E-2</v>
      </c>
      <c r="I15" s="23">
        <v>3.9329999999999998</v>
      </c>
      <c r="J15" s="100">
        <v>0.11799999999999999</v>
      </c>
      <c r="K15" s="31"/>
      <c r="L15" s="103">
        <v>3.29</v>
      </c>
      <c r="M15" s="23">
        <v>8.1379999999999999</v>
      </c>
      <c r="N15" s="21">
        <v>1.458</v>
      </c>
      <c r="O15" s="367">
        <v>18.332999999999998</v>
      </c>
      <c r="P15" s="366">
        <f>SUM(C15:O15)</f>
        <v>496.47500000000002</v>
      </c>
      <c r="Q15" s="49"/>
      <c r="R15" s="103">
        <v>5.4139999999999997</v>
      </c>
      <c r="S15" s="23">
        <v>0</v>
      </c>
      <c r="T15" s="100">
        <v>13.724</v>
      </c>
      <c r="U15" s="50"/>
      <c r="V15" s="113">
        <v>2.3290000000000002</v>
      </c>
      <c r="W15" s="401">
        <f>SUM(R15:V15)</f>
        <v>21.466999999999999</v>
      </c>
      <c r="X15" s="56"/>
      <c r="Y15" s="1474">
        <v>493.19600000000003</v>
      </c>
      <c r="Z15" s="1597"/>
      <c r="AA15" s="1598"/>
      <c r="AB15" s="1598"/>
      <c r="AC15" s="2270"/>
      <c r="AD15" s="2196"/>
      <c r="AE15" s="2301"/>
      <c r="AF15" s="2326">
        <v>475.00799999999998</v>
      </c>
      <c r="AG15" s="2315">
        <v>491.125</v>
      </c>
      <c r="AH15" s="1803">
        <f>W15-V15-(IF(AND(Motpart!$Y$9="",Motpart!$Z$9=""),0,IF(AND(Motpart!$Y$9=0,Motpart!$Z$9=0),0,((T15/$T$17)*(Motpart!$Y$9+Motpart!$Z$9)))))</f>
        <v>14.303034775720095</v>
      </c>
    </row>
    <row r="16" spans="1:34">
      <c r="A16" s="2034" t="s">
        <v>213</v>
      </c>
      <c r="B16" s="849" t="s">
        <v>51</v>
      </c>
      <c r="C16" s="23">
        <v>1602.2139999999999</v>
      </c>
      <c r="D16" s="21">
        <v>550.66700000000003</v>
      </c>
      <c r="E16" s="25">
        <v>50.527000000000001</v>
      </c>
      <c r="F16" s="23">
        <v>220.65700000000001</v>
      </c>
      <c r="G16" s="23">
        <v>612.92399999999998</v>
      </c>
      <c r="H16" s="24">
        <v>94.974000000000004</v>
      </c>
      <c r="I16" s="23">
        <v>27.824999999999999</v>
      </c>
      <c r="J16" s="100">
        <v>10.763</v>
      </c>
      <c r="K16" s="31"/>
      <c r="L16" s="103">
        <v>46.914000000000001</v>
      </c>
      <c r="M16" s="23">
        <v>266.05099999999999</v>
      </c>
      <c r="N16" s="21">
        <v>18.619</v>
      </c>
      <c r="O16" s="367">
        <v>105.87</v>
      </c>
      <c r="P16" s="366">
        <f>SUM(C16:O16)</f>
        <v>3608.0050000000001</v>
      </c>
      <c r="Q16" s="49"/>
      <c r="R16" s="103">
        <v>26.055</v>
      </c>
      <c r="S16" s="23">
        <v>0.27</v>
      </c>
      <c r="T16" s="100">
        <v>427.68099999999998</v>
      </c>
      <c r="U16" s="50"/>
      <c r="V16" s="113">
        <v>160.91999999999999</v>
      </c>
      <c r="W16" s="401">
        <f>SUM(R16:V16)</f>
        <v>614.92599999999993</v>
      </c>
      <c r="X16" s="56"/>
      <c r="Y16" s="1474">
        <v>3281.1930000000002</v>
      </c>
      <c r="Z16" s="1597"/>
      <c r="AA16" s="1598"/>
      <c r="AB16" s="1598"/>
      <c r="AC16" s="2270"/>
      <c r="AD16" s="2196"/>
      <c r="AE16" s="2301"/>
      <c r="AF16" s="2326">
        <v>2993.0790000000002</v>
      </c>
      <c r="AG16" s="2315">
        <v>3131.4540000000002</v>
      </c>
      <c r="AH16" s="1803">
        <f>W16-V16-(IF(AND(Motpart!$Y$9="",Motpart!$Z$9=""),0,IF(AND(Motpart!$Y$9=0,Motpart!$Z$9=0),0,((T16/$T$17)*(Motpart!$Y$9+Motpart!$Z$9)))))</f>
        <v>303.33398294336536</v>
      </c>
    </row>
    <row r="17" spans="1:34" ht="12.75" customHeight="1" thickBot="1">
      <c r="A17" s="2047" t="s">
        <v>214</v>
      </c>
      <c r="B17" s="849" t="s">
        <v>52</v>
      </c>
      <c r="C17" s="359">
        <f>SUM(C13:C16)</f>
        <v>4012.5800000000004</v>
      </c>
      <c r="D17" s="26">
        <f t="shared" ref="D17:O17" si="0">SUM(D13:D16)</f>
        <v>1338.0350000000001</v>
      </c>
      <c r="E17" s="369">
        <f t="shared" si="0"/>
        <v>131.16800000000001</v>
      </c>
      <c r="F17" s="359">
        <f t="shared" si="0"/>
        <v>246.80700000000002</v>
      </c>
      <c r="G17" s="359">
        <f t="shared" si="0"/>
        <v>1158.32</v>
      </c>
      <c r="H17" s="26">
        <f t="shared" si="0"/>
        <v>654.8850000000001</v>
      </c>
      <c r="I17" s="359">
        <f t="shared" si="0"/>
        <v>56.18</v>
      </c>
      <c r="J17" s="104">
        <f t="shared" si="0"/>
        <v>24.831</v>
      </c>
      <c r="K17" s="146"/>
      <c r="L17" s="368">
        <f>SUM(L13:L16)</f>
        <v>116.854</v>
      </c>
      <c r="M17" s="359">
        <f t="shared" si="0"/>
        <v>500.03199999999998</v>
      </c>
      <c r="N17" s="26">
        <f t="shared" si="0"/>
        <v>35.004999999999995</v>
      </c>
      <c r="O17" s="26">
        <f t="shared" si="0"/>
        <v>267.79599999999999</v>
      </c>
      <c r="P17" s="104">
        <f>SUM(P6:P16)</f>
        <v>8542.4930000000004</v>
      </c>
      <c r="Q17" s="49"/>
      <c r="R17" s="368">
        <f>SUM(R13:R16)</f>
        <v>35.006999999999998</v>
      </c>
      <c r="S17" s="359">
        <f>SUM(S13:S16)</f>
        <v>1.3240000000000001</v>
      </c>
      <c r="T17" s="104">
        <f>SUM(T13:T16)</f>
        <v>508.71699999999998</v>
      </c>
      <c r="U17" s="49"/>
      <c r="V17" s="116">
        <f>SUM(V13:V16)</f>
        <v>251.17</v>
      </c>
      <c r="W17" s="117">
        <f>SUM(W13:W16)</f>
        <v>796.21799999999996</v>
      </c>
      <c r="X17" s="56"/>
      <c r="Y17" s="955">
        <v>8112.1009999999997</v>
      </c>
      <c r="Z17" s="956">
        <f>(P17-W17)*1000/invanare</f>
        <v>736.22903304416195</v>
      </c>
      <c r="AA17" s="956">
        <f>Y17*1000/invanare</f>
        <v>770.99822497737023</v>
      </c>
      <c r="AB17" s="956">
        <v>686.68399999999997</v>
      </c>
      <c r="AC17" s="2271">
        <f>IF(ISERROR((AA17-AB17)/AB17)," ",((AA17-AB17)/AB17))</f>
        <v>0.12278460686046312</v>
      </c>
      <c r="AD17" s="2196"/>
      <c r="AE17" s="2302"/>
      <c r="AF17" s="2327">
        <v>7746.2740000000003</v>
      </c>
      <c r="AG17" s="2316">
        <v>7389.63</v>
      </c>
      <c r="AH17" s="1803">
        <f>W17-V17-SUM(Motpart!Y9:Z9)</f>
        <v>365.827</v>
      </c>
    </row>
    <row r="18" spans="1:34" ht="37.5" customHeight="1" thickBot="1">
      <c r="A18" s="2048"/>
      <c r="B18" s="850" t="s">
        <v>53</v>
      </c>
      <c r="C18" s="888"/>
      <c r="D18" s="889"/>
      <c r="E18" s="888"/>
      <c r="F18" s="890"/>
      <c r="G18" s="890"/>
      <c r="H18" s="889"/>
      <c r="I18" s="890"/>
      <c r="J18" s="891"/>
      <c r="K18" s="31"/>
      <c r="L18" s="921"/>
      <c r="M18" s="890"/>
      <c r="N18" s="889"/>
      <c r="O18" s="889"/>
      <c r="P18" s="891"/>
      <c r="Q18" s="50"/>
      <c r="R18" s="921"/>
      <c r="S18" s="890"/>
      <c r="T18" s="891"/>
      <c r="U18" s="50"/>
      <c r="V18" s="935"/>
      <c r="W18" s="936"/>
      <c r="X18" s="31"/>
      <c r="Y18" s="1614" t="s">
        <v>941</v>
      </c>
      <c r="Z18" s="2530"/>
      <c r="AA18" s="2531"/>
      <c r="AB18" s="2531"/>
      <c r="AC18" s="2532"/>
      <c r="AD18" s="2196"/>
      <c r="AE18" s="2303"/>
      <c r="AF18" s="2328"/>
      <c r="AG18" s="2317"/>
      <c r="AH18" s="1804"/>
    </row>
    <row r="19" spans="1:34">
      <c r="A19" s="2034" t="s">
        <v>215</v>
      </c>
      <c r="B19" s="851" t="s">
        <v>54</v>
      </c>
      <c r="C19" s="20">
        <v>4613.1850000000004</v>
      </c>
      <c r="D19" s="21">
        <v>1798.665</v>
      </c>
      <c r="E19" s="20">
        <v>1378.194</v>
      </c>
      <c r="F19" s="20">
        <v>178.28399999999999</v>
      </c>
      <c r="G19" s="20">
        <v>2983.1370000000002</v>
      </c>
      <c r="H19" s="21">
        <v>78.111000000000004</v>
      </c>
      <c r="I19" s="20">
        <v>841.24699999999996</v>
      </c>
      <c r="J19" s="99">
        <v>1101.5540000000001</v>
      </c>
      <c r="K19" s="31"/>
      <c r="L19" s="102">
        <v>438.97</v>
      </c>
      <c r="M19" s="20">
        <v>1648.0050000000001</v>
      </c>
      <c r="N19" s="21">
        <v>124.077</v>
      </c>
      <c r="O19" s="367">
        <v>418.56299999999999</v>
      </c>
      <c r="P19" s="366">
        <f>SUM(C19:O19)</f>
        <v>15601.991999999998</v>
      </c>
      <c r="Q19" s="49"/>
      <c r="R19" s="102">
        <v>3327.7739999999999</v>
      </c>
      <c r="S19" s="20">
        <v>303.22699999999998</v>
      </c>
      <c r="T19" s="99">
        <v>1934.37</v>
      </c>
      <c r="U19" s="50"/>
      <c r="V19" s="112">
        <v>2639.56</v>
      </c>
      <c r="W19" s="401">
        <f t="shared" ref="W19:W29" si="1">SUM(R19:V19)</f>
        <v>8204.9309999999987</v>
      </c>
      <c r="X19" s="56"/>
      <c r="Y19" s="955">
        <v>12892.313</v>
      </c>
      <c r="Z19" s="1607"/>
      <c r="AA19" s="1608"/>
      <c r="AB19" s="1609"/>
      <c r="AC19" s="2272"/>
      <c r="AD19" s="2196"/>
      <c r="AE19" s="2303"/>
      <c r="AF19" s="2326">
        <v>7397.0609999999997</v>
      </c>
      <c r="AG19" s="2315">
        <v>12706.037</v>
      </c>
      <c r="AH19" s="1803">
        <f>W19-V19-(IF(AND(Motpart!$Y$10="",Motpart!$Z$10=""),0,IF(AND(Motpart!$Y$10=0,Motpart!$Z$10=0),0,((T19/$T$30)*(Motpart!$Y$10+Motpart!$Z$10)))))</f>
        <v>5434.0802579534156</v>
      </c>
    </row>
    <row r="20" spans="1:34">
      <c r="A20" s="2034" t="s">
        <v>216</v>
      </c>
      <c r="B20" s="849" t="s">
        <v>55</v>
      </c>
      <c r="C20" s="20">
        <v>634.20899999999995</v>
      </c>
      <c r="D20" s="21">
        <v>249.41</v>
      </c>
      <c r="E20" s="20">
        <v>57.654000000000003</v>
      </c>
      <c r="F20" s="20">
        <v>86.941000000000003</v>
      </c>
      <c r="G20" s="20">
        <v>622.55799999999999</v>
      </c>
      <c r="H20" s="21">
        <v>865.52300000000002</v>
      </c>
      <c r="I20" s="20">
        <v>32.853000000000002</v>
      </c>
      <c r="J20" s="99">
        <v>36.472999999999999</v>
      </c>
      <c r="K20" s="31"/>
      <c r="L20" s="103">
        <v>40.268999999999998</v>
      </c>
      <c r="M20" s="23">
        <v>95.364999999999995</v>
      </c>
      <c r="N20" s="21">
        <v>10.038</v>
      </c>
      <c r="O20" s="367">
        <v>61.204999999999998</v>
      </c>
      <c r="P20" s="366">
        <f t="shared" ref="P20:P29" si="2">SUM(C20:O20)</f>
        <v>2792.4979999999996</v>
      </c>
      <c r="Q20" s="49"/>
      <c r="R20" s="103">
        <v>10.896000000000001</v>
      </c>
      <c r="S20" s="23">
        <v>6.3849999999999998</v>
      </c>
      <c r="T20" s="100">
        <v>413.78500000000003</v>
      </c>
      <c r="U20" s="50"/>
      <c r="V20" s="113">
        <v>96.129000000000005</v>
      </c>
      <c r="W20" s="401">
        <f t="shared" si="1"/>
        <v>527.19500000000005</v>
      </c>
      <c r="X20" s="56"/>
      <c r="Y20" s="975">
        <v>2668.1669999999999</v>
      </c>
      <c r="Z20" s="1607"/>
      <c r="AA20" s="1608"/>
      <c r="AB20" s="1609"/>
      <c r="AC20" s="2272"/>
      <c r="AD20" s="2196"/>
      <c r="AE20" s="2303"/>
      <c r="AF20" s="2326">
        <v>2265.3029999999999</v>
      </c>
      <c r="AG20" s="2315">
        <v>1743.905</v>
      </c>
      <c r="AH20" s="1803">
        <f>W20-V20-(IF(AND(Motpart!$Y$10="",Motpart!$Z$10=""),0,IF(AND(Motpart!$Y$10=0,Motpart!$Z$10=0),0,((T20/$T$30)*(Motpart!$Y$10+Motpart!$Z$10)))))</f>
        <v>402.98133176292777</v>
      </c>
    </row>
    <row r="21" spans="1:34">
      <c r="A21" s="2034" t="s">
        <v>647</v>
      </c>
      <c r="B21" s="849" t="s">
        <v>56</v>
      </c>
      <c r="C21" s="20">
        <v>135.715</v>
      </c>
      <c r="D21" s="21">
        <v>52.948999999999998</v>
      </c>
      <c r="E21" s="20">
        <v>3.282</v>
      </c>
      <c r="F21" s="20">
        <v>7.46</v>
      </c>
      <c r="G21" s="20">
        <v>27.553999999999998</v>
      </c>
      <c r="H21" s="21">
        <v>1.9570000000000001</v>
      </c>
      <c r="I21" s="20">
        <v>6.3170000000000002</v>
      </c>
      <c r="J21" s="99">
        <v>0.26100000000000001</v>
      </c>
      <c r="K21" s="31"/>
      <c r="L21" s="103">
        <v>3.8420000000000001</v>
      </c>
      <c r="M21" s="23">
        <v>18.896000000000001</v>
      </c>
      <c r="N21" s="21">
        <v>1.921</v>
      </c>
      <c r="O21" s="367">
        <v>7.3220000000000001</v>
      </c>
      <c r="P21" s="366">
        <f t="shared" si="2"/>
        <v>267.476</v>
      </c>
      <c r="Q21" s="49"/>
      <c r="R21" s="103">
        <v>0.76</v>
      </c>
      <c r="S21" s="23">
        <v>3.7999999999999999E-2</v>
      </c>
      <c r="T21" s="100">
        <v>82.361999999999995</v>
      </c>
      <c r="U21" s="50"/>
      <c r="V21" s="113">
        <v>53.591999999999999</v>
      </c>
      <c r="W21" s="401">
        <f t="shared" si="1"/>
        <v>136.75200000000001</v>
      </c>
      <c r="X21" s="56"/>
      <c r="Y21" s="975">
        <v>208.28899999999999</v>
      </c>
      <c r="Z21" s="1607"/>
      <c r="AA21" s="1608"/>
      <c r="AB21" s="1609"/>
      <c r="AC21" s="2272"/>
      <c r="AD21" s="2196"/>
      <c r="AE21" s="2303"/>
      <c r="AF21" s="2326">
        <v>130.72399999999999</v>
      </c>
      <c r="AG21" s="2315">
        <v>204.46700000000001</v>
      </c>
      <c r="AH21" s="1803">
        <f>W21-V21-(IF(AND(Motpart!$Y$10="",Motpart!$Z$10=""),0,IF(AND(Motpart!$Y$10=0,Motpart!$Z$10=0),0,((T21/$T$30)*(Motpart!$Y$10+Motpart!$Z$10)))))</f>
        <v>77.569876033829786</v>
      </c>
    </row>
    <row r="22" spans="1:34">
      <c r="A22" s="2034" t="s">
        <v>217</v>
      </c>
      <c r="B22" s="849" t="s">
        <v>57</v>
      </c>
      <c r="C22" s="20">
        <v>176.12700000000001</v>
      </c>
      <c r="D22" s="21">
        <v>67.578000000000003</v>
      </c>
      <c r="E22" s="20">
        <v>69.406999999999996</v>
      </c>
      <c r="F22" s="20">
        <v>135.49299999999999</v>
      </c>
      <c r="G22" s="20">
        <v>189.98599999999999</v>
      </c>
      <c r="H22" s="21">
        <v>291.02699999999999</v>
      </c>
      <c r="I22" s="20">
        <v>11.978999999999999</v>
      </c>
      <c r="J22" s="99">
        <v>42.244</v>
      </c>
      <c r="K22" s="31"/>
      <c r="L22" s="103">
        <v>27.724</v>
      </c>
      <c r="M22" s="23">
        <v>34.832000000000001</v>
      </c>
      <c r="N22" s="21">
        <v>2.3069999999999999</v>
      </c>
      <c r="O22" s="367">
        <v>23.155000000000001</v>
      </c>
      <c r="P22" s="366">
        <f t="shared" si="2"/>
        <v>1071.8590000000002</v>
      </c>
      <c r="Q22" s="49"/>
      <c r="R22" s="103">
        <v>73.088999999999999</v>
      </c>
      <c r="S22" s="23">
        <v>33.680999999999997</v>
      </c>
      <c r="T22" s="100">
        <v>113.777</v>
      </c>
      <c r="U22" s="50"/>
      <c r="V22" s="113">
        <v>15.243</v>
      </c>
      <c r="W22" s="401">
        <f t="shared" si="1"/>
        <v>235.79</v>
      </c>
      <c r="X22" s="56"/>
      <c r="Y22" s="975">
        <v>1050.98</v>
      </c>
      <c r="Z22" s="1610"/>
      <c r="AA22" s="1608"/>
      <c r="AB22" s="1609"/>
      <c r="AC22" s="2272"/>
      <c r="AD22" s="2196"/>
      <c r="AE22" s="2303"/>
      <c r="AF22" s="2326">
        <v>836.06899999999996</v>
      </c>
      <c r="AG22" s="2315">
        <v>630.096</v>
      </c>
      <c r="AH22" s="1803">
        <f>W22-V22-(IF(AND(Motpart!$Y$10="",Motpart!$Z$10=""),0,IF(AND(Motpart!$Y$10=0,Motpart!$Z$10=0),0,((T22/$T$30)*(Motpart!$Y$10+Motpart!$Z$10)))))</f>
        <v>212.82465796727922</v>
      </c>
    </row>
    <row r="23" spans="1:34">
      <c r="A23" s="2034" t="s">
        <v>218</v>
      </c>
      <c r="B23" s="857" t="s">
        <v>819</v>
      </c>
      <c r="C23" s="20">
        <v>2073.134</v>
      </c>
      <c r="D23" s="21">
        <v>824.60699999999997</v>
      </c>
      <c r="E23" s="20">
        <v>4441.1040000000003</v>
      </c>
      <c r="F23" s="20">
        <v>3743.893</v>
      </c>
      <c r="G23" s="20">
        <v>2700.1239999999998</v>
      </c>
      <c r="H23" s="21">
        <v>1205.383</v>
      </c>
      <c r="I23" s="20">
        <v>97.016000000000005</v>
      </c>
      <c r="J23" s="99">
        <v>6521.5020000000004</v>
      </c>
      <c r="K23" s="31"/>
      <c r="L23" s="103">
        <v>338.65199999999999</v>
      </c>
      <c r="M23" s="23">
        <v>2594.8850000000002</v>
      </c>
      <c r="N23" s="21">
        <v>76.444000000000003</v>
      </c>
      <c r="O23" s="367">
        <v>619.31899999999996</v>
      </c>
      <c r="P23" s="366">
        <f t="shared" si="2"/>
        <v>25236.062999999995</v>
      </c>
      <c r="Q23" s="49"/>
      <c r="R23" s="103">
        <v>3914.201</v>
      </c>
      <c r="S23" s="23">
        <v>19.007999999999999</v>
      </c>
      <c r="T23" s="100">
        <v>2639.0859999999998</v>
      </c>
      <c r="U23" s="50"/>
      <c r="V23" s="113">
        <v>3135.9679999999998</v>
      </c>
      <c r="W23" s="401">
        <f t="shared" si="1"/>
        <v>9708.262999999999</v>
      </c>
      <c r="X23" s="56"/>
      <c r="Y23" s="975">
        <v>21973.22</v>
      </c>
      <c r="Z23" s="1610"/>
      <c r="AA23" s="1608"/>
      <c r="AB23" s="1609"/>
      <c r="AC23" s="2272"/>
      <c r="AD23" s="2196"/>
      <c r="AE23" s="2303"/>
      <c r="AF23" s="2326">
        <v>15527.8</v>
      </c>
      <c r="AG23" s="2315">
        <v>17150.819</v>
      </c>
      <c r="AH23" s="1803">
        <f>W23-V23-(IF(AND(Motpart!$Y$10="",Motpart!$Z$10=""),0,IF(AND(Motpart!$Y$10=0,Motpart!$Z$10=0),0,((T23/$T$30)*(Motpart!$Y$10+Motpart!$Z$10)))))</f>
        <v>6393.1733431997236</v>
      </c>
    </row>
    <row r="24" spans="1:34">
      <c r="A24" s="2034" t="s">
        <v>219</v>
      </c>
      <c r="B24" s="849" t="s">
        <v>16</v>
      </c>
      <c r="C24" s="20">
        <v>1140.192</v>
      </c>
      <c r="D24" s="21">
        <v>447.87</v>
      </c>
      <c r="E24" s="20">
        <v>772.04300000000001</v>
      </c>
      <c r="F24" s="20">
        <v>1383.713</v>
      </c>
      <c r="G24" s="20">
        <v>602.90200000000004</v>
      </c>
      <c r="H24" s="21">
        <v>18.065000000000001</v>
      </c>
      <c r="I24" s="20">
        <v>40.828000000000003</v>
      </c>
      <c r="J24" s="99">
        <v>1133.971</v>
      </c>
      <c r="K24" s="31"/>
      <c r="L24" s="103">
        <v>104.494</v>
      </c>
      <c r="M24" s="23">
        <v>1528.5409999999999</v>
      </c>
      <c r="N24" s="21">
        <v>32.331000000000003</v>
      </c>
      <c r="O24" s="367">
        <v>168.15899999999999</v>
      </c>
      <c r="P24" s="366">
        <f t="shared" si="2"/>
        <v>7373.1090000000004</v>
      </c>
      <c r="Q24" s="49"/>
      <c r="R24" s="103">
        <v>22.766999999999999</v>
      </c>
      <c r="S24" s="23">
        <v>4.6520000000000001</v>
      </c>
      <c r="T24" s="100">
        <v>429.47399999999999</v>
      </c>
      <c r="U24" s="50"/>
      <c r="V24" s="113">
        <v>926.64599999999996</v>
      </c>
      <c r="W24" s="401">
        <f t="shared" si="1"/>
        <v>1383.539</v>
      </c>
      <c r="X24" s="56"/>
      <c r="Y24" s="975">
        <v>6415.18</v>
      </c>
      <c r="Z24" s="1610"/>
      <c r="AA24" s="1608"/>
      <c r="AB24" s="1609"/>
      <c r="AC24" s="2272"/>
      <c r="AD24" s="2196"/>
      <c r="AE24" s="2303"/>
      <c r="AF24" s="2326">
        <v>5989.57</v>
      </c>
      <c r="AG24" s="2315">
        <v>5044.6850000000004</v>
      </c>
      <c r="AH24" s="1803">
        <f>W24-V24-(IF(AND(Motpart!$Y$10="",Motpart!$Z$10=""),0,IF(AND(Motpart!$Y$10=0,Motpart!$Z$10=0),0,((T24/$T$30)*(Motpart!$Y$10+Motpart!$Z$10)))))</f>
        <v>427.7434783729513</v>
      </c>
    </row>
    <row r="25" spans="1:34">
      <c r="A25" s="2034" t="s">
        <v>220</v>
      </c>
      <c r="B25" s="849" t="s">
        <v>59</v>
      </c>
      <c r="C25" s="20">
        <v>1533.3620000000001</v>
      </c>
      <c r="D25" s="21">
        <v>604.88599999999997</v>
      </c>
      <c r="E25" s="20">
        <v>48.493000000000002</v>
      </c>
      <c r="F25" s="20">
        <v>176.76400000000001</v>
      </c>
      <c r="G25" s="20">
        <v>265.17</v>
      </c>
      <c r="H25" s="21">
        <v>11.323</v>
      </c>
      <c r="I25" s="20">
        <v>39.731000000000002</v>
      </c>
      <c r="J25" s="99">
        <v>16.603000000000002</v>
      </c>
      <c r="K25" s="31"/>
      <c r="L25" s="103">
        <v>72.897999999999996</v>
      </c>
      <c r="M25" s="23">
        <v>227.68299999999999</v>
      </c>
      <c r="N25" s="21">
        <v>16.376000000000001</v>
      </c>
      <c r="O25" s="367">
        <v>100.03</v>
      </c>
      <c r="P25" s="366">
        <f t="shared" si="2"/>
        <v>3113.3190000000009</v>
      </c>
      <c r="Q25" s="49"/>
      <c r="R25" s="103">
        <v>1035.5650000000001</v>
      </c>
      <c r="S25" s="23">
        <v>0.10199999999999999</v>
      </c>
      <c r="T25" s="100">
        <v>227.21700000000001</v>
      </c>
      <c r="U25" s="50"/>
      <c r="V25" s="113">
        <v>268.75700000000001</v>
      </c>
      <c r="W25" s="401">
        <f t="shared" si="1"/>
        <v>1531.6410000000003</v>
      </c>
      <c r="X25" s="56"/>
      <c r="Y25" s="975">
        <v>2810.04</v>
      </c>
      <c r="Z25" s="1594"/>
      <c r="AA25" s="1608"/>
      <c r="AB25" s="1609"/>
      <c r="AC25" s="2272"/>
      <c r="AD25" s="2196"/>
      <c r="AE25" s="2303"/>
      <c r="AF25" s="2326">
        <v>1581.6780000000001</v>
      </c>
      <c r="AG25" s="2315">
        <v>2656.4749999999999</v>
      </c>
      <c r="AH25" s="1803">
        <f>W25-V25-(IF(AND(Motpart!$Y$10="",Motpart!$Z$10=""),0,IF(AND(Motpart!$Y$10=0,Motpart!$Z$10=0),0,((T25/$T$30)*(Motpart!$Y$10+Motpart!$Z$10)))))</f>
        <v>1247.4621890043798</v>
      </c>
    </row>
    <row r="26" spans="1:34">
      <c r="A26" s="2034" t="s">
        <v>221</v>
      </c>
      <c r="B26" s="849" t="s">
        <v>60</v>
      </c>
      <c r="C26" s="20">
        <v>597.96</v>
      </c>
      <c r="D26" s="21">
        <v>235.09700000000001</v>
      </c>
      <c r="E26" s="20">
        <v>352.90199999999999</v>
      </c>
      <c r="F26" s="20">
        <v>52.337000000000003</v>
      </c>
      <c r="G26" s="20">
        <v>522.14400000000001</v>
      </c>
      <c r="H26" s="21">
        <v>77.977999999999994</v>
      </c>
      <c r="I26" s="20">
        <v>18.241</v>
      </c>
      <c r="J26" s="99">
        <v>59.067</v>
      </c>
      <c r="K26" s="31"/>
      <c r="L26" s="103">
        <v>31.786999999999999</v>
      </c>
      <c r="M26" s="23">
        <v>177.19300000000001</v>
      </c>
      <c r="N26" s="21">
        <v>6.6260000000000003</v>
      </c>
      <c r="O26" s="367">
        <v>71.88</v>
      </c>
      <c r="P26" s="366">
        <f t="shared" si="2"/>
        <v>2203.2120000000004</v>
      </c>
      <c r="Q26" s="49"/>
      <c r="R26" s="103">
        <v>47.585999999999999</v>
      </c>
      <c r="S26" s="23">
        <v>1.3879999999999999</v>
      </c>
      <c r="T26" s="100">
        <v>661.95299999999997</v>
      </c>
      <c r="U26" s="50"/>
      <c r="V26" s="113">
        <v>81.453000000000003</v>
      </c>
      <c r="W26" s="401">
        <f t="shared" si="1"/>
        <v>792.38</v>
      </c>
      <c r="X26" s="56"/>
      <c r="Y26" s="975">
        <v>2091.971</v>
      </c>
      <c r="Z26" s="1611"/>
      <c r="AA26" s="1598"/>
      <c r="AB26" s="1598"/>
      <c r="AC26" s="2270"/>
      <c r="AD26" s="2196"/>
      <c r="AE26" s="2303"/>
      <c r="AF26" s="2326">
        <v>1410.8320000000001</v>
      </c>
      <c r="AG26" s="2315">
        <v>1991.444</v>
      </c>
      <c r="AH26" s="1803">
        <f>W26-V26-(IF(AND(Motpart!$Y$10="",Motpart!$Z$10=""),0,IF(AND(Motpart!$Y$10=0,Motpart!$Z$10=0),0,((T26/$T$30)*(Motpart!$Y$10+Motpart!$Z$10)))))</f>
        <v>665.99852169959115</v>
      </c>
    </row>
    <row r="27" spans="1:34">
      <c r="A27" s="2034" t="s">
        <v>222</v>
      </c>
      <c r="B27" s="849" t="s">
        <v>61</v>
      </c>
      <c r="C27" s="20">
        <v>136.40199999999999</v>
      </c>
      <c r="D27" s="21">
        <v>53.142000000000003</v>
      </c>
      <c r="E27" s="20">
        <v>2.0529999999999999</v>
      </c>
      <c r="F27" s="20">
        <v>12.096</v>
      </c>
      <c r="G27" s="20">
        <v>23.898</v>
      </c>
      <c r="H27" s="21">
        <v>0.156</v>
      </c>
      <c r="I27" s="20">
        <v>1.4970000000000001</v>
      </c>
      <c r="J27" s="99">
        <v>0.49299999999999999</v>
      </c>
      <c r="K27" s="31"/>
      <c r="L27" s="103">
        <v>3.3180000000000001</v>
      </c>
      <c r="M27" s="23">
        <v>27.216999999999999</v>
      </c>
      <c r="N27" s="21">
        <v>1.9990000000000001</v>
      </c>
      <c r="O27" s="367">
        <v>8.5299999999999994</v>
      </c>
      <c r="P27" s="366">
        <f t="shared" si="2"/>
        <v>270.80099999999999</v>
      </c>
      <c r="Q27" s="49"/>
      <c r="R27" s="103">
        <v>156.55799999999999</v>
      </c>
      <c r="S27" s="23">
        <v>5.0000000000000001E-3</v>
      </c>
      <c r="T27" s="100">
        <v>16.507000000000001</v>
      </c>
      <c r="U27" s="50"/>
      <c r="V27" s="113">
        <v>15.532</v>
      </c>
      <c r="W27" s="401">
        <f t="shared" si="1"/>
        <v>188.602</v>
      </c>
      <c r="X27" s="56"/>
      <c r="Y27" s="975">
        <v>252.83</v>
      </c>
      <c r="Z27" s="1597"/>
      <c r="AA27" s="1598"/>
      <c r="AB27" s="1598"/>
      <c r="AC27" s="2270"/>
      <c r="AD27" s="2196"/>
      <c r="AE27" s="2303"/>
      <c r="AF27" s="2326">
        <v>82.198999999999998</v>
      </c>
      <c r="AG27" s="2315">
        <v>243.017</v>
      </c>
      <c r="AH27" s="1803">
        <f>W27-V27-(IF(AND(Motpart!$Y$10="",Motpart!$Z$10=""),0,IF(AND(Motpart!$Y$10=0,Motpart!$Z$10=0),0,((T27/$T$30)*(Motpart!$Y$10+Motpart!$Z$10)))))</f>
        <v>171.94962681443417</v>
      </c>
    </row>
    <row r="28" spans="1:34">
      <c r="A28" s="2034" t="s">
        <v>223</v>
      </c>
      <c r="B28" s="849" t="s">
        <v>17</v>
      </c>
      <c r="C28" s="20">
        <v>1661.42</v>
      </c>
      <c r="D28" s="21">
        <v>652.29700000000003</v>
      </c>
      <c r="E28" s="20">
        <v>204.03399999999999</v>
      </c>
      <c r="F28" s="20">
        <v>4781.9709999999995</v>
      </c>
      <c r="G28" s="20">
        <v>402.87799999999999</v>
      </c>
      <c r="H28" s="21">
        <v>958.20799999999997</v>
      </c>
      <c r="I28" s="20">
        <v>111.562</v>
      </c>
      <c r="J28" s="99">
        <v>216.28700000000001</v>
      </c>
      <c r="K28" s="31"/>
      <c r="L28" s="103">
        <v>241.858</v>
      </c>
      <c r="M28" s="23">
        <v>180.71899999999999</v>
      </c>
      <c r="N28" s="21">
        <v>30.731000000000002</v>
      </c>
      <c r="O28" s="367">
        <v>140.87700000000001</v>
      </c>
      <c r="P28" s="366">
        <f t="shared" si="2"/>
        <v>9582.8419999999987</v>
      </c>
      <c r="Q28" s="49"/>
      <c r="R28" s="103">
        <v>146.899</v>
      </c>
      <c r="S28" s="23">
        <v>35.728000000000002</v>
      </c>
      <c r="T28" s="100">
        <v>457.12200000000001</v>
      </c>
      <c r="U28" s="50"/>
      <c r="V28" s="113">
        <v>201.1</v>
      </c>
      <c r="W28" s="401">
        <f t="shared" si="1"/>
        <v>840.84900000000005</v>
      </c>
      <c r="X28" s="56"/>
      <c r="Y28" s="975">
        <v>9236.9429999999993</v>
      </c>
      <c r="Z28" s="1597"/>
      <c r="AA28" s="1598"/>
      <c r="AB28" s="1598"/>
      <c r="AC28" s="2270"/>
      <c r="AD28" s="2196"/>
      <c r="AE28" s="2303"/>
      <c r="AF28" s="2326">
        <v>8741.9930000000004</v>
      </c>
      <c r="AG28" s="2315">
        <v>3641.5630000000001</v>
      </c>
      <c r="AH28" s="1803">
        <f>W28-V28-(IF(AND(Motpart!$Y$10="",Motpart!$Z$10=""),0,IF(AND(Motpart!$Y$10=0,Motpart!$Z$10=0),0,((T28/$T$30)*(Motpart!$Y$10+Motpart!$Z$10)))))</f>
        <v>608.72293643107673</v>
      </c>
    </row>
    <row r="29" spans="1:34">
      <c r="A29" s="2034" t="s">
        <v>224</v>
      </c>
      <c r="B29" s="849" t="s">
        <v>62</v>
      </c>
      <c r="C29" s="20">
        <v>295.83300000000003</v>
      </c>
      <c r="D29" s="21">
        <v>115.621</v>
      </c>
      <c r="E29" s="20">
        <v>77.438000000000002</v>
      </c>
      <c r="F29" s="20">
        <v>18.327000000000002</v>
      </c>
      <c r="G29" s="20">
        <v>346.28699999999998</v>
      </c>
      <c r="H29" s="21">
        <v>10.191000000000001</v>
      </c>
      <c r="I29" s="20">
        <v>9.9740000000000002</v>
      </c>
      <c r="J29" s="99">
        <v>29.323</v>
      </c>
      <c r="K29" s="31"/>
      <c r="L29" s="103">
        <v>9.4930000000000003</v>
      </c>
      <c r="M29" s="23">
        <v>62.887</v>
      </c>
      <c r="N29" s="21">
        <v>3.4790000000000001</v>
      </c>
      <c r="O29" s="367">
        <v>36.673000000000002</v>
      </c>
      <c r="P29" s="366">
        <f t="shared" si="2"/>
        <v>1015.5260000000001</v>
      </c>
      <c r="Q29" s="49"/>
      <c r="R29" s="103">
        <v>10.54</v>
      </c>
      <c r="S29" s="23">
        <v>2.4630000000000001</v>
      </c>
      <c r="T29" s="100">
        <v>454.48700000000002</v>
      </c>
      <c r="U29" s="50"/>
      <c r="V29" s="113">
        <v>69.825000000000003</v>
      </c>
      <c r="W29" s="401">
        <f t="shared" si="1"/>
        <v>537.31500000000005</v>
      </c>
      <c r="X29" s="56"/>
      <c r="Y29" s="975">
        <v>920.64200000000005</v>
      </c>
      <c r="Z29" s="1605"/>
      <c r="AA29" s="1606"/>
      <c r="AB29" s="1606"/>
      <c r="AC29" s="2273"/>
      <c r="AD29" s="2196"/>
      <c r="AE29" s="2303"/>
      <c r="AF29" s="2326">
        <v>478.21100000000001</v>
      </c>
      <c r="AG29" s="2315">
        <v>917.18299999999999</v>
      </c>
      <c r="AH29" s="1803">
        <f>W29-V29-(IF(AND(Motpart!$Y$10="",Motpart!$Z$10=""),0,IF(AND(Motpart!$Y$10=0,Motpart!$Z$10=0),0,((T29/$T$30)*(Motpart!$Y$10+Motpart!$Z$10)))))</f>
        <v>436.64278076038948</v>
      </c>
    </row>
    <row r="30" spans="1:34" ht="12.75" customHeight="1" thickBot="1">
      <c r="A30" s="2047" t="s">
        <v>225</v>
      </c>
      <c r="B30" s="849" t="s">
        <v>63</v>
      </c>
      <c r="C30" s="359">
        <f t="shared" ref="C30:M30" si="3">SUM(C19:C29)</f>
        <v>12997.539000000002</v>
      </c>
      <c r="D30" s="26">
        <f t="shared" si="3"/>
        <v>5102.1220000000003</v>
      </c>
      <c r="E30" s="26">
        <f t="shared" si="3"/>
        <v>7406.6039999999994</v>
      </c>
      <c r="F30" s="370">
        <f t="shared" si="3"/>
        <v>10577.278999999999</v>
      </c>
      <c r="G30" s="371">
        <f t="shared" si="3"/>
        <v>8686.6380000000008</v>
      </c>
      <c r="H30" s="372">
        <f t="shared" si="3"/>
        <v>3517.922</v>
      </c>
      <c r="I30" s="359">
        <f t="shared" si="3"/>
        <v>1211.2449999999999</v>
      </c>
      <c r="J30" s="104">
        <f t="shared" si="3"/>
        <v>9157.7780000000002</v>
      </c>
      <c r="K30" s="146"/>
      <c r="L30" s="368">
        <f>SUM(L19:L29)</f>
        <v>1313.3049999999998</v>
      </c>
      <c r="M30" s="359">
        <f t="shared" si="3"/>
        <v>6596.223</v>
      </c>
      <c r="N30" s="26">
        <f t="shared" ref="N30:W30" si="4">SUM(N19:N29)</f>
        <v>306.32899999999995</v>
      </c>
      <c r="O30" s="26">
        <f t="shared" si="4"/>
        <v>1655.7129999999997</v>
      </c>
      <c r="P30" s="104">
        <f t="shared" si="4"/>
        <v>68528.696999999986</v>
      </c>
      <c r="Q30" s="49"/>
      <c r="R30" s="368">
        <f t="shared" si="4"/>
        <v>8746.6350000000002</v>
      </c>
      <c r="S30" s="359">
        <f t="shared" si="4"/>
        <v>406.67699999999991</v>
      </c>
      <c r="T30" s="104">
        <f t="shared" si="4"/>
        <v>7430.1399999999994</v>
      </c>
      <c r="U30" s="49"/>
      <c r="V30" s="116">
        <f t="shared" si="4"/>
        <v>7503.8050000000003</v>
      </c>
      <c r="W30" s="117">
        <f t="shared" si="4"/>
        <v>24087.256999999994</v>
      </c>
      <c r="X30" s="56"/>
      <c r="Y30" s="1613">
        <v>60520.561000000002</v>
      </c>
      <c r="Z30" s="956">
        <f>(P30-W30)*1000/invanare</f>
        <v>4223.8467390184478</v>
      </c>
      <c r="AA30" s="956">
        <f>Y30*1000/invanare</f>
        <v>5752.0542588947865</v>
      </c>
      <c r="AB30" s="956">
        <v>5371.4489999999996</v>
      </c>
      <c r="AC30" s="2271">
        <f>IF(ISERROR((AA30-AB30)/AB30)," ",((AA30-AB30)/AB30))</f>
        <v>7.085709254519347E-2</v>
      </c>
      <c r="AD30" s="2196"/>
      <c r="AE30" s="2304">
        <f>IF(ISERROR(F30/(AA30/1000*invanare)),"",(F30/(AA30/100000*invanare)))</f>
        <v>17.477166148542473</v>
      </c>
      <c r="AF30" s="2326">
        <v>44441.411999999997</v>
      </c>
      <c r="AG30" s="2316">
        <v>46929.663</v>
      </c>
      <c r="AH30" s="1805">
        <f>W30-V30-SUM(Motpart!Y10:Z10)</f>
        <v>16079.148999999994</v>
      </c>
    </row>
    <row r="31" spans="1:34" ht="37.5" customHeight="1" thickBot="1">
      <c r="A31" s="2043"/>
      <c r="B31" s="852" t="s">
        <v>64</v>
      </c>
      <c r="C31" s="892"/>
      <c r="D31" s="893"/>
      <c r="E31" s="894"/>
      <c r="F31" s="895"/>
      <c r="G31" s="896"/>
      <c r="H31" s="897"/>
      <c r="I31" s="896"/>
      <c r="J31" s="898"/>
      <c r="K31" s="31"/>
      <c r="L31" s="922"/>
      <c r="M31" s="896"/>
      <c r="N31" s="893"/>
      <c r="O31" s="893"/>
      <c r="P31" s="898"/>
      <c r="Q31" s="50"/>
      <c r="R31" s="922"/>
      <c r="S31" s="896"/>
      <c r="T31" s="898"/>
      <c r="U31" s="50"/>
      <c r="V31" s="937"/>
      <c r="W31" s="938"/>
      <c r="X31" s="31"/>
      <c r="Y31" s="1614" t="s">
        <v>938</v>
      </c>
      <c r="Z31" s="2560"/>
      <c r="AA31" s="2531"/>
      <c r="AB31" s="2531"/>
      <c r="AC31" s="2532"/>
      <c r="AD31" s="2196"/>
      <c r="AE31" s="2303">
        <f>IF(ISERROR(F30/(AA30/1000*invanare)),"",(SUM(Motpart!D10,Motpart!F10)/(AA30/100000*invanare)))</f>
        <v>7.2247397045774235</v>
      </c>
      <c r="AF31" s="2329"/>
      <c r="AG31" s="2318"/>
      <c r="AH31" s="1806"/>
    </row>
    <row r="32" spans="1:34" ht="9" customHeight="1">
      <c r="A32" s="2049"/>
      <c r="B32" s="853" t="s">
        <v>65</v>
      </c>
      <c r="C32" s="899"/>
      <c r="D32" s="900"/>
      <c r="E32" s="901"/>
      <c r="F32" s="902"/>
      <c r="G32" s="903"/>
      <c r="H32" s="904"/>
      <c r="I32" s="903"/>
      <c r="J32" s="905"/>
      <c r="K32" s="31"/>
      <c r="L32" s="923"/>
      <c r="M32" s="903"/>
      <c r="N32" s="900"/>
      <c r="O32" s="900"/>
      <c r="P32" s="905"/>
      <c r="Q32" s="50"/>
      <c r="R32" s="923"/>
      <c r="S32" s="903"/>
      <c r="T32" s="905"/>
      <c r="U32" s="50"/>
      <c r="V32" s="939"/>
      <c r="W32" s="940"/>
      <c r="X32" s="31"/>
      <c r="Y32" s="1473"/>
      <c r="Z32" s="950"/>
      <c r="AA32" s="951"/>
      <c r="AB32" s="952"/>
      <c r="AC32" s="2274"/>
      <c r="AD32" s="2196"/>
      <c r="AE32" s="2303"/>
      <c r="AF32" s="2330"/>
      <c r="AG32" s="2319"/>
      <c r="AH32" s="1807"/>
    </row>
    <row r="33" spans="1:34" ht="12" customHeight="1">
      <c r="A33" s="2034" t="s">
        <v>226</v>
      </c>
      <c r="B33" s="851" t="s">
        <v>66</v>
      </c>
      <c r="C33" s="20">
        <v>9.8859999999999992</v>
      </c>
      <c r="D33" s="21">
        <v>3.8530000000000002</v>
      </c>
      <c r="E33" s="447">
        <v>1.3160000000000001</v>
      </c>
      <c r="F33" s="448">
        <v>0.91400000000000003</v>
      </c>
      <c r="G33" s="20">
        <v>4.335</v>
      </c>
      <c r="H33" s="449">
        <v>586.52599999999995</v>
      </c>
      <c r="I33" s="20">
        <v>3.4369999999999998</v>
      </c>
      <c r="J33" s="99">
        <v>0.29399999999999998</v>
      </c>
      <c r="K33" s="31"/>
      <c r="L33" s="102">
        <v>7.3529999999999998</v>
      </c>
      <c r="M33" s="20">
        <v>3.4660000000000002</v>
      </c>
      <c r="N33" s="21">
        <v>0.41299999999999998</v>
      </c>
      <c r="O33" s="367">
        <v>1.327</v>
      </c>
      <c r="P33" s="366">
        <f>SUM(C33:O33)</f>
        <v>623.11999999999989</v>
      </c>
      <c r="Q33" s="49"/>
      <c r="R33" s="102">
        <v>1.177</v>
      </c>
      <c r="S33" s="20">
        <v>2.5369999999999999</v>
      </c>
      <c r="T33" s="99">
        <v>3.7349999999999999</v>
      </c>
      <c r="U33" s="50"/>
      <c r="V33" s="112">
        <v>2.629</v>
      </c>
      <c r="W33" s="401">
        <f>SUM(R33:V33)</f>
        <v>10.077999999999999</v>
      </c>
      <c r="X33" s="56"/>
      <c r="Y33" s="955">
        <v>620.32899999999995</v>
      </c>
      <c r="Z33" s="950"/>
      <c r="AA33" s="950"/>
      <c r="AB33" s="950"/>
      <c r="AC33" s="2275"/>
      <c r="AD33" s="2196"/>
      <c r="AE33" s="2303"/>
      <c r="AF33" s="2326">
        <v>613.04200000000003</v>
      </c>
      <c r="AG33" s="2315">
        <v>33.051000000000002</v>
      </c>
      <c r="AH33" s="1803">
        <f>W33-V33-(IF(AND(Motpart!$Y$11="",Motpart!$Z$11=""),0,IF(AND(Motpart!$Y$11=0,Motpart!$Z$11=0),0,((T33/$T$37)*(Motpart!$Y$11+Motpart!$Z$11)))))</f>
        <v>7.3907572288326673</v>
      </c>
    </row>
    <row r="34" spans="1:34">
      <c r="A34" s="2034" t="s">
        <v>227</v>
      </c>
      <c r="B34" s="849" t="s">
        <v>67</v>
      </c>
      <c r="C34" s="20">
        <v>1361.4939999999999</v>
      </c>
      <c r="D34" s="21">
        <v>526.25800000000004</v>
      </c>
      <c r="E34" s="20">
        <v>281.66800000000001</v>
      </c>
      <c r="F34" s="20">
        <v>138.67500000000001</v>
      </c>
      <c r="G34" s="20">
        <v>983.82</v>
      </c>
      <c r="H34" s="24">
        <v>1309.923</v>
      </c>
      <c r="I34" s="23">
        <v>320.87799999999999</v>
      </c>
      <c r="J34" s="100">
        <v>125.196</v>
      </c>
      <c r="K34" s="31"/>
      <c r="L34" s="103">
        <v>716.625</v>
      </c>
      <c r="M34" s="23">
        <v>381.02600000000001</v>
      </c>
      <c r="N34" s="21">
        <v>20.062000000000001</v>
      </c>
      <c r="O34" s="367">
        <v>148.666</v>
      </c>
      <c r="P34" s="366">
        <f>SUM(C34:O34)</f>
        <v>6314.2910000000002</v>
      </c>
      <c r="Q34" s="49"/>
      <c r="R34" s="103">
        <v>104.765</v>
      </c>
      <c r="S34" s="23">
        <v>87.236999999999995</v>
      </c>
      <c r="T34" s="100">
        <v>822.46600000000001</v>
      </c>
      <c r="U34" s="50"/>
      <c r="V34" s="113">
        <v>324.77800000000002</v>
      </c>
      <c r="W34" s="401">
        <f>SUM(R34:V34)</f>
        <v>1339.2460000000001</v>
      </c>
      <c r="X34" s="56"/>
      <c r="Y34" s="975">
        <v>5979.3360000000002</v>
      </c>
      <c r="Z34" s="950"/>
      <c r="AA34" s="950"/>
      <c r="AB34" s="950"/>
      <c r="AC34" s="2275"/>
      <c r="AD34" s="2196"/>
      <c r="AE34" s="2303"/>
      <c r="AF34" s="2326">
        <v>4975.0450000000001</v>
      </c>
      <c r="AG34" s="2315">
        <v>4540.915</v>
      </c>
      <c r="AH34" s="1803">
        <f>W34-V34-(IF(AND(Motpart!$Y$11="",Motpart!$Z$11=""),0,IF(AND(Motpart!$Y$11=0,Motpart!$Z$11=0),0,((T34/$T$37)*(Motpart!$Y$11+Motpart!$Z$11)))))</f>
        <v>1001.6426455071188</v>
      </c>
    </row>
    <row r="35" spans="1:34">
      <c r="A35" s="2034" t="s">
        <v>228</v>
      </c>
      <c r="B35" s="849" t="s">
        <v>68</v>
      </c>
      <c r="C35" s="20">
        <v>2025.5709999999999</v>
      </c>
      <c r="D35" s="21">
        <v>790.93799999999999</v>
      </c>
      <c r="E35" s="23">
        <v>634.79200000000003</v>
      </c>
      <c r="F35" s="23">
        <v>39.500999999999998</v>
      </c>
      <c r="G35" s="23">
        <v>510.47500000000002</v>
      </c>
      <c r="H35" s="24">
        <v>6.508</v>
      </c>
      <c r="I35" s="23">
        <v>348.47199999999998</v>
      </c>
      <c r="J35" s="100">
        <v>116.85</v>
      </c>
      <c r="K35" s="31"/>
      <c r="L35" s="103">
        <v>624.83900000000006</v>
      </c>
      <c r="M35" s="23">
        <v>289.18099999999998</v>
      </c>
      <c r="N35" s="21">
        <v>35.515000000000001</v>
      </c>
      <c r="O35" s="367">
        <v>191.36500000000001</v>
      </c>
      <c r="P35" s="366">
        <f>SUM(C35:O35)</f>
        <v>5614.0069999999996</v>
      </c>
      <c r="Q35" s="49"/>
      <c r="R35" s="103">
        <v>38.901000000000003</v>
      </c>
      <c r="S35" s="23">
        <v>5.069</v>
      </c>
      <c r="T35" s="100">
        <v>377.56099999999998</v>
      </c>
      <c r="U35" s="50"/>
      <c r="V35" s="113">
        <v>203.256</v>
      </c>
      <c r="W35" s="401">
        <f>SUM(R35:V35)</f>
        <v>624.78700000000003</v>
      </c>
      <c r="X35" s="56"/>
      <c r="Y35" s="975">
        <v>5403.0050000000001</v>
      </c>
      <c r="Z35" s="950"/>
      <c r="AA35" s="950"/>
      <c r="AB35" s="950"/>
      <c r="AC35" s="2275"/>
      <c r="AD35" s="2196"/>
      <c r="AE35" s="2303"/>
      <c r="AF35" s="2326">
        <v>4989.22</v>
      </c>
      <c r="AG35" s="2315">
        <v>5364.7420000000002</v>
      </c>
      <c r="AH35" s="1803">
        <f>W35-V35-(IF(AND(Motpart!$Y$11="",Motpart!$Z$11=""),0,IF(AND(Motpart!$Y$11=0,Motpart!$Z$11=0),0,((T35/$T$37)*(Motpart!$Y$11+Motpart!$Z$11)))))</f>
        <v>415.64339653956921</v>
      </c>
    </row>
    <row r="36" spans="1:34">
      <c r="A36" s="2034" t="s">
        <v>229</v>
      </c>
      <c r="B36" s="849" t="s">
        <v>69</v>
      </c>
      <c r="C36" s="20">
        <v>1783.5740000000001</v>
      </c>
      <c r="D36" s="21">
        <v>692.30499999999995</v>
      </c>
      <c r="E36" s="23">
        <v>103.51300000000001</v>
      </c>
      <c r="F36" s="23">
        <v>95.046999999999997</v>
      </c>
      <c r="G36" s="23">
        <v>211.08799999999999</v>
      </c>
      <c r="H36" s="24">
        <v>15.083</v>
      </c>
      <c r="I36" s="23">
        <v>102.184</v>
      </c>
      <c r="J36" s="100">
        <v>30.050999999999998</v>
      </c>
      <c r="K36" s="31"/>
      <c r="L36" s="103">
        <v>257.392</v>
      </c>
      <c r="M36" s="23">
        <v>186.696</v>
      </c>
      <c r="N36" s="21">
        <v>17.085999999999999</v>
      </c>
      <c r="O36" s="367">
        <v>123.262</v>
      </c>
      <c r="P36" s="366">
        <f>SUM(C36:O36)</f>
        <v>3617.2809999999999</v>
      </c>
      <c r="Q36" s="49"/>
      <c r="R36" s="103">
        <v>250.84200000000001</v>
      </c>
      <c r="S36" s="23">
        <v>3.5619999999999998</v>
      </c>
      <c r="T36" s="100">
        <v>284.20299999999997</v>
      </c>
      <c r="U36" s="50"/>
      <c r="V36" s="113">
        <v>161.31700000000001</v>
      </c>
      <c r="W36" s="401">
        <f>SUM(R36:V36)</f>
        <v>699.92399999999998</v>
      </c>
      <c r="X36" s="56"/>
      <c r="Y36" s="975">
        <v>3450.8429999999998</v>
      </c>
      <c r="Z36" s="957">
        <f>(P36-W36)*1000/invanare</f>
        <v>277.2742928897589</v>
      </c>
      <c r="AA36" s="957">
        <f>Y36*1000/inv7_15</f>
        <v>3056.4697629556017</v>
      </c>
      <c r="AB36" s="957">
        <v>2929.7310000000002</v>
      </c>
      <c r="AC36" s="2276">
        <f>IF(ISERROR((AA36-AB36)/AB36)," ",((AA36-AB36)/AB36))</f>
        <v>4.3259522104794425E-2</v>
      </c>
      <c r="AD36" s="2196"/>
      <c r="AE36" s="2303"/>
      <c r="AF36" s="2326">
        <v>2917.357</v>
      </c>
      <c r="AG36" s="2315">
        <v>3345.8339999999998</v>
      </c>
      <c r="AH36" s="1803">
        <f>W36-V36-(IF(AND(Motpart!$Y$11="",Motpart!$Z$11=""),0,IF(AND(Motpart!$Y$11=0,Motpart!$Z$11=0),0,((T36/$T$37)*(Motpart!$Y$11+Motpart!$Z$11)))))</f>
        <v>534.1752007244794</v>
      </c>
    </row>
    <row r="37" spans="1:34">
      <c r="A37" s="2034" t="s">
        <v>230</v>
      </c>
      <c r="B37" s="849" t="s">
        <v>70</v>
      </c>
      <c r="C37" s="359">
        <f t="shared" ref="C37:M37" si="5">SUM(C33:C36)</f>
        <v>5180.5249999999996</v>
      </c>
      <c r="D37" s="26">
        <f t="shared" si="5"/>
        <v>2013.3539999999998</v>
      </c>
      <c r="E37" s="359">
        <f t="shared" si="5"/>
        <v>1021.2890000000001</v>
      </c>
      <c r="F37" s="359">
        <f t="shared" si="5"/>
        <v>274.137</v>
      </c>
      <c r="G37" s="359">
        <f t="shared" si="5"/>
        <v>1709.7180000000001</v>
      </c>
      <c r="H37" s="26">
        <f t="shared" si="5"/>
        <v>1918.0400000000002</v>
      </c>
      <c r="I37" s="359">
        <f t="shared" si="5"/>
        <v>774.971</v>
      </c>
      <c r="J37" s="104">
        <f t="shared" si="5"/>
        <v>272.39099999999996</v>
      </c>
      <c r="K37" s="146"/>
      <c r="L37" s="368">
        <f>SUM(L33:L36)</f>
        <v>1606.2090000000001</v>
      </c>
      <c r="M37" s="359">
        <f t="shared" si="5"/>
        <v>860.36900000000003</v>
      </c>
      <c r="N37" s="26">
        <f t="shared" ref="N37:W37" si="6">SUM(N33:N36)</f>
        <v>73.075999999999993</v>
      </c>
      <c r="O37" s="26">
        <f t="shared" si="6"/>
        <v>464.62</v>
      </c>
      <c r="P37" s="104">
        <f t="shared" si="6"/>
        <v>16168.699000000001</v>
      </c>
      <c r="Q37" s="49"/>
      <c r="R37" s="368">
        <f t="shared" si="6"/>
        <v>395.68500000000006</v>
      </c>
      <c r="S37" s="359">
        <f t="shared" si="6"/>
        <v>98.405000000000001</v>
      </c>
      <c r="T37" s="104">
        <f t="shared" si="6"/>
        <v>1487.9649999999999</v>
      </c>
      <c r="U37" s="49"/>
      <c r="V37" s="116">
        <f t="shared" si="6"/>
        <v>691.98</v>
      </c>
      <c r="W37" s="117">
        <f t="shared" si="6"/>
        <v>2674.0349999999999</v>
      </c>
      <c r="X37" s="56"/>
      <c r="Y37" s="955">
        <v>15453.517</v>
      </c>
      <c r="Z37" s="958">
        <f>(P37-W37)*1000/invanare</f>
        <v>1282.5730338744572</v>
      </c>
      <c r="AA37" s="959">
        <f>Y37*1000/invanare</f>
        <v>1468.7482535853062</v>
      </c>
      <c r="AB37" s="959">
        <v>1392.55</v>
      </c>
      <c r="AC37" s="2277">
        <f>IF(ISERROR((AA37-AB37)/AB37)," ",((AA37-AB37)/AB37))</f>
        <v>5.4718504603286235E-2</v>
      </c>
      <c r="AD37" s="2196"/>
      <c r="AE37" s="2303"/>
      <c r="AF37" s="2326">
        <v>13494.665000000001</v>
      </c>
      <c r="AG37" s="2315">
        <v>13284.543</v>
      </c>
      <c r="AH37" s="1803">
        <f>W37-V37-SUM(Motpart!Y11:Z11)</f>
        <v>1958.8519999999999</v>
      </c>
    </row>
    <row r="38" spans="1:34" ht="9" customHeight="1">
      <c r="A38" s="2049"/>
      <c r="B38" s="853" t="s">
        <v>71</v>
      </c>
      <c r="C38" s="906"/>
      <c r="D38" s="907"/>
      <c r="E38" s="908"/>
      <c r="F38" s="908"/>
      <c r="G38" s="908"/>
      <c r="H38" s="907"/>
      <c r="I38" s="908"/>
      <c r="J38" s="909"/>
      <c r="K38" s="31"/>
      <c r="L38" s="924"/>
      <c r="M38" s="908"/>
      <c r="N38" s="907"/>
      <c r="O38" s="907"/>
      <c r="P38" s="909"/>
      <c r="Q38" s="50"/>
      <c r="R38" s="924"/>
      <c r="S38" s="908"/>
      <c r="T38" s="909"/>
      <c r="U38" s="50"/>
      <c r="V38" s="941"/>
      <c r="W38" s="942"/>
      <c r="X38" s="31"/>
      <c r="Y38" s="1473"/>
      <c r="Z38" s="950"/>
      <c r="AA38" s="951"/>
      <c r="AB38" s="952"/>
      <c r="AC38" s="2274"/>
      <c r="AD38" s="2196"/>
      <c r="AE38" s="2303"/>
      <c r="AF38" s="2326">
        <f t="shared" ref="AF38" si="7">P38-W38</f>
        <v>0</v>
      </c>
      <c r="AG38" s="2315">
        <f t="shared" ref="AG38:AG62" si="8">P38-F38-H38-V38</f>
        <v>0</v>
      </c>
      <c r="AH38" s="1803"/>
    </row>
    <row r="39" spans="1:34" ht="11.25" customHeight="1">
      <c r="A39" s="2034" t="s">
        <v>231</v>
      </c>
      <c r="B39" s="851" t="s">
        <v>72</v>
      </c>
      <c r="C39" s="20">
        <v>418.74200000000002</v>
      </c>
      <c r="D39" s="21">
        <v>162.95400000000001</v>
      </c>
      <c r="E39" s="20">
        <v>76.096000000000004</v>
      </c>
      <c r="F39" s="20">
        <v>61.518000000000001</v>
      </c>
      <c r="G39" s="20">
        <v>152.09299999999999</v>
      </c>
      <c r="H39" s="21">
        <v>1804.6769999999999</v>
      </c>
      <c r="I39" s="20">
        <v>77.137</v>
      </c>
      <c r="J39" s="99">
        <v>33.655000000000001</v>
      </c>
      <c r="K39" s="31"/>
      <c r="L39" s="102">
        <v>208.27600000000001</v>
      </c>
      <c r="M39" s="20">
        <v>122.578</v>
      </c>
      <c r="N39" s="21">
        <v>10.875</v>
      </c>
      <c r="O39" s="367">
        <v>40.616999999999997</v>
      </c>
      <c r="P39" s="366">
        <f>SUM(C39:O39)</f>
        <v>3169.2180000000003</v>
      </c>
      <c r="Q39" s="49"/>
      <c r="R39" s="102">
        <v>19.896999999999998</v>
      </c>
      <c r="S39" s="20">
        <v>22.3</v>
      </c>
      <c r="T39" s="99">
        <v>160.93799999999999</v>
      </c>
      <c r="U39" s="50"/>
      <c r="V39" s="112">
        <v>102.613</v>
      </c>
      <c r="W39" s="401">
        <f>SUM(R39:V39)</f>
        <v>305.74799999999999</v>
      </c>
      <c r="X39" s="56"/>
      <c r="Y39" s="975">
        <v>3064.1559999999999</v>
      </c>
      <c r="Z39" s="1616"/>
      <c r="AA39" s="1617"/>
      <c r="AB39" s="1617"/>
      <c r="AC39" s="2278"/>
      <c r="AD39" s="2196"/>
      <c r="AE39" s="2303"/>
      <c r="AF39" s="2326">
        <v>2863.47</v>
      </c>
      <c r="AG39" s="2315">
        <v>1200.4100000000001</v>
      </c>
      <c r="AH39" s="1803">
        <f>W39-V39-(IF(AND(Motpart!$Y$12="",Motpart!$Z$12=""),0,IF(AND(Motpart!$Y$12=0,Motpart!$Z$12=0),0,((T39/$T$42)*(Motpart!$Y$12+Motpart!$Z$12)))))</f>
        <v>200.30881531940867</v>
      </c>
    </row>
    <row r="40" spans="1:34">
      <c r="A40" s="2034" t="s">
        <v>232</v>
      </c>
      <c r="B40" s="849" t="s">
        <v>73</v>
      </c>
      <c r="C40" s="20">
        <v>2152.8020000000001</v>
      </c>
      <c r="D40" s="21">
        <v>831.98699999999997</v>
      </c>
      <c r="E40" s="23">
        <v>1523.588</v>
      </c>
      <c r="F40" s="23">
        <v>596.55100000000004</v>
      </c>
      <c r="G40" s="23">
        <v>989.40700000000004</v>
      </c>
      <c r="H40" s="24">
        <v>414.3</v>
      </c>
      <c r="I40" s="23">
        <v>1413.3979999999999</v>
      </c>
      <c r="J40" s="100">
        <v>1218.3140000000001</v>
      </c>
      <c r="K40" s="31"/>
      <c r="L40" s="103">
        <v>5506.6980000000003</v>
      </c>
      <c r="M40" s="23">
        <v>1142.5150000000001</v>
      </c>
      <c r="N40" s="21">
        <v>51.878</v>
      </c>
      <c r="O40" s="367">
        <v>494.56400000000002</v>
      </c>
      <c r="P40" s="366">
        <f>SUM(C40:O40)</f>
        <v>16336.002000000002</v>
      </c>
      <c r="Q40" s="49"/>
      <c r="R40" s="103">
        <v>877.16899999999998</v>
      </c>
      <c r="S40" s="23">
        <v>433.79700000000003</v>
      </c>
      <c r="T40" s="100">
        <v>1168.663</v>
      </c>
      <c r="U40" s="50"/>
      <c r="V40" s="113">
        <v>1363.3420000000001</v>
      </c>
      <c r="W40" s="401">
        <f>SUM(R40:V40)</f>
        <v>3842.971</v>
      </c>
      <c r="X40" s="56"/>
      <c r="Y40" s="975">
        <v>14950.544</v>
      </c>
      <c r="Z40" s="1616"/>
      <c r="AA40" s="1617"/>
      <c r="AB40" s="1617"/>
      <c r="AC40" s="2278"/>
      <c r="AD40" s="2196"/>
      <c r="AE40" s="2303"/>
      <c r="AF40" s="2326">
        <v>12493.031000000001</v>
      </c>
      <c r="AG40" s="2315">
        <v>13961.808999999999</v>
      </c>
      <c r="AH40" s="1803">
        <f>W40-V40-(IF(AND(Motpart!$Y$12="",Motpart!$Z$12=""),0,IF(AND(Motpart!$Y$12=0,Motpart!$Z$12=0),0,((T40/$T$42)*(Motpart!$Y$12+Motpart!$Z$12)))))</f>
        <v>2459.1064542533527</v>
      </c>
    </row>
    <row r="41" spans="1:34">
      <c r="A41" s="2034" t="s">
        <v>233</v>
      </c>
      <c r="B41" s="849" t="s">
        <v>74</v>
      </c>
      <c r="C41" s="20">
        <v>1304.7470000000001</v>
      </c>
      <c r="D41" s="21">
        <v>504.10500000000002</v>
      </c>
      <c r="E41" s="23">
        <v>153.78299999999999</v>
      </c>
      <c r="F41" s="23">
        <v>159.02799999999999</v>
      </c>
      <c r="G41" s="23">
        <v>202.821</v>
      </c>
      <c r="H41" s="24">
        <v>69.646000000000001</v>
      </c>
      <c r="I41" s="23">
        <v>106.435</v>
      </c>
      <c r="J41" s="100">
        <v>24.123000000000001</v>
      </c>
      <c r="K41" s="31"/>
      <c r="L41" s="103">
        <v>255.667</v>
      </c>
      <c r="M41" s="23">
        <v>227.13900000000001</v>
      </c>
      <c r="N41" s="21">
        <v>12.484</v>
      </c>
      <c r="O41" s="367">
        <v>96.63</v>
      </c>
      <c r="P41" s="366">
        <f>SUM(C41:O41)</f>
        <v>3116.6080000000002</v>
      </c>
      <c r="Q41" s="49"/>
      <c r="R41" s="103">
        <v>30.12</v>
      </c>
      <c r="S41" s="23">
        <v>11.372</v>
      </c>
      <c r="T41" s="100">
        <v>128.48400000000001</v>
      </c>
      <c r="U41" s="50"/>
      <c r="V41" s="113">
        <v>180.54900000000001</v>
      </c>
      <c r="W41" s="401">
        <f>SUM(R41:V41)</f>
        <v>350.52499999999998</v>
      </c>
      <c r="X41" s="56"/>
      <c r="Y41" s="975">
        <v>2935.018</v>
      </c>
      <c r="Z41" s="1616"/>
      <c r="AA41" s="1617"/>
      <c r="AB41" s="1617"/>
      <c r="AC41" s="2278"/>
      <c r="AD41" s="2196"/>
      <c r="AE41" s="2303"/>
      <c r="AF41" s="2326">
        <v>2766.0830000000001</v>
      </c>
      <c r="AG41" s="2315">
        <v>2707.3850000000002</v>
      </c>
      <c r="AH41" s="1803">
        <f>W41-V41-(IF(AND(Motpart!$Y$12="",Motpart!$Z$12=""),0,IF(AND(Motpart!$Y$12=0,Motpart!$Z$12=0),0,((T41/$T$42)*(Motpart!$Y$12+Motpart!$Z$12)))))</f>
        <v>167.71973042723843</v>
      </c>
    </row>
    <row r="42" spans="1:34">
      <c r="A42" s="2034" t="s">
        <v>234</v>
      </c>
      <c r="B42" s="849" t="s">
        <v>75</v>
      </c>
      <c r="C42" s="359">
        <f t="shared" ref="C42:W42" si="9">SUM(C39:C41)</f>
        <v>3876.2910000000002</v>
      </c>
      <c r="D42" s="26">
        <f t="shared" si="9"/>
        <v>1499.046</v>
      </c>
      <c r="E42" s="359">
        <f t="shared" si="9"/>
        <v>1753.4669999999999</v>
      </c>
      <c r="F42" s="359">
        <f t="shared" si="9"/>
        <v>817.09700000000009</v>
      </c>
      <c r="G42" s="359">
        <f t="shared" si="9"/>
        <v>1344.3209999999999</v>
      </c>
      <c r="H42" s="26">
        <f t="shared" si="9"/>
        <v>2288.623</v>
      </c>
      <c r="I42" s="359">
        <f t="shared" si="9"/>
        <v>1596.9699999999998</v>
      </c>
      <c r="J42" s="104">
        <f t="shared" si="9"/>
        <v>1276.0920000000001</v>
      </c>
      <c r="K42" s="146"/>
      <c r="L42" s="368">
        <f>SUM(L39:L41)</f>
        <v>5970.6410000000005</v>
      </c>
      <c r="M42" s="359">
        <f t="shared" si="9"/>
        <v>1492.232</v>
      </c>
      <c r="N42" s="26">
        <f t="shared" si="9"/>
        <v>75.236999999999995</v>
      </c>
      <c r="O42" s="26">
        <f t="shared" si="9"/>
        <v>631.81100000000004</v>
      </c>
      <c r="P42" s="366">
        <f>SUM(C42:O42)</f>
        <v>22621.828000000001</v>
      </c>
      <c r="Q42" s="49"/>
      <c r="R42" s="368">
        <f t="shared" si="9"/>
        <v>927.18600000000004</v>
      </c>
      <c r="S42" s="359">
        <f t="shared" si="9"/>
        <v>467.46900000000005</v>
      </c>
      <c r="T42" s="104">
        <f t="shared" si="9"/>
        <v>1458.085</v>
      </c>
      <c r="U42" s="49"/>
      <c r="V42" s="116">
        <f t="shared" si="9"/>
        <v>1646.5040000000001</v>
      </c>
      <c r="W42" s="117">
        <f t="shared" si="9"/>
        <v>4499.2439999999997</v>
      </c>
      <c r="X42" s="56"/>
      <c r="Y42" s="955">
        <v>20949.717000000001</v>
      </c>
      <c r="Z42" s="958">
        <f>(P42-W42)*1000/invanare</f>
        <v>1722.4243258316549</v>
      </c>
      <c r="AA42" s="959">
        <f>Y42*1000/invanare</f>
        <v>1991.1234612066883</v>
      </c>
      <c r="AB42" s="959">
        <v>1843.393</v>
      </c>
      <c r="AC42" s="2277">
        <f>IF(ISERROR((AA42-AB42)/AB42)," ",((AA42-AB42)/AB42))</f>
        <v>8.0140513285386364E-2</v>
      </c>
      <c r="AD42" s="2196"/>
      <c r="AE42" s="2303"/>
      <c r="AF42" s="2326">
        <v>18122.581999999999</v>
      </c>
      <c r="AG42" s="2315">
        <v>17869.601999999999</v>
      </c>
      <c r="AH42" s="1803">
        <f>W42-V42-SUM(Motpart!Y12:Z12)</f>
        <v>2827.1349999999998</v>
      </c>
    </row>
    <row r="43" spans="1:34" ht="12.75" customHeight="1" thickBot="1">
      <c r="A43" s="2045" t="s">
        <v>235</v>
      </c>
      <c r="B43" s="854" t="s">
        <v>76</v>
      </c>
      <c r="C43" s="373">
        <f>SUM(C37,C42)</f>
        <v>9056.8159999999989</v>
      </c>
      <c r="D43" s="374">
        <f t="shared" ref="D43:P43" si="10">SUM(D37,D42)</f>
        <v>3512.3999999999996</v>
      </c>
      <c r="E43" s="373">
        <f t="shared" si="10"/>
        <v>2774.7559999999999</v>
      </c>
      <c r="F43" s="373">
        <f t="shared" si="10"/>
        <v>1091.2340000000002</v>
      </c>
      <c r="G43" s="373">
        <f t="shared" si="10"/>
        <v>3054.0389999999998</v>
      </c>
      <c r="H43" s="374">
        <f t="shared" si="10"/>
        <v>4206.6630000000005</v>
      </c>
      <c r="I43" s="373">
        <f t="shared" si="10"/>
        <v>2371.9409999999998</v>
      </c>
      <c r="J43" s="375">
        <f t="shared" si="10"/>
        <v>1548.4830000000002</v>
      </c>
      <c r="K43" s="146"/>
      <c r="L43" s="376">
        <f>SUM(L37,L42)</f>
        <v>7576.85</v>
      </c>
      <c r="M43" s="373">
        <f t="shared" si="10"/>
        <v>2352.6010000000001</v>
      </c>
      <c r="N43" s="374">
        <f t="shared" si="10"/>
        <v>148.31299999999999</v>
      </c>
      <c r="O43" s="374">
        <f t="shared" si="10"/>
        <v>1096.431</v>
      </c>
      <c r="P43" s="375">
        <f t="shared" si="10"/>
        <v>38790.527000000002</v>
      </c>
      <c r="Q43" s="49"/>
      <c r="R43" s="376">
        <f>SUM(R37,R42)</f>
        <v>1322.8710000000001</v>
      </c>
      <c r="S43" s="373">
        <f>SUM(S37,S42)</f>
        <v>565.87400000000002</v>
      </c>
      <c r="T43" s="375">
        <f>SUM(T37,T42)</f>
        <v>2946.05</v>
      </c>
      <c r="U43" s="49"/>
      <c r="V43" s="403">
        <f>SUM(V37,V42)</f>
        <v>2338.4840000000004</v>
      </c>
      <c r="W43" s="402">
        <f>SUM(W37,W42)</f>
        <v>7173.2789999999995</v>
      </c>
      <c r="X43" s="56"/>
      <c r="Y43" s="982">
        <v>36403.218999999997</v>
      </c>
      <c r="Z43" s="960"/>
      <c r="AA43" s="961"/>
      <c r="AB43" s="962"/>
      <c r="AC43" s="2279"/>
      <c r="AD43" s="2196"/>
      <c r="AE43" s="2305"/>
      <c r="AF43" s="2327">
        <v>31617.232</v>
      </c>
      <c r="AG43" s="2316">
        <v>31154.13</v>
      </c>
      <c r="AH43" s="1805">
        <f>AH37+AH42</f>
        <v>4785.9869999999992</v>
      </c>
    </row>
    <row r="44" spans="1:34" ht="48" customHeight="1" thickBot="1">
      <c r="A44" s="2049"/>
      <c r="B44" s="855" t="s">
        <v>77</v>
      </c>
      <c r="C44" s="964"/>
      <c r="D44" s="965"/>
      <c r="E44" s="966"/>
      <c r="F44" s="966"/>
      <c r="G44" s="966"/>
      <c r="H44" s="965"/>
      <c r="I44" s="966"/>
      <c r="J44" s="967"/>
      <c r="K44" s="32"/>
      <c r="L44" s="477"/>
      <c r="M44" s="478"/>
      <c r="N44" s="471"/>
      <c r="O44" s="471"/>
      <c r="P44" s="473"/>
      <c r="Q44" s="201"/>
      <c r="R44" s="477"/>
      <c r="S44" s="472"/>
      <c r="T44" s="473"/>
      <c r="U44" s="201"/>
      <c r="V44" s="481"/>
      <c r="W44" s="482"/>
      <c r="X44" s="32"/>
      <c r="Y44" s="1614" t="s">
        <v>939</v>
      </c>
      <c r="Z44" s="2530"/>
      <c r="AA44" s="2531"/>
      <c r="AB44" s="2531"/>
      <c r="AC44" s="2532"/>
      <c r="AD44" s="2196"/>
      <c r="AE44" s="2303"/>
      <c r="AF44" s="2331"/>
      <c r="AG44" s="2318"/>
      <c r="AH44" s="1806"/>
    </row>
    <row r="45" spans="1:34" ht="39.75" customHeight="1">
      <c r="A45" s="2050" t="s">
        <v>381</v>
      </c>
      <c r="B45" s="856" t="s">
        <v>530</v>
      </c>
      <c r="C45" s="968"/>
      <c r="D45" s="969"/>
      <c r="E45" s="970"/>
      <c r="F45" s="970"/>
      <c r="G45" s="970"/>
      <c r="H45" s="969"/>
      <c r="I45" s="970"/>
      <c r="J45" s="971"/>
      <c r="K45" s="32"/>
      <c r="L45" s="479"/>
      <c r="M45" s="480"/>
      <c r="N45" s="474"/>
      <c r="O45" s="474"/>
      <c r="P45" s="476"/>
      <c r="Q45" s="201"/>
      <c r="R45" s="479"/>
      <c r="S45" s="475"/>
      <c r="T45" s="476"/>
      <c r="U45" s="201"/>
      <c r="V45" s="483"/>
      <c r="W45" s="484"/>
      <c r="X45" s="32"/>
      <c r="Y45" s="1626"/>
      <c r="Z45" s="2561" t="s">
        <v>942</v>
      </c>
      <c r="AA45" s="2562"/>
      <c r="AB45" s="1635"/>
      <c r="AC45" s="2280"/>
      <c r="AD45" s="2196"/>
      <c r="AE45" s="2303"/>
      <c r="AF45" s="2332"/>
      <c r="AG45" s="2319"/>
      <c r="AH45" s="1807"/>
    </row>
    <row r="46" spans="1:34">
      <c r="A46" s="2034" t="s">
        <v>236</v>
      </c>
      <c r="B46" s="851" t="s">
        <v>78</v>
      </c>
      <c r="C46" s="20">
        <v>249.94900000000001</v>
      </c>
      <c r="D46" s="21">
        <v>97.230999999999995</v>
      </c>
      <c r="E46" s="20">
        <v>15.074999999999999</v>
      </c>
      <c r="F46" s="20">
        <v>16.407</v>
      </c>
      <c r="G46" s="20">
        <v>23.189</v>
      </c>
      <c r="H46" s="21">
        <v>0.316</v>
      </c>
      <c r="I46" s="20">
        <v>37.218000000000004</v>
      </c>
      <c r="J46" s="99">
        <v>2.9750000000000001</v>
      </c>
      <c r="K46" s="31"/>
      <c r="L46" s="102">
        <v>51.875999999999998</v>
      </c>
      <c r="M46" s="20">
        <v>75.063000000000002</v>
      </c>
      <c r="N46" s="21">
        <v>2.246</v>
      </c>
      <c r="O46" s="367">
        <v>16.670000000000002</v>
      </c>
      <c r="P46" s="366">
        <f>SUM(C46:O46)</f>
        <v>588.21499999999992</v>
      </c>
      <c r="Q46" s="49"/>
      <c r="R46" s="102">
        <v>2.2730000000000001</v>
      </c>
      <c r="S46" s="20">
        <v>3.5720000000000001</v>
      </c>
      <c r="T46" s="99">
        <v>30.411999999999999</v>
      </c>
      <c r="U46" s="50"/>
      <c r="V46" s="112">
        <v>66.801000000000002</v>
      </c>
      <c r="W46" s="401">
        <f t="shared" ref="W46:W51" si="11">SUM(R46:V46)</f>
        <v>103.05799999999999</v>
      </c>
      <c r="X46" s="56"/>
      <c r="Y46" s="955">
        <v>519.29999999999995</v>
      </c>
      <c r="Z46" s="1594"/>
      <c r="AA46" s="1608"/>
      <c r="AB46" s="1609"/>
      <c r="AC46" s="2272"/>
      <c r="AD46" s="2196"/>
      <c r="AE46" s="2303"/>
      <c r="AF46" s="2326">
        <v>485.15699999999998</v>
      </c>
      <c r="AG46" s="2315">
        <v>504.69099999999997</v>
      </c>
      <c r="AH46" s="1803">
        <f>W46-V46-(IF(AND(Motpart!$Y$16="",Motpart!$Z$16=""),0,IF(AND(Motpart!$Y$16=0,Motpart!$Z$16=0),0,((T46/($T$46+$T$49))*(Motpart!$Y$16+Motpart!$Z$16)))))</f>
        <v>33.78809445462776</v>
      </c>
    </row>
    <row r="47" spans="1:34">
      <c r="A47" s="2034" t="s">
        <v>237</v>
      </c>
      <c r="B47" s="849" t="s">
        <v>79</v>
      </c>
      <c r="C47" s="20">
        <v>35132.858</v>
      </c>
      <c r="D47" s="21">
        <v>13686.322</v>
      </c>
      <c r="E47" s="23">
        <v>2465.123</v>
      </c>
      <c r="F47" s="23">
        <v>17780.739000000001</v>
      </c>
      <c r="G47" s="23">
        <v>2183.866</v>
      </c>
      <c r="H47" s="24">
        <v>44.933</v>
      </c>
      <c r="I47" s="23">
        <v>2476.8809999999999</v>
      </c>
      <c r="J47" s="100">
        <v>530.73</v>
      </c>
      <c r="K47" s="31"/>
      <c r="L47" s="103">
        <v>5785.2489999999998</v>
      </c>
      <c r="M47" s="23">
        <v>14020.594999999999</v>
      </c>
      <c r="N47" s="21">
        <v>329.45</v>
      </c>
      <c r="O47" s="367">
        <v>2412.337</v>
      </c>
      <c r="P47" s="366">
        <f>SUM(C47:O47)</f>
        <v>96849.082999999984</v>
      </c>
      <c r="Q47" s="49"/>
      <c r="R47" s="1858">
        <v>5402.8050000000003</v>
      </c>
      <c r="S47" s="1859">
        <v>21.86</v>
      </c>
      <c r="T47" s="219">
        <v>6848.0990000000002</v>
      </c>
      <c r="U47" s="50"/>
      <c r="V47" s="113">
        <v>9871.5390000000007</v>
      </c>
      <c r="W47" s="401">
        <f t="shared" si="11"/>
        <v>22144.303</v>
      </c>
      <c r="X47" s="56"/>
      <c r="Y47" s="955">
        <v>86531.918000000005</v>
      </c>
      <c r="Z47" s="1611"/>
      <c r="AA47" s="1598"/>
      <c r="AB47" s="1598"/>
      <c r="AC47" s="2270"/>
      <c r="AD47" s="2196"/>
      <c r="AE47" s="2303"/>
      <c r="AF47" s="2326">
        <v>74704.78</v>
      </c>
      <c r="AG47" s="2315">
        <v>69151.872000000003</v>
      </c>
      <c r="AH47" s="1803">
        <f>W47-V47-SUM(Motpart!Y13:Z13)</f>
        <v>11827.137999999999</v>
      </c>
    </row>
    <row r="48" spans="1:34">
      <c r="A48" s="2034" t="s">
        <v>238</v>
      </c>
      <c r="B48" s="849" t="s">
        <v>80</v>
      </c>
      <c r="C48" s="23">
        <v>259.23099999999999</v>
      </c>
      <c r="D48" s="21">
        <v>99.668000000000006</v>
      </c>
      <c r="E48" s="23">
        <v>7.4450000000000003</v>
      </c>
      <c r="F48" s="23">
        <v>588.01700000000005</v>
      </c>
      <c r="G48" s="23">
        <v>23.538</v>
      </c>
      <c r="H48" s="24">
        <v>0.98499999999999999</v>
      </c>
      <c r="I48" s="27">
        <v>5.45</v>
      </c>
      <c r="J48" s="100">
        <v>0.80500000000000005</v>
      </c>
      <c r="K48" s="31"/>
      <c r="L48" s="103">
        <v>12.933999999999999</v>
      </c>
      <c r="M48" s="23">
        <v>74.375</v>
      </c>
      <c r="N48" s="21">
        <v>2.66</v>
      </c>
      <c r="O48" s="367">
        <v>15.255000000000001</v>
      </c>
      <c r="P48" s="366">
        <f>SUM(C48:O48)</f>
        <v>1090.3630000000003</v>
      </c>
      <c r="Q48" s="49"/>
      <c r="R48" s="1858">
        <v>56.747999999999998</v>
      </c>
      <c r="S48" s="1859">
        <v>0.34399999999999997</v>
      </c>
      <c r="T48" s="219">
        <v>55.7</v>
      </c>
      <c r="U48" s="50"/>
      <c r="V48" s="113">
        <v>67.528999999999996</v>
      </c>
      <c r="W48" s="401">
        <f t="shared" si="11"/>
        <v>180.321</v>
      </c>
      <c r="X48" s="56"/>
      <c r="Y48" s="975">
        <v>1018.481</v>
      </c>
      <c r="Z48" s="1597"/>
      <c r="AA48" s="1598"/>
      <c r="AB48" s="1598"/>
      <c r="AC48" s="2270"/>
      <c r="AD48" s="2196"/>
      <c r="AE48" s="2306">
        <f>(SUM(I51:L51))*1000/invanare</f>
        <v>1098.184051864572</v>
      </c>
      <c r="AF48" s="2326">
        <v>910.04200000000003</v>
      </c>
      <c r="AG48" s="2315">
        <v>433.83199999999999</v>
      </c>
      <c r="AH48" s="1803">
        <f>W48-V48-SUM(Motpart!Y14:Z14)</f>
        <v>108.43900000000001</v>
      </c>
    </row>
    <row r="49" spans="1:34">
      <c r="A49" s="2034" t="s">
        <v>239</v>
      </c>
      <c r="B49" s="851" t="s">
        <v>81</v>
      </c>
      <c r="C49" s="20">
        <v>125.875</v>
      </c>
      <c r="D49" s="21">
        <v>48.95</v>
      </c>
      <c r="E49" s="20">
        <v>13.581</v>
      </c>
      <c r="F49" s="20">
        <v>69.427000000000007</v>
      </c>
      <c r="G49" s="20">
        <v>10.007999999999999</v>
      </c>
      <c r="H49" s="21">
        <v>1.6180000000000001</v>
      </c>
      <c r="I49" s="20">
        <v>8.2550000000000008</v>
      </c>
      <c r="J49" s="99">
        <v>0.39</v>
      </c>
      <c r="K49" s="31"/>
      <c r="L49" s="102">
        <v>21.353999999999999</v>
      </c>
      <c r="M49" s="20">
        <v>82.744</v>
      </c>
      <c r="N49" s="21">
        <v>4.9660000000000002</v>
      </c>
      <c r="O49" s="367">
        <v>9.0719999999999992</v>
      </c>
      <c r="P49" s="366">
        <f>SUM(C49:O49)</f>
        <v>396.2399999999999</v>
      </c>
      <c r="Q49" s="49"/>
      <c r="R49" s="1860">
        <v>54.938000000000002</v>
      </c>
      <c r="S49" s="1861">
        <v>1E-3</v>
      </c>
      <c r="T49" s="222">
        <v>14.869</v>
      </c>
      <c r="U49" s="50"/>
      <c r="V49" s="112">
        <v>74.948999999999998</v>
      </c>
      <c r="W49" s="401">
        <f t="shared" si="11"/>
        <v>144.75700000000001</v>
      </c>
      <c r="X49" s="56"/>
      <c r="Y49" s="975">
        <v>319.72800000000001</v>
      </c>
      <c r="Z49" s="1597"/>
      <c r="AA49" s="1598"/>
      <c r="AB49" s="1598"/>
      <c r="AC49" s="2270"/>
      <c r="AD49" s="2196"/>
      <c r="AE49" s="2306">
        <f>(R51)*1000/invanare</f>
        <v>840.30033200412561</v>
      </c>
      <c r="AF49" s="2326">
        <v>251.483</v>
      </c>
      <c r="AG49" s="2315">
        <v>250.24600000000001</v>
      </c>
      <c r="AH49" s="1803">
        <f>W49-V49-(IF(AND(Motpart!$Y$16="",Motpart!$Z$16=""),0,IF(AND(Motpart!$Y$16=0,Motpart!$Z$16=0),0,((T49/($T$49+$T$46))*(Motpart!$Y$16+Motpart!$Z$16)))))</f>
        <v>68.600905545372242</v>
      </c>
    </row>
    <row r="50" spans="1:34">
      <c r="A50" s="2034" t="s">
        <v>240</v>
      </c>
      <c r="B50" s="849" t="s">
        <v>82</v>
      </c>
      <c r="C50" s="20">
        <v>9212.0730000000003</v>
      </c>
      <c r="D50" s="21">
        <v>3619.6759999999999</v>
      </c>
      <c r="E50" s="23">
        <v>457.27800000000002</v>
      </c>
      <c r="F50" s="23">
        <v>2732.3739999999998</v>
      </c>
      <c r="G50" s="23">
        <v>525.79200000000003</v>
      </c>
      <c r="H50" s="24">
        <v>3.2749999999999999</v>
      </c>
      <c r="I50" s="27">
        <v>714.96299999999997</v>
      </c>
      <c r="J50" s="100">
        <v>91.415000000000006</v>
      </c>
      <c r="K50" s="31"/>
      <c r="L50" s="103">
        <v>1814.11</v>
      </c>
      <c r="M50" s="23">
        <v>4384.9059999999999</v>
      </c>
      <c r="N50" s="21">
        <v>81.472999999999999</v>
      </c>
      <c r="O50" s="367">
        <v>636.75</v>
      </c>
      <c r="P50" s="366">
        <f>SUM(C50:O50)</f>
        <v>24274.085000000003</v>
      </c>
      <c r="Q50" s="49"/>
      <c r="R50" s="1858">
        <v>3324.5030000000002</v>
      </c>
      <c r="S50" s="1859">
        <v>1.2789999999999999</v>
      </c>
      <c r="T50" s="219">
        <v>1154.4570000000001</v>
      </c>
      <c r="U50" s="50"/>
      <c r="V50" s="113">
        <v>2964.8380000000002</v>
      </c>
      <c r="W50" s="401">
        <f t="shared" si="11"/>
        <v>7445.0770000000011</v>
      </c>
      <c r="X50" s="56"/>
      <c r="Y50" s="975">
        <v>21126.447</v>
      </c>
      <c r="Z50" s="1597"/>
      <c r="AA50" s="1598"/>
      <c r="AB50" s="1598"/>
      <c r="AC50" s="2270"/>
      <c r="AD50" s="2196"/>
      <c r="AE50" s="2303"/>
      <c r="AF50" s="2326">
        <v>16829.008000000002</v>
      </c>
      <c r="AG50" s="2315">
        <v>18573.598000000002</v>
      </c>
      <c r="AH50" s="1803">
        <f>W50-V50-SUM(Motpart!Y15:Z15)</f>
        <v>4297.4390000000012</v>
      </c>
    </row>
    <row r="51" spans="1:34" ht="13.5" thickBot="1">
      <c r="A51" s="2034" t="s">
        <v>241</v>
      </c>
      <c r="B51" s="857" t="s">
        <v>1212</v>
      </c>
      <c r="C51" s="359">
        <f t="shared" ref="C51:M51" si="12">SUM(C46:C50)</f>
        <v>44979.986000000004</v>
      </c>
      <c r="D51" s="26">
        <f t="shared" si="12"/>
        <v>17551.847000000002</v>
      </c>
      <c r="E51" s="359">
        <f t="shared" si="12"/>
        <v>2958.5020000000004</v>
      </c>
      <c r="F51" s="359">
        <f t="shared" si="12"/>
        <v>21186.964</v>
      </c>
      <c r="G51" s="359">
        <f t="shared" si="12"/>
        <v>2766.3929999999996</v>
      </c>
      <c r="H51" s="26">
        <f t="shared" si="12"/>
        <v>51.127000000000002</v>
      </c>
      <c r="I51" s="359">
        <f t="shared" si="12"/>
        <v>3242.7669999999998</v>
      </c>
      <c r="J51" s="104">
        <f t="shared" si="12"/>
        <v>626.31499999999994</v>
      </c>
      <c r="K51" s="146"/>
      <c r="L51" s="368">
        <f>SUM(L46:L50)</f>
        <v>7685.5230000000001</v>
      </c>
      <c r="M51" s="359">
        <f t="shared" si="12"/>
        <v>18637.683000000001</v>
      </c>
      <c r="N51" s="26">
        <f t="shared" ref="N51:V51" si="13">SUM(N46:N50)</f>
        <v>420.79500000000002</v>
      </c>
      <c r="O51" s="26">
        <f t="shared" si="13"/>
        <v>3090.0840000000003</v>
      </c>
      <c r="P51" s="104">
        <f t="shared" si="13"/>
        <v>123197.98599999999</v>
      </c>
      <c r="Q51" s="49"/>
      <c r="R51" s="368">
        <f t="shared" si="13"/>
        <v>8841.2669999999998</v>
      </c>
      <c r="S51" s="359">
        <f t="shared" si="13"/>
        <v>27.056000000000001</v>
      </c>
      <c r="T51" s="104">
        <f>SUM(T46:T50)</f>
        <v>8103.5370000000003</v>
      </c>
      <c r="U51" s="49"/>
      <c r="V51" s="116">
        <f t="shared" si="13"/>
        <v>13045.656000000001</v>
      </c>
      <c r="W51" s="401">
        <f t="shared" si="11"/>
        <v>30017.516000000003</v>
      </c>
      <c r="X51" s="56"/>
      <c r="Y51" s="955">
        <v>109515.88800000001</v>
      </c>
      <c r="Z51" s="1630">
        <f>(P51-W51)*1000/invanare</f>
        <v>8856.1492235559053</v>
      </c>
      <c r="AA51" s="1631">
        <f>Y51*1000/invanare</f>
        <v>10408.715973188757</v>
      </c>
      <c r="AB51" s="1631">
        <v>10150.518</v>
      </c>
      <c r="AC51" s="2281">
        <f>IF(ISERROR((AA51-AB51)/AB51)," ",((AA51-AB51)/AB51))</f>
        <v>2.5436925799132301E-2</v>
      </c>
      <c r="AD51" s="2196"/>
      <c r="AE51" s="2307">
        <f>IF(ISERROR(F51/(AA51/1000*invanare)),"",(F51/(AA51/100000*invanare)))</f>
        <v>19.346018542989853</v>
      </c>
      <c r="AF51" s="2326">
        <v>93180.482999999993</v>
      </c>
      <c r="AG51" s="2315">
        <v>88914.251999999993</v>
      </c>
      <c r="AH51" s="1803">
        <f>W51-V51-SUM(Motpart!Y13:Z16)</f>
        <v>16335.405000000001</v>
      </c>
    </row>
    <row r="52" spans="1:34" ht="44.25" customHeight="1" thickBot="1">
      <c r="A52" s="2051"/>
      <c r="B52" s="855" t="s">
        <v>83</v>
      </c>
      <c r="C52" s="470"/>
      <c r="D52" s="469"/>
      <c r="E52" s="467"/>
      <c r="F52" s="467"/>
      <c r="G52" s="467"/>
      <c r="H52" s="469"/>
      <c r="I52" s="467"/>
      <c r="J52" s="468"/>
      <c r="K52" s="31"/>
      <c r="L52" s="466"/>
      <c r="M52" s="467"/>
      <c r="N52" s="469"/>
      <c r="O52" s="485"/>
      <c r="P52" s="468"/>
      <c r="Q52" s="50"/>
      <c r="R52" s="466"/>
      <c r="S52" s="467"/>
      <c r="T52" s="468"/>
      <c r="U52" s="50"/>
      <c r="V52" s="464"/>
      <c r="W52" s="465"/>
      <c r="X52" s="31"/>
      <c r="Y52" s="1614" t="s">
        <v>606</v>
      </c>
      <c r="Z52" s="2530"/>
      <c r="AA52" s="2531"/>
      <c r="AB52" s="2531"/>
      <c r="AC52" s="2532"/>
      <c r="AD52" s="2196"/>
      <c r="AE52" s="2303">
        <f>IF(ISERROR(F51/(AA51/1000*invanare)),"",(SUM(Motpart!D13:D16,Motpart!F13:F16)/(AA51/100000*invanare)))</f>
        <v>18.672613055011709</v>
      </c>
      <c r="AF52" s="2333"/>
      <c r="AG52" s="2320"/>
      <c r="AH52" s="1808"/>
    </row>
    <row r="53" spans="1:34">
      <c r="A53" s="2034" t="s">
        <v>388</v>
      </c>
      <c r="B53" s="841" t="s">
        <v>473</v>
      </c>
      <c r="C53" s="20">
        <v>3373.6179999999999</v>
      </c>
      <c r="D53" s="21">
        <v>1320.5170000000001</v>
      </c>
      <c r="E53" s="20">
        <v>231.774</v>
      </c>
      <c r="F53" s="20">
        <v>1230.723</v>
      </c>
      <c r="G53" s="20">
        <v>348.28800000000001</v>
      </c>
      <c r="H53" s="21">
        <v>1.0209999999999999</v>
      </c>
      <c r="I53" s="20">
        <v>420.21499999999997</v>
      </c>
      <c r="J53" s="99">
        <v>46.48</v>
      </c>
      <c r="K53" s="31"/>
      <c r="L53" s="102">
        <v>882.47</v>
      </c>
      <c r="M53" s="20">
        <v>1735.0840000000001</v>
      </c>
      <c r="N53" s="21">
        <v>42.356999999999999</v>
      </c>
      <c r="O53" s="367">
        <v>250.34</v>
      </c>
      <c r="P53" s="366">
        <f>SUM(C53:O53)</f>
        <v>9882.8870000000006</v>
      </c>
      <c r="Q53" s="49"/>
      <c r="R53" s="102">
        <v>0.86599999999999999</v>
      </c>
      <c r="S53" s="20">
        <v>0.52700000000000002</v>
      </c>
      <c r="T53" s="99">
        <v>530.18600000000004</v>
      </c>
      <c r="U53" s="50"/>
      <c r="V53" s="112">
        <v>1297.5440000000001</v>
      </c>
      <c r="W53" s="401">
        <f>SUM(R53:V53)</f>
        <v>1829.123</v>
      </c>
      <c r="X53" s="56"/>
      <c r="Y53" s="1474">
        <v>8529.1010000000006</v>
      </c>
      <c r="Z53" s="1875"/>
      <c r="AA53" s="1876"/>
      <c r="AB53" s="1877"/>
      <c r="AC53" s="2282"/>
      <c r="AD53" s="2196"/>
      <c r="AE53" s="2303"/>
      <c r="AF53" s="2332">
        <v>8053.7640000000001</v>
      </c>
      <c r="AG53" s="2319">
        <v>7353.5990000000002</v>
      </c>
      <c r="AH53" s="1807">
        <f>W53-V53-SUM(Motpart!Y17:Z17)</f>
        <v>475.33699999999993</v>
      </c>
    </row>
    <row r="54" spans="1:34">
      <c r="A54" s="2034" t="s">
        <v>472</v>
      </c>
      <c r="B54" s="839" t="s">
        <v>370</v>
      </c>
      <c r="C54" s="20">
        <v>57856.542999999998</v>
      </c>
      <c r="D54" s="21">
        <v>22539.864000000001</v>
      </c>
      <c r="E54" s="23">
        <v>5139.8220000000001</v>
      </c>
      <c r="F54" s="23">
        <v>21727.260999999999</v>
      </c>
      <c r="G54" s="23">
        <v>9189.8330000000005</v>
      </c>
      <c r="H54" s="24">
        <v>55.046999999999997</v>
      </c>
      <c r="I54" s="23">
        <v>3987.0509999999999</v>
      </c>
      <c r="J54" s="100">
        <v>1449.001</v>
      </c>
      <c r="K54" s="31"/>
      <c r="L54" s="103">
        <v>10473</v>
      </c>
      <c r="M54" s="23">
        <v>23105.080999999998</v>
      </c>
      <c r="N54" s="21">
        <v>595.88599999999997</v>
      </c>
      <c r="O54" s="367">
        <v>4373.3969999999999</v>
      </c>
      <c r="P54" s="366">
        <f>SUM(C54:O54)</f>
        <v>160491.78600000002</v>
      </c>
      <c r="Q54" s="49"/>
      <c r="R54" s="103">
        <v>39.646000000000001</v>
      </c>
      <c r="S54" s="23">
        <v>34.189</v>
      </c>
      <c r="T54" s="100">
        <v>14746.396000000001</v>
      </c>
      <c r="U54" s="50"/>
      <c r="V54" s="113">
        <v>16771.046999999999</v>
      </c>
      <c r="W54" s="401">
        <f>SUM(R54:V54)</f>
        <v>31591.277999999998</v>
      </c>
      <c r="X54" s="56"/>
      <c r="Y54" s="1474">
        <v>142192.75599999999</v>
      </c>
      <c r="Z54" s="1627"/>
      <c r="AA54" s="1628"/>
      <c r="AB54" s="1878"/>
      <c r="AC54" s="2269"/>
      <c r="AD54" s="2196"/>
      <c r="AE54" s="2303"/>
      <c r="AF54" s="2326">
        <v>128900.508</v>
      </c>
      <c r="AG54" s="2315">
        <v>121938.431</v>
      </c>
      <c r="AH54" s="1807">
        <f>W54-V54-SUM(Motpart!Y18:Z18)</f>
        <v>13292.248</v>
      </c>
    </row>
    <row r="55" spans="1:34">
      <c r="A55" s="2034" t="s">
        <v>242</v>
      </c>
      <c r="B55" s="857" t="s">
        <v>607</v>
      </c>
      <c r="C55" s="20">
        <v>3523.6</v>
      </c>
      <c r="D55" s="21">
        <v>1358.989</v>
      </c>
      <c r="E55" s="23">
        <v>148.137</v>
      </c>
      <c r="F55" s="23">
        <v>697.72</v>
      </c>
      <c r="G55" s="23">
        <v>859.49900000000002</v>
      </c>
      <c r="H55" s="24">
        <v>0.60699999999999998</v>
      </c>
      <c r="I55" s="23">
        <v>133.124</v>
      </c>
      <c r="J55" s="100">
        <v>27.073</v>
      </c>
      <c r="K55" s="31"/>
      <c r="L55" s="103">
        <v>363.88499999999999</v>
      </c>
      <c r="M55" s="23">
        <v>1045.924</v>
      </c>
      <c r="N55" s="21">
        <v>33.953000000000003</v>
      </c>
      <c r="O55" s="367">
        <v>235.68600000000001</v>
      </c>
      <c r="P55" s="366">
        <f>SUM(C55:O55)</f>
        <v>8428.1970000000001</v>
      </c>
      <c r="Q55" s="49"/>
      <c r="R55" s="103">
        <v>3.859</v>
      </c>
      <c r="S55" s="23">
        <v>7.0999999999999994E-2</v>
      </c>
      <c r="T55" s="100">
        <v>502.173</v>
      </c>
      <c r="U55" s="50"/>
      <c r="V55" s="113">
        <v>817.88699999999994</v>
      </c>
      <c r="W55" s="401">
        <f>SUM(R55:V55)</f>
        <v>1323.99</v>
      </c>
      <c r="X55" s="56"/>
      <c r="Y55" s="1474">
        <v>7300.4750000000004</v>
      </c>
      <c r="Z55" s="1627"/>
      <c r="AA55" s="1628"/>
      <c r="AB55" s="1878"/>
      <c r="AC55" s="2269"/>
      <c r="AD55" s="2196"/>
      <c r="AE55" s="2303"/>
      <c r="AF55" s="2326">
        <v>7104.2070000000003</v>
      </c>
      <c r="AG55" s="2315">
        <v>6911.9830000000002</v>
      </c>
      <c r="AH55" s="1807">
        <f>W55-V55-SUM(Motpart!Y19:Z19)</f>
        <v>196.26800000000009</v>
      </c>
    </row>
    <row r="56" spans="1:34">
      <c r="A56" s="2034" t="s">
        <v>243</v>
      </c>
      <c r="B56" s="849" t="s">
        <v>84</v>
      </c>
      <c r="C56" s="20">
        <v>14545.133</v>
      </c>
      <c r="D56" s="21">
        <v>5691.0410000000002</v>
      </c>
      <c r="E56" s="23">
        <v>1674.0239999999999</v>
      </c>
      <c r="F56" s="23">
        <v>23844.878000000001</v>
      </c>
      <c r="G56" s="23">
        <v>3432.6080000000002</v>
      </c>
      <c r="H56" s="24">
        <v>258.93</v>
      </c>
      <c r="I56" s="23">
        <v>1156.9580000000001</v>
      </c>
      <c r="J56" s="100">
        <v>403.61200000000002</v>
      </c>
      <c r="K56" s="31"/>
      <c r="L56" s="103">
        <v>3089.2829999999999</v>
      </c>
      <c r="M56" s="23">
        <v>6080.9219999999996</v>
      </c>
      <c r="N56" s="21">
        <v>183.029</v>
      </c>
      <c r="O56" s="367">
        <v>1066.9190000000001</v>
      </c>
      <c r="P56" s="366">
        <f>SUM(C56:O56)</f>
        <v>61427.337000000007</v>
      </c>
      <c r="Q56" s="49"/>
      <c r="R56" s="103">
        <v>46.225000000000001</v>
      </c>
      <c r="S56" s="23">
        <v>29.672999999999998</v>
      </c>
      <c r="T56" s="100">
        <v>10916.644</v>
      </c>
      <c r="U56" s="50"/>
      <c r="V56" s="113">
        <v>4377.4430000000002</v>
      </c>
      <c r="W56" s="401">
        <f>SUM(R56:V56)</f>
        <v>15369.985000000001</v>
      </c>
      <c r="X56" s="56"/>
      <c r="Y56" s="1474">
        <v>49167.105000000003</v>
      </c>
      <c r="Z56" s="1280"/>
      <c r="AA56" s="1629"/>
      <c r="AB56" s="754"/>
      <c r="AC56" s="2269"/>
      <c r="AD56" s="2196"/>
      <c r="AE56" s="2303"/>
      <c r="AF56" s="2326">
        <v>46057.351999999999</v>
      </c>
      <c r="AG56" s="2315">
        <v>32946.086000000003</v>
      </c>
      <c r="AH56" s="1807">
        <f>W56-V56-SUM(Motpart!Y20:Z20)</f>
        <v>3109.7530000000015</v>
      </c>
    </row>
    <row r="57" spans="1:34">
      <c r="A57" s="2034" t="s">
        <v>244</v>
      </c>
      <c r="B57" s="849" t="s">
        <v>85</v>
      </c>
      <c r="C57" s="20">
        <v>1440.34</v>
      </c>
      <c r="D57" s="21">
        <v>567.86400000000003</v>
      </c>
      <c r="E57" s="23">
        <v>72.808999999999997</v>
      </c>
      <c r="F57" s="23">
        <v>1236.5820000000001</v>
      </c>
      <c r="G57" s="23">
        <v>394.61</v>
      </c>
      <c r="H57" s="24">
        <v>3.2709999999999999</v>
      </c>
      <c r="I57" s="23">
        <v>68.581999999999994</v>
      </c>
      <c r="J57" s="100">
        <v>10.603</v>
      </c>
      <c r="K57" s="31"/>
      <c r="L57" s="103">
        <v>170.52699999999999</v>
      </c>
      <c r="M57" s="23">
        <v>433.05399999999997</v>
      </c>
      <c r="N57" s="21">
        <v>15.433999999999999</v>
      </c>
      <c r="O57" s="367">
        <v>91.266000000000005</v>
      </c>
      <c r="P57" s="366">
        <f>SUM(C57:O57)</f>
        <v>4504.942</v>
      </c>
      <c r="Q57" s="49"/>
      <c r="R57" s="103">
        <v>4.6660000000000004</v>
      </c>
      <c r="S57" s="23">
        <v>0.13900000000000001</v>
      </c>
      <c r="T57" s="100">
        <v>847.76599999999996</v>
      </c>
      <c r="U57" s="50"/>
      <c r="V57" s="113">
        <v>314.96699999999998</v>
      </c>
      <c r="W57" s="401">
        <f>SUM(R57:V57)</f>
        <v>1167.538</v>
      </c>
      <c r="X57" s="56"/>
      <c r="Y57" s="975">
        <v>3473.0709999999999</v>
      </c>
      <c r="Z57" s="1280"/>
      <c r="AA57" s="1595"/>
      <c r="AB57" s="754"/>
      <c r="AC57" s="2269"/>
      <c r="AD57" s="2196"/>
      <c r="AE57" s="2303"/>
      <c r="AF57" s="2326">
        <v>3337.404</v>
      </c>
      <c r="AG57" s="2315">
        <v>2950.1219999999998</v>
      </c>
      <c r="AH57" s="1807">
        <f>W57-V57-SUM(Motpart!Y21:Z21)</f>
        <v>135.66700000000003</v>
      </c>
    </row>
    <row r="58" spans="1:34">
      <c r="A58" s="2034" t="s">
        <v>245</v>
      </c>
      <c r="B58" s="849" t="s">
        <v>86</v>
      </c>
      <c r="C58" s="359">
        <f t="shared" ref="C58:J58" si="14">SUM(C53:C57)</f>
        <v>80739.233999999997</v>
      </c>
      <c r="D58" s="26">
        <f t="shared" si="14"/>
        <v>31478.275000000005</v>
      </c>
      <c r="E58" s="359">
        <f t="shared" si="14"/>
        <v>7266.5659999999998</v>
      </c>
      <c r="F58" s="359">
        <f t="shared" si="14"/>
        <v>48737.163999999997</v>
      </c>
      <c r="G58" s="359">
        <f t="shared" si="14"/>
        <v>14224.838000000002</v>
      </c>
      <c r="H58" s="26">
        <f t="shared" si="14"/>
        <v>318.87600000000003</v>
      </c>
      <c r="I58" s="359">
        <f t="shared" si="14"/>
        <v>5765.93</v>
      </c>
      <c r="J58" s="104">
        <f t="shared" si="14"/>
        <v>1936.7690000000002</v>
      </c>
      <c r="K58" s="146"/>
      <c r="L58" s="368">
        <f>SUM(L53:L57)</f>
        <v>14979.164999999999</v>
      </c>
      <c r="M58" s="359">
        <f>SUM(M53:M57)</f>
        <v>32400.064999999995</v>
      </c>
      <c r="N58" s="26">
        <f>SUM(N53:N57)</f>
        <v>870.65899999999988</v>
      </c>
      <c r="O58" s="26">
        <f>SUM(O53:O57)</f>
        <v>6017.6079999999993</v>
      </c>
      <c r="P58" s="104">
        <f>SUM(P53:P57)</f>
        <v>244735.149</v>
      </c>
      <c r="Q58" s="49"/>
      <c r="R58" s="368">
        <f>SUM(R53:R57)</f>
        <v>95.262</v>
      </c>
      <c r="S58" s="359">
        <f>SUM(S53:S57)</f>
        <v>64.59899999999999</v>
      </c>
      <c r="T58" s="104">
        <f>SUM(T53:T57)</f>
        <v>27543.165000000001</v>
      </c>
      <c r="U58" s="49"/>
      <c r="V58" s="116">
        <f>SUM(V53:V57)</f>
        <v>23578.887999999999</v>
      </c>
      <c r="W58" s="117">
        <f>SUM(W53:W57)</f>
        <v>51281.913999999997</v>
      </c>
      <c r="X58" s="56"/>
      <c r="Y58" s="1632">
        <v>210662.51</v>
      </c>
      <c r="Z58" s="1610"/>
      <c r="AA58" s="1595"/>
      <c r="AB58" s="1596"/>
      <c r="AC58" s="2269"/>
      <c r="AD58" s="2196"/>
      <c r="AE58" s="2303"/>
      <c r="AF58" s="2326">
        <v>193453.23699999999</v>
      </c>
      <c r="AG58" s="2315">
        <v>172100.223</v>
      </c>
      <c r="AH58" s="1803">
        <f>W58-V58-SUM(Motpart!Y17:Z21)</f>
        <v>17209.272999999997</v>
      </c>
    </row>
    <row r="59" spans="1:34" ht="13.5" customHeight="1">
      <c r="A59" s="2052"/>
      <c r="B59" s="858" t="s">
        <v>87</v>
      </c>
      <c r="C59" s="487"/>
      <c r="D59" s="488"/>
      <c r="E59" s="489"/>
      <c r="F59" s="490"/>
      <c r="G59" s="489"/>
      <c r="H59" s="491"/>
      <c r="I59" s="489"/>
      <c r="J59" s="492"/>
      <c r="K59" s="32"/>
      <c r="L59" s="493"/>
      <c r="M59" s="489"/>
      <c r="N59" s="488"/>
      <c r="O59" s="488"/>
      <c r="P59" s="492"/>
      <c r="Q59" s="201"/>
      <c r="R59" s="493"/>
      <c r="S59" s="489"/>
      <c r="T59" s="492"/>
      <c r="U59" s="201"/>
      <c r="V59" s="494"/>
      <c r="W59" s="495"/>
      <c r="X59" s="32"/>
      <c r="Y59" s="1633"/>
      <c r="Z59" s="1634"/>
      <c r="AA59" s="1634"/>
      <c r="AB59" s="1634"/>
      <c r="AC59" s="2283"/>
      <c r="AD59" s="2196"/>
      <c r="AE59" s="2303"/>
      <c r="AF59" s="2326"/>
      <c r="AG59" s="2315"/>
      <c r="AH59" s="1803"/>
    </row>
    <row r="60" spans="1:34">
      <c r="A60" s="2053" t="s">
        <v>480</v>
      </c>
      <c r="B60" s="859" t="s">
        <v>371</v>
      </c>
      <c r="C60" s="486">
        <v>598.78599999999994</v>
      </c>
      <c r="D60" s="21">
        <v>232.03800000000001</v>
      </c>
      <c r="E60" s="20">
        <v>33.604999999999997</v>
      </c>
      <c r="F60" s="20">
        <v>471.24200000000002</v>
      </c>
      <c r="G60" s="20">
        <v>64.606999999999999</v>
      </c>
      <c r="H60" s="21">
        <v>1.5009999999999999</v>
      </c>
      <c r="I60" s="20">
        <v>43.637</v>
      </c>
      <c r="J60" s="99">
        <v>9.5530000000000008</v>
      </c>
      <c r="K60" s="31"/>
      <c r="L60" s="102">
        <v>95.566000000000003</v>
      </c>
      <c r="M60" s="20">
        <v>109.39700000000001</v>
      </c>
      <c r="N60" s="21">
        <v>7.3310000000000004</v>
      </c>
      <c r="O60" s="367">
        <v>39.832000000000001</v>
      </c>
      <c r="P60" s="366">
        <f>SUM(C60:O60)</f>
        <v>1707.095</v>
      </c>
      <c r="Q60" s="49"/>
      <c r="R60" s="102">
        <v>0.63300000000000001</v>
      </c>
      <c r="S60" s="20">
        <v>0.38400000000000001</v>
      </c>
      <c r="T60" s="99">
        <v>191.99600000000001</v>
      </c>
      <c r="U60" s="50"/>
      <c r="V60" s="112">
        <v>86.465999999999994</v>
      </c>
      <c r="W60" s="401">
        <f t="shared" ref="W60:W66" si="15">SUM(R60:V60)</f>
        <v>279.47899999999998</v>
      </c>
      <c r="X60" s="56"/>
      <c r="Y60" s="975">
        <v>1564.13</v>
      </c>
      <c r="Z60" s="1610"/>
      <c r="AA60" s="1595"/>
      <c r="AB60" s="1596"/>
      <c r="AC60" s="2269"/>
      <c r="AD60" s="2196"/>
      <c r="AE60" s="2303"/>
      <c r="AF60" s="2326">
        <v>1427.616</v>
      </c>
      <c r="AG60" s="2315">
        <v>1147.886</v>
      </c>
      <c r="AH60" s="1803">
        <f>W60-V60-SUM(Motpart!Y22:Z22)</f>
        <v>136.51399999999998</v>
      </c>
    </row>
    <row r="61" spans="1:34">
      <c r="A61" s="2047" t="s">
        <v>481</v>
      </c>
      <c r="B61" s="860" t="s">
        <v>372</v>
      </c>
      <c r="C61" s="22">
        <v>1804.1030000000001</v>
      </c>
      <c r="D61" s="21">
        <v>704.53399999999999</v>
      </c>
      <c r="E61" s="20">
        <v>152.09200000000001</v>
      </c>
      <c r="F61" s="20">
        <v>2284.2289999999998</v>
      </c>
      <c r="G61" s="20">
        <v>289.52300000000002</v>
      </c>
      <c r="H61" s="21">
        <v>14.271000000000001</v>
      </c>
      <c r="I61" s="20">
        <v>140.82599999999999</v>
      </c>
      <c r="J61" s="99">
        <v>28.733000000000001</v>
      </c>
      <c r="K61" s="496"/>
      <c r="L61" s="102">
        <v>261.09500000000003</v>
      </c>
      <c r="M61" s="20">
        <v>524.06399999999996</v>
      </c>
      <c r="N61" s="21">
        <v>22.134</v>
      </c>
      <c r="O61" s="367">
        <v>124.694</v>
      </c>
      <c r="P61" s="366">
        <f>SUM(C61:O61)</f>
        <v>6350.2980000000016</v>
      </c>
      <c r="Q61" s="49"/>
      <c r="R61" s="103">
        <v>24.512</v>
      </c>
      <c r="S61" s="23">
        <v>3.7530000000000001</v>
      </c>
      <c r="T61" s="100">
        <v>3194.46</v>
      </c>
      <c r="U61" s="50"/>
      <c r="V61" s="113">
        <v>402.43799999999999</v>
      </c>
      <c r="W61" s="401">
        <f t="shared" si="15"/>
        <v>3625.163</v>
      </c>
      <c r="X61" s="56"/>
      <c r="Y61" s="975">
        <v>5558.7</v>
      </c>
      <c r="Z61" s="1594"/>
      <c r="AA61" s="1595"/>
      <c r="AB61" s="1596"/>
      <c r="AC61" s="2269"/>
      <c r="AD61" s="2196"/>
      <c r="AE61" s="2303"/>
      <c r="AF61" s="2326">
        <v>2725.1350000000002</v>
      </c>
      <c r="AG61" s="2315">
        <v>3649.36</v>
      </c>
      <c r="AH61" s="1803">
        <f>W61-V61-SUM(Motpart!Y23:Z23)</f>
        <v>2833.5650000000001</v>
      </c>
    </row>
    <row r="62" spans="1:34" ht="13.5" customHeight="1">
      <c r="A62" s="2049"/>
      <c r="B62" s="855" t="s">
        <v>18</v>
      </c>
      <c r="C62" s="470"/>
      <c r="D62" s="469"/>
      <c r="E62" s="467"/>
      <c r="F62" s="490"/>
      <c r="G62" s="467"/>
      <c r="H62" s="491"/>
      <c r="I62" s="467"/>
      <c r="J62" s="468"/>
      <c r="K62" s="496"/>
      <c r="L62" s="466"/>
      <c r="M62" s="467"/>
      <c r="N62" s="469"/>
      <c r="O62" s="469"/>
      <c r="P62" s="468"/>
      <c r="Q62" s="50"/>
      <c r="R62" s="466"/>
      <c r="S62" s="467"/>
      <c r="T62" s="468"/>
      <c r="U62" s="50"/>
      <c r="V62" s="464"/>
      <c r="W62" s="465"/>
      <c r="X62" s="31"/>
      <c r="Y62" s="1473"/>
      <c r="Z62" s="1611"/>
      <c r="AA62" s="1598"/>
      <c r="AB62" s="1598"/>
      <c r="AC62" s="2270"/>
      <c r="AD62" s="2196"/>
      <c r="AE62" s="2303"/>
      <c r="AF62" s="2326"/>
      <c r="AG62" s="2315">
        <f t="shared" si="8"/>
        <v>0</v>
      </c>
      <c r="AH62" s="1803"/>
    </row>
    <row r="63" spans="1:34">
      <c r="A63" s="2034" t="s">
        <v>246</v>
      </c>
      <c r="B63" s="863" t="s">
        <v>832</v>
      </c>
      <c r="C63" s="20">
        <v>153.63399999999999</v>
      </c>
      <c r="D63" s="21">
        <v>59.241</v>
      </c>
      <c r="E63" s="20">
        <v>6.7249999999999996</v>
      </c>
      <c r="F63" s="20">
        <v>25.852</v>
      </c>
      <c r="G63" s="20">
        <v>11.387</v>
      </c>
      <c r="H63" s="21">
        <v>0.19600000000000001</v>
      </c>
      <c r="I63" s="20">
        <v>12.215</v>
      </c>
      <c r="J63" s="99">
        <v>1.575</v>
      </c>
      <c r="K63" s="31"/>
      <c r="L63" s="102">
        <v>25</v>
      </c>
      <c r="M63" s="20">
        <v>36.790999999999997</v>
      </c>
      <c r="N63" s="21">
        <v>1.274</v>
      </c>
      <c r="O63" s="367">
        <v>9.6140000000000008</v>
      </c>
      <c r="P63" s="366">
        <f>SUM(C63:O63)</f>
        <v>343.50399999999996</v>
      </c>
      <c r="Q63" s="49"/>
      <c r="R63" s="102">
        <v>0.104</v>
      </c>
      <c r="S63" s="20">
        <v>0.06</v>
      </c>
      <c r="T63" s="99">
        <v>29.652000000000001</v>
      </c>
      <c r="U63" s="50"/>
      <c r="V63" s="112">
        <v>22.879000000000001</v>
      </c>
      <c r="W63" s="401">
        <f t="shared" si="15"/>
        <v>52.695000000000007</v>
      </c>
      <c r="X63" s="56"/>
      <c r="Y63" s="955">
        <v>307.81700000000001</v>
      </c>
      <c r="Z63" s="1597"/>
      <c r="AA63" s="1598"/>
      <c r="AB63" s="1598"/>
      <c r="AC63" s="2270"/>
      <c r="AD63" s="2196"/>
      <c r="AE63" s="2303"/>
      <c r="AF63" s="2326">
        <v>290.80900000000003</v>
      </c>
      <c r="AG63" s="2315">
        <v>294.577</v>
      </c>
      <c r="AH63" s="1803">
        <f>W63-V63-SUM(Motpart!Y24:Z24)</f>
        <v>17.008000000000006</v>
      </c>
    </row>
    <row r="64" spans="1:34">
      <c r="A64" s="2034" t="s">
        <v>247</v>
      </c>
      <c r="B64" s="849" t="s">
        <v>88</v>
      </c>
      <c r="C64" s="20">
        <v>340.23899999999998</v>
      </c>
      <c r="D64" s="21">
        <v>132.495</v>
      </c>
      <c r="E64" s="23">
        <v>43.756</v>
      </c>
      <c r="F64" s="23">
        <v>127.251</v>
      </c>
      <c r="G64" s="23">
        <v>178.75399999999999</v>
      </c>
      <c r="H64" s="24">
        <v>64.153000000000006</v>
      </c>
      <c r="I64" s="23">
        <v>69.869</v>
      </c>
      <c r="J64" s="100">
        <v>12.259</v>
      </c>
      <c r="K64" s="31"/>
      <c r="L64" s="103">
        <v>104.879</v>
      </c>
      <c r="M64" s="23">
        <v>48.738</v>
      </c>
      <c r="N64" s="21">
        <v>4.9020000000000001</v>
      </c>
      <c r="O64" s="367">
        <v>29.666</v>
      </c>
      <c r="P64" s="366">
        <f>SUM(C64:O64)</f>
        <v>1156.961</v>
      </c>
      <c r="Q64" s="49"/>
      <c r="R64" s="103">
        <v>3.5369999999999999</v>
      </c>
      <c r="S64" s="23">
        <v>9.4960000000000004</v>
      </c>
      <c r="T64" s="100">
        <v>679.99699999999996</v>
      </c>
      <c r="U64" s="50"/>
      <c r="V64" s="113">
        <v>31.928000000000001</v>
      </c>
      <c r="W64" s="401">
        <f t="shared" si="15"/>
        <v>724.95799999999997</v>
      </c>
      <c r="X64" s="56"/>
      <c r="Y64" s="975">
        <v>1102.673</v>
      </c>
      <c r="Z64" s="1597"/>
      <c r="AA64" s="1598"/>
      <c r="AB64" s="1598"/>
      <c r="AC64" s="2270"/>
      <c r="AD64" s="2196"/>
      <c r="AE64" s="2303"/>
      <c r="AF64" s="2326">
        <v>432.00299999999999</v>
      </c>
      <c r="AG64" s="2315">
        <v>933.62900000000002</v>
      </c>
      <c r="AH64" s="1803">
        <f>W64-V64-(IF(AND(Motpart!$Y$25="",Motpart!$Z$25=""),0,IF(AND(Motpart!$Y$25=0,Motpart!$Z$25=0),0,((T64/($T$64+$T$65+$T$66))*(Motpart!$Y$25+Motpart!$Z$25)))))</f>
        <v>648.56199345268931</v>
      </c>
    </row>
    <row r="65" spans="1:34">
      <c r="A65" s="2034" t="s">
        <v>248</v>
      </c>
      <c r="B65" s="849" t="s">
        <v>93</v>
      </c>
      <c r="C65" s="20">
        <v>1458.9449999999999</v>
      </c>
      <c r="D65" s="21">
        <v>565.29399999999998</v>
      </c>
      <c r="E65" s="23">
        <v>67.522999999999996</v>
      </c>
      <c r="F65" s="23">
        <v>854.29700000000003</v>
      </c>
      <c r="G65" s="23">
        <v>121.24299999999999</v>
      </c>
      <c r="H65" s="24">
        <v>1.8240000000000001</v>
      </c>
      <c r="I65" s="23">
        <v>78.322999999999993</v>
      </c>
      <c r="J65" s="100">
        <v>15.648</v>
      </c>
      <c r="K65" s="31"/>
      <c r="L65" s="103">
        <v>176.1</v>
      </c>
      <c r="M65" s="23">
        <v>269.43799999999999</v>
      </c>
      <c r="N65" s="21">
        <v>20.629000000000001</v>
      </c>
      <c r="O65" s="367">
        <v>88.263000000000005</v>
      </c>
      <c r="P65" s="366">
        <f>SUM(C65:O65)</f>
        <v>3717.527</v>
      </c>
      <c r="Q65" s="49"/>
      <c r="R65" s="103">
        <v>1.8640000000000001</v>
      </c>
      <c r="S65" s="23">
        <v>0.91500000000000004</v>
      </c>
      <c r="T65" s="100">
        <v>601.60400000000004</v>
      </c>
      <c r="U65" s="50"/>
      <c r="V65" s="113">
        <v>246.33199999999999</v>
      </c>
      <c r="W65" s="401">
        <f t="shared" si="15"/>
        <v>850.71500000000003</v>
      </c>
      <c r="X65" s="56"/>
      <c r="Y65" s="975">
        <v>3402.3560000000002</v>
      </c>
      <c r="Z65" s="1597"/>
      <c r="AA65" s="1598"/>
      <c r="AB65" s="1598"/>
      <c r="AC65" s="2270"/>
      <c r="AD65" s="2196"/>
      <c r="AE65" s="2303"/>
      <c r="AF65" s="2326">
        <v>2866.8119999999999</v>
      </c>
      <c r="AG65" s="2315">
        <v>2615.0740000000001</v>
      </c>
      <c r="AH65" s="1803">
        <f>W65-V65-(IF(AND(Motpart!$Y$25="",Motpart!$Z$25=""),0,IF(AND(Motpart!$Y$25=0,Motpart!$Z$25=0),0,((T65/($T$64+$T$65+$T$66))*(Motpart!$Y$25+Motpart!$Z$25)))))</f>
        <v>565.04145788894914</v>
      </c>
    </row>
    <row r="66" spans="1:34">
      <c r="A66" s="2034" t="s">
        <v>249</v>
      </c>
      <c r="B66" s="857" t="s">
        <v>907</v>
      </c>
      <c r="C66" s="20">
        <v>166.48699999999999</v>
      </c>
      <c r="D66" s="21">
        <v>64.200999999999993</v>
      </c>
      <c r="E66" s="23">
        <v>9.4269999999999996</v>
      </c>
      <c r="F66" s="23">
        <v>10.717000000000001</v>
      </c>
      <c r="G66" s="23">
        <v>58.207999999999998</v>
      </c>
      <c r="H66" s="24">
        <v>1.7529999999999999</v>
      </c>
      <c r="I66" s="23">
        <v>7.149</v>
      </c>
      <c r="J66" s="100">
        <v>1.048</v>
      </c>
      <c r="K66" s="31"/>
      <c r="L66" s="103">
        <v>30.553999999999998</v>
      </c>
      <c r="M66" s="23">
        <v>14.760999999999999</v>
      </c>
      <c r="N66" s="21">
        <v>0.79800000000000004</v>
      </c>
      <c r="O66" s="367">
        <v>9.7910000000000004</v>
      </c>
      <c r="P66" s="366">
        <f>SUM(C66:O66)</f>
        <v>374.89399999999995</v>
      </c>
      <c r="Q66" s="49"/>
      <c r="R66" s="103">
        <v>2.8570000000000002</v>
      </c>
      <c r="S66" s="23">
        <v>0.51800000000000002</v>
      </c>
      <c r="T66" s="100">
        <v>217.946</v>
      </c>
      <c r="U66" s="50"/>
      <c r="V66" s="113">
        <v>33.06</v>
      </c>
      <c r="W66" s="401">
        <f t="shared" si="15"/>
        <v>254.381</v>
      </c>
      <c r="X66" s="56"/>
      <c r="Y66" s="975">
        <v>334.96499999999997</v>
      </c>
      <c r="Z66" s="871" t="s">
        <v>94</v>
      </c>
      <c r="AA66" s="951"/>
      <c r="AB66" s="952"/>
      <c r="AC66" s="2274"/>
      <c r="AD66" s="2196"/>
      <c r="AE66" s="2303"/>
      <c r="AF66" s="2326">
        <v>120.51300000000001</v>
      </c>
      <c r="AG66" s="2315">
        <v>329.36399999999998</v>
      </c>
      <c r="AH66" s="1803">
        <f>W66-V66-(IF(AND(Motpart!$Y$25="",Motpart!$Z$25=""),0,IF(AND(Motpart!$Y$25=0,Motpart!$Z$25=0),0,((T66/($T$64+$T$65+$T$66))*(Motpart!$Y$25+Motpart!$Z$25)))))</f>
        <v>207.06854865836149</v>
      </c>
    </row>
    <row r="67" spans="1:34">
      <c r="A67" s="2034" t="s">
        <v>250</v>
      </c>
      <c r="B67" s="849" t="s">
        <v>19</v>
      </c>
      <c r="C67" s="359">
        <f>SUM(C58,C60:C61,C63:C66)</f>
        <v>85261.428</v>
      </c>
      <c r="D67" s="26">
        <f t="shared" ref="D67:J67" si="16">SUM(D58,D60:D61,D63:D66)</f>
        <v>33236.078000000009</v>
      </c>
      <c r="E67" s="528">
        <f t="shared" si="16"/>
        <v>7579.6939999999995</v>
      </c>
      <c r="F67" s="359">
        <f t="shared" si="16"/>
        <v>52510.751999999986</v>
      </c>
      <c r="G67" s="359">
        <f t="shared" si="16"/>
        <v>14948.560000000003</v>
      </c>
      <c r="H67" s="359">
        <f t="shared" si="16"/>
        <v>402.57400000000007</v>
      </c>
      <c r="I67" s="359">
        <f t="shared" si="16"/>
        <v>6117.9490000000005</v>
      </c>
      <c r="J67" s="104">
        <f t="shared" si="16"/>
        <v>2005.5850000000003</v>
      </c>
      <c r="K67" s="146"/>
      <c r="L67" s="368">
        <f>SUM(L58,L60:L61,L63:L66)</f>
        <v>15672.359</v>
      </c>
      <c r="M67" s="359">
        <f>SUM(M58,M60:M61,M63:M66)</f>
        <v>33403.253999999994</v>
      </c>
      <c r="N67" s="26">
        <f>SUM(N58,N60:N61,N63:N66)</f>
        <v>927.72699999999998</v>
      </c>
      <c r="O67" s="371">
        <f>SUM(O58,O60:O61,O63:O66)</f>
        <v>6319.4679999999998</v>
      </c>
      <c r="P67" s="104">
        <f>SUM(P58,P60:P61,P63:P66)</f>
        <v>258385.42800000001</v>
      </c>
      <c r="Q67" s="49"/>
      <c r="R67" s="368">
        <f>SUM(R58,R60:R61,R63:R66)</f>
        <v>128.76900000000001</v>
      </c>
      <c r="S67" s="359">
        <f>SUM(S58,S60:S61,S63:S66)</f>
        <v>79.724999999999994</v>
      </c>
      <c r="T67" s="104">
        <f>SUM(T58,T60:T61,T63:T66)</f>
        <v>32458.819999999996</v>
      </c>
      <c r="U67" s="49"/>
      <c r="V67" s="116">
        <f>SUM(V58,V60:V61,V63:V66)</f>
        <v>24401.990999999998</v>
      </c>
      <c r="W67" s="117">
        <f>SUM(W58,W60:W61,W63:W66)</f>
        <v>57069.304999999993</v>
      </c>
      <c r="X67" s="56"/>
      <c r="Y67" s="955">
        <v>222933.16899999999</v>
      </c>
      <c r="Z67" s="958">
        <f>(P67-W67)*1000/invanare</f>
        <v>19133.683554029463</v>
      </c>
      <c r="AA67" s="959">
        <f>Y67*1000/invanare</f>
        <v>21188.231949723024</v>
      </c>
      <c r="AB67" s="959">
        <v>20471.805</v>
      </c>
      <c r="AC67" s="2284">
        <f>IF(ISERROR((AA67-AB67)/AB67)," ",((AA67-AB67)/AB67))</f>
        <v>3.4995788096019061E-2</v>
      </c>
      <c r="AD67" s="2196"/>
      <c r="AE67" s="2307">
        <f>IF(ISERROR(F67/(AA67/1000*invanare)),"",(F67/(AA67/100000*invanare)))</f>
        <v>23.554481477810054</v>
      </c>
      <c r="AF67" s="2326">
        <v>201316.13699999999</v>
      </c>
      <c r="AG67" s="2315">
        <v>181070.125</v>
      </c>
      <c r="AH67" s="1803">
        <f>W67-V67-SUM(Motpart!Y17:Z25)</f>
        <v>21617.031999999992</v>
      </c>
    </row>
    <row r="68" spans="1:34" ht="12.75" customHeight="1" thickBot="1">
      <c r="A68" s="2045" t="s">
        <v>251</v>
      </c>
      <c r="B68" s="854" t="s">
        <v>95</v>
      </c>
      <c r="C68" s="373">
        <f t="shared" ref="C68:J68" si="17">SUM(C51,C67)</f>
        <v>130241.414</v>
      </c>
      <c r="D68" s="374">
        <f t="shared" si="17"/>
        <v>50787.92500000001</v>
      </c>
      <c r="E68" s="373">
        <f t="shared" si="17"/>
        <v>10538.196</v>
      </c>
      <c r="F68" s="373">
        <f t="shared" si="17"/>
        <v>73697.715999999986</v>
      </c>
      <c r="G68" s="373">
        <f t="shared" si="17"/>
        <v>17714.953000000001</v>
      </c>
      <c r="H68" s="374">
        <f t="shared" si="17"/>
        <v>453.70100000000008</v>
      </c>
      <c r="I68" s="373">
        <f t="shared" si="17"/>
        <v>9360.7160000000003</v>
      </c>
      <c r="J68" s="375">
        <f t="shared" si="17"/>
        <v>2631.9</v>
      </c>
      <c r="K68" s="146"/>
      <c r="L68" s="376">
        <f>SUM(L51,L67)</f>
        <v>23357.882000000001</v>
      </c>
      <c r="M68" s="373">
        <f>SUM(M51,M67)</f>
        <v>52040.936999999991</v>
      </c>
      <c r="N68" s="374">
        <f>SUM(N51,N67)</f>
        <v>1348.5219999999999</v>
      </c>
      <c r="O68" s="374">
        <f>SUM(O51,O67)</f>
        <v>9409.5519999999997</v>
      </c>
      <c r="P68" s="375">
        <f>SUM(P51,P67)</f>
        <v>381583.41399999999</v>
      </c>
      <c r="Q68" s="49"/>
      <c r="R68" s="376">
        <f>SUM(R51,R67)</f>
        <v>8970.0360000000001</v>
      </c>
      <c r="S68" s="373">
        <f>SUM(S51,S67)</f>
        <v>106.78099999999999</v>
      </c>
      <c r="T68" s="375">
        <f>SUM(T51,T67)</f>
        <v>40562.356999999996</v>
      </c>
      <c r="U68" s="49"/>
      <c r="V68" s="403">
        <f>SUM(V51,V67)</f>
        <v>37447.646999999997</v>
      </c>
      <c r="W68" s="402">
        <f>SUM(W51,W67)</f>
        <v>87086.820999999996</v>
      </c>
      <c r="X68" s="56"/>
      <c r="Y68" s="982">
        <v>332449.05200000003</v>
      </c>
      <c r="Z68" s="960"/>
      <c r="AA68" s="961"/>
      <c r="AB68" s="962"/>
      <c r="AC68" s="2279"/>
      <c r="AD68" s="2196"/>
      <c r="AE68" s="2305">
        <f>IF(ISERROR(F67/(AA67/1000*invanare)),"",(SUM(Motpart!D17:D25,Motpart!F17:F25)/(AA67/100000*invanare)))</f>
        <v>16.645218908631758</v>
      </c>
      <c r="AF68" s="2327">
        <v>294496.61499999999</v>
      </c>
      <c r="AG68" s="2316">
        <v>269984.37199999997</v>
      </c>
      <c r="AH68" s="1805">
        <f>SUM(AH51,AH58,AH60:AH61,AH63:AH66)</f>
        <v>37952.437000000005</v>
      </c>
    </row>
    <row r="69" spans="1:34" ht="17.25" customHeight="1">
      <c r="A69" s="2049"/>
      <c r="B69" s="855" t="s">
        <v>96</v>
      </c>
      <c r="C69" s="497"/>
      <c r="D69" s="498"/>
      <c r="E69" s="499"/>
      <c r="F69" s="499"/>
      <c r="G69" s="499"/>
      <c r="H69" s="498"/>
      <c r="I69" s="499"/>
      <c r="J69" s="500"/>
      <c r="K69" s="38"/>
      <c r="L69" s="501"/>
      <c r="M69" s="499"/>
      <c r="N69" s="498"/>
      <c r="O69" s="498"/>
      <c r="P69" s="502"/>
      <c r="Q69" s="51"/>
      <c r="R69" s="501"/>
      <c r="S69" s="499"/>
      <c r="T69" s="500"/>
      <c r="U69" s="51"/>
      <c r="V69" s="503"/>
      <c r="W69" s="504"/>
      <c r="X69" s="38"/>
      <c r="Y69" s="1475"/>
      <c r="Z69" s="1621"/>
      <c r="AA69" s="1622"/>
      <c r="AB69" s="1623"/>
      <c r="AC69" s="2285"/>
      <c r="AD69" s="2196"/>
      <c r="AE69" s="2303"/>
      <c r="AF69" s="2328"/>
      <c r="AG69" s="2317"/>
      <c r="AH69" s="1804"/>
    </row>
    <row r="70" spans="1:34">
      <c r="A70" s="2034" t="s">
        <v>252</v>
      </c>
      <c r="B70" s="851" t="s">
        <v>97</v>
      </c>
      <c r="C70" s="20">
        <v>103.121</v>
      </c>
      <c r="D70" s="21">
        <v>40.898000000000003</v>
      </c>
      <c r="E70" s="20">
        <v>9.0749999999999993</v>
      </c>
      <c r="F70" s="20">
        <v>60.176000000000002</v>
      </c>
      <c r="G70" s="20">
        <v>47.670999999999999</v>
      </c>
      <c r="H70" s="21">
        <v>2.5000000000000001E-2</v>
      </c>
      <c r="I70" s="20">
        <v>1.9219999999999999</v>
      </c>
      <c r="J70" s="99">
        <v>0.57799999999999996</v>
      </c>
      <c r="K70" s="31"/>
      <c r="L70" s="102">
        <v>21.777000000000001</v>
      </c>
      <c r="M70" s="20">
        <v>151.16200000000001</v>
      </c>
      <c r="N70" s="21">
        <v>0</v>
      </c>
      <c r="O70" s="367">
        <v>6.12</v>
      </c>
      <c r="P70" s="366">
        <f>SUM(C70:O70)</f>
        <v>442.52499999999998</v>
      </c>
      <c r="Q70" s="49"/>
      <c r="R70" s="102">
        <v>13.89</v>
      </c>
      <c r="S70" s="20">
        <v>0.19700000000000001</v>
      </c>
      <c r="T70" s="99">
        <v>41.069000000000003</v>
      </c>
      <c r="U70" s="50"/>
      <c r="V70" s="112">
        <v>153.494</v>
      </c>
      <c r="W70" s="401">
        <f>SUM(R70:V70)</f>
        <v>208.65</v>
      </c>
      <c r="X70" s="56"/>
      <c r="Y70" s="955">
        <v>280.51100000000002</v>
      </c>
      <c r="Z70" s="1624"/>
      <c r="AA70" s="1618"/>
      <c r="AB70" s="1618"/>
      <c r="AC70" s="2286"/>
      <c r="AD70" s="2196"/>
      <c r="AE70" s="2303"/>
      <c r="AF70" s="2326">
        <v>233.875</v>
      </c>
      <c r="AG70" s="2315">
        <v>228.83</v>
      </c>
      <c r="AH70" s="1803">
        <f>W70-V70-(IF(AND(Motpart!$Y$26="",Motpart!$Z$26=""),0,IF(AND(Motpart!$Y$26=0,Motpart!$Z$26=0),0,((T70/($T$70+$T$71))*(Motpart!$Y$26+Motpart!$Z$26)))))</f>
        <v>49.174270022484315</v>
      </c>
    </row>
    <row r="71" spans="1:34" ht="21" customHeight="1" thickBot="1">
      <c r="A71" s="2034" t="s">
        <v>253</v>
      </c>
      <c r="B71" s="1853" t="s">
        <v>1009</v>
      </c>
      <c r="C71" s="23">
        <v>788.26599999999996</v>
      </c>
      <c r="D71" s="21">
        <v>313.084</v>
      </c>
      <c r="E71" s="23">
        <v>435</v>
      </c>
      <c r="F71" s="23">
        <v>325.86799999999999</v>
      </c>
      <c r="G71" s="23">
        <v>385.49200000000002</v>
      </c>
      <c r="H71" s="24">
        <v>1.097</v>
      </c>
      <c r="I71" s="23">
        <v>13.651999999999999</v>
      </c>
      <c r="J71" s="100">
        <v>28.459</v>
      </c>
      <c r="K71" s="31"/>
      <c r="L71" s="103">
        <v>114.83799999999999</v>
      </c>
      <c r="M71" s="23">
        <v>198.57900000000001</v>
      </c>
      <c r="N71" s="21">
        <v>1.407</v>
      </c>
      <c r="O71" s="367">
        <v>55.573</v>
      </c>
      <c r="P71" s="366">
        <f>SUM(C71:O71)</f>
        <v>2661.3150000000005</v>
      </c>
      <c r="Q71" s="49"/>
      <c r="R71" s="103">
        <v>49.377000000000002</v>
      </c>
      <c r="S71" s="23">
        <v>1.5860000000000001</v>
      </c>
      <c r="T71" s="100">
        <v>618.50199999999995</v>
      </c>
      <c r="U71" s="50"/>
      <c r="V71" s="113">
        <v>177.5</v>
      </c>
      <c r="W71" s="963">
        <f>SUM(R71:V71)</f>
        <v>846.96499999999992</v>
      </c>
      <c r="X71" s="56"/>
      <c r="Y71" s="975">
        <v>2396.268</v>
      </c>
      <c r="Z71" s="1619"/>
      <c r="AA71" s="1620"/>
      <c r="AB71" s="1620"/>
      <c r="AC71" s="2287"/>
      <c r="AD71" s="2196"/>
      <c r="AE71" s="2303"/>
      <c r="AF71" s="2326">
        <v>1814.35</v>
      </c>
      <c r="AG71" s="2315">
        <v>2156.85</v>
      </c>
      <c r="AH71" s="1803">
        <f>W71-V71-(IF(AND(Motpart!$Y$26="",Motpart!$Z$26=""),0,IF(AND(Motpart!$Y$26=0,Motpart!$Z$26=0),0,((T71/($T$70+$T$71))*(Motpart!$Y$26+Motpart!$Z$26)))))</f>
        <v>579.37972997751558</v>
      </c>
    </row>
    <row r="72" spans="1:34" ht="36" customHeight="1" thickBot="1">
      <c r="A72" s="2054"/>
      <c r="B72" s="1625" t="s">
        <v>99</v>
      </c>
      <c r="C72" s="470"/>
      <c r="D72" s="469"/>
      <c r="E72" s="467"/>
      <c r="F72" s="467"/>
      <c r="G72" s="467"/>
      <c r="H72" s="469"/>
      <c r="I72" s="467"/>
      <c r="J72" s="468"/>
      <c r="K72" s="31"/>
      <c r="L72" s="466"/>
      <c r="M72" s="467"/>
      <c r="N72" s="469"/>
      <c r="O72" s="469"/>
      <c r="P72" s="468"/>
      <c r="Q72" s="50"/>
      <c r="R72" s="466"/>
      <c r="S72" s="467"/>
      <c r="T72" s="468"/>
      <c r="U72" s="50"/>
      <c r="V72" s="464"/>
      <c r="W72" s="465"/>
      <c r="X72" s="31"/>
      <c r="Y72" s="1614" t="s">
        <v>944</v>
      </c>
      <c r="Z72" s="2530"/>
      <c r="AA72" s="2531"/>
      <c r="AB72" s="2531"/>
      <c r="AC72" s="2532"/>
      <c r="AD72" s="2196"/>
      <c r="AE72" s="2308">
        <f>IF(ISERROR((F73+F74)/((AA73+AA74)/1000*invanare)),"",((F73+F74)/((AA73+AA74)/100000*invanare)))</f>
        <v>16.731750862438847</v>
      </c>
      <c r="AF72" s="2326"/>
      <c r="AG72" s="2315"/>
      <c r="AH72" s="1803"/>
    </row>
    <row r="73" spans="1:34">
      <c r="A73" s="2034" t="s">
        <v>431</v>
      </c>
      <c r="B73" s="857" t="s">
        <v>483</v>
      </c>
      <c r="C73" s="20">
        <v>64066.364000000001</v>
      </c>
      <c r="D73" s="21">
        <v>24651.017</v>
      </c>
      <c r="E73" s="20">
        <v>5431.442</v>
      </c>
      <c r="F73" s="20">
        <v>23533.920999999998</v>
      </c>
      <c r="G73" s="20">
        <v>6939.0110000000004</v>
      </c>
      <c r="H73" s="21">
        <v>1157.376</v>
      </c>
      <c r="I73" s="20">
        <v>4361.1459999999997</v>
      </c>
      <c r="J73" s="99">
        <v>918.75699999999995</v>
      </c>
      <c r="K73" s="31"/>
      <c r="L73" s="102">
        <v>6324.7719999999999</v>
      </c>
      <c r="M73" s="20">
        <v>19747.498</v>
      </c>
      <c r="N73" s="21">
        <v>538.44899999999996</v>
      </c>
      <c r="O73" s="367">
        <v>4285.4989999999998</v>
      </c>
      <c r="P73" s="366">
        <f>SUM(C73:O73)</f>
        <v>161955.25199999998</v>
      </c>
      <c r="Q73" s="49"/>
      <c r="R73" s="1860">
        <v>5926.3220000000001</v>
      </c>
      <c r="S73" s="20">
        <v>4530.2950000000001</v>
      </c>
      <c r="T73" s="99">
        <v>13594.163</v>
      </c>
      <c r="U73" s="50"/>
      <c r="V73" s="112">
        <v>14891.838</v>
      </c>
      <c r="W73" s="401">
        <f>SUM(R73:V73)</f>
        <v>38942.618000000002</v>
      </c>
      <c r="X73" s="56"/>
      <c r="Y73" s="955">
        <v>146636.44099999999</v>
      </c>
      <c r="Z73" s="958">
        <f>(P73-W73)*1000/invanare</f>
        <v>11691.486886540353</v>
      </c>
      <c r="AA73" s="959">
        <f>Y73*1000/invanare</f>
        <v>13936.763820864518</v>
      </c>
      <c r="AB73" s="973">
        <v>13279.134</v>
      </c>
      <c r="AC73" s="2277">
        <f>IF(ISERROR((AA73-AB73)/AB73)," ",((AA73-AB73)/AB73))</f>
        <v>4.9523547308470452E-2</v>
      </c>
      <c r="AD73" s="2196"/>
      <c r="AE73" s="2307"/>
      <c r="AF73" s="2326">
        <v>123012.63400000001</v>
      </c>
      <c r="AG73" s="2315">
        <v>122372.117</v>
      </c>
      <c r="AH73" s="1803">
        <f>W73-V73-SUM(Motpart!Y27:Z27)</f>
        <v>23623.807000000001</v>
      </c>
    </row>
    <row r="74" spans="1:34" ht="18.75">
      <c r="A74" s="2034" t="s">
        <v>430</v>
      </c>
      <c r="B74" s="861" t="s">
        <v>366</v>
      </c>
      <c r="C74" s="20">
        <v>6404.5349999999999</v>
      </c>
      <c r="D74" s="21">
        <v>2436.5439999999999</v>
      </c>
      <c r="E74" s="20">
        <v>381.339</v>
      </c>
      <c r="F74" s="20">
        <v>3694.2539999999999</v>
      </c>
      <c r="G74" s="20">
        <v>771.00699999999995</v>
      </c>
      <c r="H74" s="21">
        <v>419.31200000000001</v>
      </c>
      <c r="I74" s="20">
        <v>453.29</v>
      </c>
      <c r="J74" s="99">
        <v>46.354999999999997</v>
      </c>
      <c r="K74" s="31"/>
      <c r="L74" s="102">
        <v>438.27699999999999</v>
      </c>
      <c r="M74" s="20">
        <v>1970.931</v>
      </c>
      <c r="N74" s="21">
        <v>62.65</v>
      </c>
      <c r="O74" s="367">
        <v>407.34800000000001</v>
      </c>
      <c r="P74" s="366">
        <f>SUM(C74:O74)</f>
        <v>17485.842000000001</v>
      </c>
      <c r="Q74" s="49"/>
      <c r="R74" s="1860">
        <v>317.50599999999997</v>
      </c>
      <c r="S74" s="20">
        <v>340.00799999999998</v>
      </c>
      <c r="T74" s="99">
        <v>1161.308</v>
      </c>
      <c r="U74" s="50"/>
      <c r="V74" s="112">
        <v>1335.261</v>
      </c>
      <c r="W74" s="401">
        <f>SUM(R74:V74)</f>
        <v>3154.0829999999996</v>
      </c>
      <c r="X74" s="56"/>
      <c r="Y74" s="955">
        <v>16097.126</v>
      </c>
      <c r="Z74" s="958">
        <f>(P74-W74)*1000/invanare</f>
        <v>1362.1330343154568</v>
      </c>
      <c r="AA74" s="959">
        <f>Y74*1000/invanare</f>
        <v>1529.9187686688165</v>
      </c>
      <c r="AB74" s="973">
        <v>1479.078</v>
      </c>
      <c r="AC74" s="2277">
        <f>IF(ISERROR((AA74-AB74)/AB74)," ",((AA74-AB74)/AB74))</f>
        <v>3.4373284349315254E-2</v>
      </c>
      <c r="AD74" s="2196"/>
      <c r="AE74" s="2306">
        <f>(Y77-Y76)*1000/invanare</f>
        <v>22217.309873178452</v>
      </c>
      <c r="AF74" s="2326">
        <v>14331.759</v>
      </c>
      <c r="AG74" s="2315">
        <v>12037.014999999999</v>
      </c>
      <c r="AH74" s="1803">
        <f>W74-V74-SUM(Motpart!Y28:Z28)</f>
        <v>1765.3669999999997</v>
      </c>
    </row>
    <row r="75" spans="1:34">
      <c r="A75" s="2034" t="s">
        <v>254</v>
      </c>
      <c r="B75" s="857" t="s">
        <v>367</v>
      </c>
      <c r="C75" s="2337">
        <v>29310.833999999999</v>
      </c>
      <c r="D75" s="21">
        <v>11193.53</v>
      </c>
      <c r="E75" s="23">
        <v>1300.6579999999999</v>
      </c>
      <c r="F75" s="2337">
        <v>14748.707</v>
      </c>
      <c r="G75" s="23">
        <v>2100.1979999999999</v>
      </c>
      <c r="H75" s="24">
        <v>5011.1499999999996</v>
      </c>
      <c r="I75" s="23">
        <v>1693.181</v>
      </c>
      <c r="J75" s="100">
        <v>199.256</v>
      </c>
      <c r="K75" s="31"/>
      <c r="L75" s="103">
        <v>2546.3580000000002</v>
      </c>
      <c r="M75" s="2337">
        <v>5856.1509999999998</v>
      </c>
      <c r="N75" s="2346">
        <v>237.09399999999999</v>
      </c>
      <c r="O75" s="2348">
        <v>1697.8689999999999</v>
      </c>
      <c r="P75" s="366">
        <f>SUM(C75:O75)</f>
        <v>75894.986000000004</v>
      </c>
      <c r="Q75" s="49"/>
      <c r="R75" s="1858">
        <v>137.92099999999999</v>
      </c>
      <c r="S75" s="23">
        <v>1444.3579999999999</v>
      </c>
      <c r="T75" s="100">
        <v>8164.7929999999997</v>
      </c>
      <c r="U75" s="50"/>
      <c r="V75" s="2349">
        <v>4605.32</v>
      </c>
      <c r="W75" s="401">
        <f>SUM(R75:V75)</f>
        <v>14352.392</v>
      </c>
      <c r="X75" s="56"/>
      <c r="Y75" s="955">
        <v>71027.104000000007</v>
      </c>
      <c r="Z75" s="958">
        <f>(P75-W75)*1000/invanare</f>
        <v>5849.1913173298708</v>
      </c>
      <c r="AA75" s="959">
        <f>Y75*1000/invanare</f>
        <v>6750.6273786880947</v>
      </c>
      <c r="AB75" s="973">
        <v>6495.01</v>
      </c>
      <c r="AC75" s="2277">
        <f>IF(ISERROR((AA75-AB75)/AB75)," ",((AA75-AB75)/AB75))</f>
        <v>3.9355963838099479E-2</v>
      </c>
      <c r="AD75" s="2196"/>
      <c r="AE75" s="2303"/>
      <c r="AF75" s="2326">
        <v>61542.593999999997</v>
      </c>
      <c r="AG75" s="2315">
        <v>51529.809000000001</v>
      </c>
      <c r="AH75" s="1803">
        <f>W75-V75-SUM(Motpart!Y29:Z29)</f>
        <v>9484.51</v>
      </c>
    </row>
    <row r="76" spans="1:34">
      <c r="A76" s="2034" t="s">
        <v>255</v>
      </c>
      <c r="B76" s="849" t="s">
        <v>100</v>
      </c>
      <c r="C76" s="23">
        <v>120.667</v>
      </c>
      <c r="D76" s="21">
        <v>46.679000000000002</v>
      </c>
      <c r="E76" s="23">
        <v>3.0289999999999999</v>
      </c>
      <c r="F76" s="23">
        <v>1827.2809999999999</v>
      </c>
      <c r="G76" s="23">
        <v>375.10199999999998</v>
      </c>
      <c r="H76" s="24">
        <v>41.42</v>
      </c>
      <c r="I76" s="23">
        <v>0.89800000000000002</v>
      </c>
      <c r="J76" s="100">
        <v>1.0369999999999999</v>
      </c>
      <c r="K76" s="31"/>
      <c r="L76" s="103">
        <v>8.2200000000000006</v>
      </c>
      <c r="M76" s="23">
        <v>92.284000000000006</v>
      </c>
      <c r="N76" s="21">
        <v>7.2430000000000003</v>
      </c>
      <c r="O76" s="367">
        <v>18.140999999999998</v>
      </c>
      <c r="P76" s="366">
        <f>SUM(C76:O76)</f>
        <v>2542.0009999999997</v>
      </c>
      <c r="Q76" s="49"/>
      <c r="R76" s="1858">
        <v>108.193</v>
      </c>
      <c r="S76" s="23">
        <v>6.0000000000000001E-3</v>
      </c>
      <c r="T76" s="100">
        <v>53.268000000000001</v>
      </c>
      <c r="U76" s="50"/>
      <c r="V76" s="113">
        <v>103.715</v>
      </c>
      <c r="W76" s="401">
        <f>SUM(R76:V76)</f>
        <v>265.18200000000002</v>
      </c>
      <c r="X76" s="56"/>
      <c r="Y76" s="955">
        <v>2432</v>
      </c>
      <c r="Z76" s="958">
        <f>(P76-W76)*1000/invanare</f>
        <v>216.39565478718163</v>
      </c>
      <c r="AA76" s="959">
        <f>Y76*1000/invanare</f>
        <v>231.14451892856911</v>
      </c>
      <c r="AB76" s="976">
        <v>192.74600000000001</v>
      </c>
      <c r="AC76" s="2277">
        <f>IF(ISERROR((AA76-AB76)/AB76)," ",((AA76-AB76)/AB76))</f>
        <v>0.19921824021546025</v>
      </c>
      <c r="AD76" s="2196"/>
      <c r="AE76" s="2306"/>
      <c r="AF76" s="2326">
        <v>2276.819</v>
      </c>
      <c r="AG76" s="2315">
        <v>569.58500000000004</v>
      </c>
      <c r="AH76" s="1803">
        <f>W76-V76-SUM(Motpart!Y30:Z30)</f>
        <v>155.18100000000001</v>
      </c>
    </row>
    <row r="77" spans="1:34">
      <c r="A77" s="2034" t="s">
        <v>494</v>
      </c>
      <c r="B77" s="849" t="s">
        <v>102</v>
      </c>
      <c r="C77" s="359">
        <f t="shared" ref="C77:J77" si="18">SUM(C73:C76)</f>
        <v>99902.400000000009</v>
      </c>
      <c r="D77" s="26">
        <f t="shared" si="18"/>
        <v>38327.769999999997</v>
      </c>
      <c r="E77" s="359">
        <f t="shared" si="18"/>
        <v>7116.4680000000008</v>
      </c>
      <c r="F77" s="359">
        <f t="shared" si="18"/>
        <v>43804.163</v>
      </c>
      <c r="G77" s="359">
        <f t="shared" si="18"/>
        <v>10185.318000000001</v>
      </c>
      <c r="H77" s="26">
        <f t="shared" si="18"/>
        <v>6629.2579999999998</v>
      </c>
      <c r="I77" s="359">
        <f t="shared" si="18"/>
        <v>6508.5150000000003</v>
      </c>
      <c r="J77" s="104">
        <f t="shared" si="18"/>
        <v>1165.405</v>
      </c>
      <c r="K77" s="146"/>
      <c r="L77" s="368">
        <f>SUM(L73:L76)</f>
        <v>9317.6269999999986</v>
      </c>
      <c r="M77" s="359">
        <f>SUM(M73:M76)</f>
        <v>27666.864000000001</v>
      </c>
      <c r="N77" s="26">
        <f>SUM(N73:N76)</f>
        <v>845.43600000000004</v>
      </c>
      <c r="O77" s="26">
        <f>SUM(O73:O76)</f>
        <v>6408.8569999999991</v>
      </c>
      <c r="P77" s="104">
        <f>SUM(P73:P76)</f>
        <v>257878.08099999998</v>
      </c>
      <c r="Q77" s="49"/>
      <c r="R77" s="368">
        <f>SUM(R73:R76)</f>
        <v>6489.9420000000009</v>
      </c>
      <c r="S77" s="359">
        <f>SUM(S73:S76)</f>
        <v>6314.6670000000004</v>
      </c>
      <c r="T77" s="104">
        <f>SUM(T73:T76)</f>
        <v>22973.532000000003</v>
      </c>
      <c r="U77" s="49"/>
      <c r="V77" s="116">
        <f>SUM(V73:V76)</f>
        <v>20936.134000000002</v>
      </c>
      <c r="W77" s="117">
        <f>SUM(W73:W76)</f>
        <v>56714.275000000001</v>
      </c>
      <c r="X77" s="56"/>
      <c r="Y77" s="955">
        <v>236192.67</v>
      </c>
      <c r="Z77" s="1636">
        <f>(P77-W77)*1000/invanare</f>
        <v>19119.206892972859</v>
      </c>
      <c r="AA77" s="976">
        <f>Y77*1000/invanare</f>
        <v>22448.454392107022</v>
      </c>
      <c r="AB77" s="1637">
        <v>21445.969000000001</v>
      </c>
      <c r="AC77" s="2281">
        <f t="shared" ref="AC77:AC84" si="19">IF(ISERROR((AA77-AB77)/AB77)," ",((AA77-AB77)/AB77))</f>
        <v>4.6744700232804623E-2</v>
      </c>
      <c r="AD77" s="2196"/>
      <c r="AE77" s="2307">
        <f>IF(ISERROR(F77/(AA77/1000*invanare)),"",(F77/(AA77/100000*invanare)))</f>
        <v>18.545945138771664</v>
      </c>
      <c r="AF77" s="2326">
        <v>201163.80499999999</v>
      </c>
      <c r="AG77" s="2315">
        <v>186508.52499999999</v>
      </c>
      <c r="AH77" s="1803">
        <f>W77-V77-SUM(Motpart!Y27:Z30)</f>
        <v>35028.865000000005</v>
      </c>
    </row>
    <row r="78" spans="1:34" ht="13.5" customHeight="1">
      <c r="A78" s="2054"/>
      <c r="B78" s="862" t="s">
        <v>103</v>
      </c>
      <c r="C78" s="470"/>
      <c r="D78" s="469"/>
      <c r="E78" s="467"/>
      <c r="F78" s="467"/>
      <c r="G78" s="467"/>
      <c r="H78" s="469"/>
      <c r="I78" s="467"/>
      <c r="J78" s="468"/>
      <c r="K78" s="31"/>
      <c r="L78" s="466"/>
      <c r="M78" s="467"/>
      <c r="N78" s="469"/>
      <c r="O78" s="469"/>
      <c r="P78" s="468"/>
      <c r="Q78" s="50"/>
      <c r="R78" s="466"/>
      <c r="S78" s="467"/>
      <c r="T78" s="468"/>
      <c r="U78" s="50"/>
      <c r="V78" s="464"/>
      <c r="W78" s="465"/>
      <c r="X78" s="31"/>
      <c r="Y78" s="1612"/>
      <c r="Z78" s="1638"/>
      <c r="AA78" s="1654"/>
      <c r="AB78" s="1654"/>
      <c r="AC78" s="2288" t="str">
        <f t="shared" si="19"/>
        <v xml:space="preserve"> </v>
      </c>
      <c r="AD78" s="2196"/>
      <c r="AE78" s="2303">
        <f>IF(ISERROR(F77/(AA77/1000*invanare)),"",(SUM(Motpart!D27:D30,Motpart!F27:F30)/(AA77/100000*invanare)))</f>
        <v>16.819798429815794</v>
      </c>
      <c r="AF78" s="2326"/>
      <c r="AG78" s="2315"/>
      <c r="AH78" s="1803"/>
    </row>
    <row r="79" spans="1:34">
      <c r="A79" s="2034" t="s">
        <v>436</v>
      </c>
      <c r="B79" s="863" t="s">
        <v>199</v>
      </c>
      <c r="C79" s="20">
        <v>2655.402</v>
      </c>
      <c r="D79" s="21">
        <v>1036.2829999999999</v>
      </c>
      <c r="E79" s="20">
        <v>142.52799999999999</v>
      </c>
      <c r="F79" s="20">
        <v>3154.09</v>
      </c>
      <c r="G79" s="20">
        <v>458.916</v>
      </c>
      <c r="H79" s="21">
        <v>149.06899999999999</v>
      </c>
      <c r="I79" s="20">
        <v>421.62</v>
      </c>
      <c r="J79" s="99">
        <v>35.255000000000003</v>
      </c>
      <c r="K79" s="31"/>
      <c r="L79" s="102">
        <v>364.88299999999998</v>
      </c>
      <c r="M79" s="20">
        <v>624.07500000000005</v>
      </c>
      <c r="N79" s="21">
        <v>22.965</v>
      </c>
      <c r="O79" s="367">
        <v>195.441</v>
      </c>
      <c r="P79" s="366">
        <f>SUM(C79:O79)</f>
        <v>9260.5270000000019</v>
      </c>
      <c r="Q79" s="49"/>
      <c r="R79" s="102">
        <v>51.802999999999997</v>
      </c>
      <c r="S79" s="20">
        <v>291.15300000000002</v>
      </c>
      <c r="T79" s="99">
        <v>486.60899999999998</v>
      </c>
      <c r="U79" s="50"/>
      <c r="V79" s="112">
        <v>501.74599999999998</v>
      </c>
      <c r="W79" s="401">
        <f>SUM(R79:V79)</f>
        <v>1331.3110000000001</v>
      </c>
      <c r="X79" s="56"/>
      <c r="Y79" s="955">
        <v>8715.3269999999993</v>
      </c>
      <c r="Z79" s="958">
        <f t="shared" ref="Z79:Z84" si="20">(P79-W79)*1000/invanare</f>
        <v>753.6162902141092</v>
      </c>
      <c r="AA79" s="959">
        <f t="shared" ref="AA79:AA84" si="21">Y79*1000/invanare</f>
        <v>828.33061953954336</v>
      </c>
      <c r="AB79" s="959">
        <v>826.54200000000003</v>
      </c>
      <c r="AC79" s="2277">
        <f t="shared" si="19"/>
        <v>2.1639790107984024E-3</v>
      </c>
      <c r="AD79" s="2196"/>
      <c r="AE79" s="2306">
        <f>F85-F76-F71-F70</f>
        <v>55419.794000000002</v>
      </c>
      <c r="AF79" s="2326">
        <v>7929.2160000000003</v>
      </c>
      <c r="AG79" s="2315">
        <v>5455.6220000000003</v>
      </c>
      <c r="AH79" s="1803">
        <f>W79-V79-SUM(Motpart!Y31:Z31)</f>
        <v>786.11100000000022</v>
      </c>
    </row>
    <row r="80" spans="1:34">
      <c r="A80" s="2034" t="s">
        <v>435</v>
      </c>
      <c r="B80" s="863" t="s">
        <v>104</v>
      </c>
      <c r="C80" s="20">
        <v>10133.231</v>
      </c>
      <c r="D80" s="21">
        <v>3739.8420000000001</v>
      </c>
      <c r="E80" s="20">
        <v>194.15799999999999</v>
      </c>
      <c r="F80" s="20">
        <v>9141.2530000000006</v>
      </c>
      <c r="G80" s="20">
        <v>2198.096</v>
      </c>
      <c r="H80" s="21">
        <v>132.785</v>
      </c>
      <c r="I80" s="20">
        <v>331.49599999999998</v>
      </c>
      <c r="J80" s="99">
        <v>37.027000000000001</v>
      </c>
      <c r="K80" s="31"/>
      <c r="L80" s="102">
        <v>519.6</v>
      </c>
      <c r="M80" s="20">
        <v>1036.1289999999999</v>
      </c>
      <c r="N80" s="21">
        <v>107.589</v>
      </c>
      <c r="O80" s="367">
        <v>628.351</v>
      </c>
      <c r="P80" s="366">
        <f>SUM(C80:O80)</f>
        <v>28199.556999999997</v>
      </c>
      <c r="Q80" s="49"/>
      <c r="R80" s="102">
        <v>55.941000000000003</v>
      </c>
      <c r="S80" s="20">
        <v>35.198999999999998</v>
      </c>
      <c r="T80" s="99">
        <v>1788.9059999999999</v>
      </c>
      <c r="U80" s="50"/>
      <c r="V80" s="112">
        <v>750.50400000000002</v>
      </c>
      <c r="W80" s="401">
        <f>SUM(R80:V80)</f>
        <v>2630.55</v>
      </c>
      <c r="X80" s="56"/>
      <c r="Y80" s="975">
        <v>27274.383999999998</v>
      </c>
      <c r="Z80" s="958">
        <f t="shared" si="20"/>
        <v>2430.1545322764041</v>
      </c>
      <c r="AA80" s="959">
        <f t="shared" si="21"/>
        <v>2592.2386384675419</v>
      </c>
      <c r="AB80" s="973">
        <v>2448.5039999999999</v>
      </c>
      <c r="AC80" s="2276">
        <f t="shared" si="19"/>
        <v>5.8703044172091219E-2</v>
      </c>
      <c r="AD80" s="2196"/>
      <c r="AE80" s="2306">
        <f>H85-H76-H71-H70</f>
        <v>17538.438000000002</v>
      </c>
      <c r="AF80" s="2326">
        <v>25569.007000000001</v>
      </c>
      <c r="AG80" s="2315">
        <v>18175.014999999999</v>
      </c>
      <c r="AH80" s="1803">
        <f>W80-V80-SUM(Motpart!Y33:Z33)</f>
        <v>1705.3770000000004</v>
      </c>
    </row>
    <row r="81" spans="1:34">
      <c r="A81" s="2034" t="s">
        <v>438</v>
      </c>
      <c r="B81" s="863" t="s">
        <v>166</v>
      </c>
      <c r="C81" s="20">
        <v>949.89099999999996</v>
      </c>
      <c r="D81" s="21">
        <v>371.05500000000001</v>
      </c>
      <c r="E81" s="20">
        <v>38.737000000000002</v>
      </c>
      <c r="F81" s="20">
        <v>937.72199999999998</v>
      </c>
      <c r="G81" s="20">
        <v>198.32599999999999</v>
      </c>
      <c r="H81" s="21">
        <v>309.51600000000002</v>
      </c>
      <c r="I81" s="20">
        <v>259.803</v>
      </c>
      <c r="J81" s="99">
        <v>6.0030000000000001</v>
      </c>
      <c r="K81" s="31"/>
      <c r="L81" s="102">
        <v>209.571</v>
      </c>
      <c r="M81" s="20">
        <v>271.589</v>
      </c>
      <c r="N81" s="21">
        <v>14.122</v>
      </c>
      <c r="O81" s="367">
        <v>74.843000000000004</v>
      </c>
      <c r="P81" s="366">
        <f>SUM(C81:O81)</f>
        <v>3641.1779999999994</v>
      </c>
      <c r="Q81" s="49"/>
      <c r="R81" s="102">
        <v>10.487</v>
      </c>
      <c r="S81" s="20">
        <v>211.989</v>
      </c>
      <c r="T81" s="99">
        <v>317.63900000000001</v>
      </c>
      <c r="U81" s="50"/>
      <c r="V81" s="112">
        <v>151.07300000000001</v>
      </c>
      <c r="W81" s="401">
        <f>SUM(R81:V81)</f>
        <v>691.18799999999999</v>
      </c>
      <c r="X81" s="56"/>
      <c r="Y81" s="975">
        <v>3446.049</v>
      </c>
      <c r="Z81" s="958">
        <f t="shared" si="20"/>
        <v>280.37583034296443</v>
      </c>
      <c r="AA81" s="959">
        <f t="shared" si="21"/>
        <v>327.52275423901176</v>
      </c>
      <c r="AB81" s="973">
        <v>308.416</v>
      </c>
      <c r="AC81" s="2276">
        <f t="shared" si="19"/>
        <v>6.1951241955708405E-2</v>
      </c>
      <c r="AD81" s="2196"/>
      <c r="AE81" s="2303"/>
      <c r="AF81" s="2326">
        <v>2949.99</v>
      </c>
      <c r="AG81" s="2315">
        <v>2242.8670000000002</v>
      </c>
      <c r="AH81" s="1803">
        <f>W81-V81-IFO!G29</f>
        <v>496.05900000000003</v>
      </c>
    </row>
    <row r="82" spans="1:34">
      <c r="A82" s="2034" t="s">
        <v>437</v>
      </c>
      <c r="B82" s="863" t="s">
        <v>105</v>
      </c>
      <c r="C82" s="20">
        <v>2307.1950000000002</v>
      </c>
      <c r="D82" s="21">
        <v>904.90700000000004</v>
      </c>
      <c r="E82" s="20">
        <v>45.496000000000002</v>
      </c>
      <c r="F82" s="20">
        <v>43.566000000000003</v>
      </c>
      <c r="G82" s="20">
        <v>351.83499999999998</v>
      </c>
      <c r="H82" s="21">
        <v>10352.191000000001</v>
      </c>
      <c r="I82" s="20">
        <v>115.383</v>
      </c>
      <c r="J82" s="99">
        <v>16.076000000000001</v>
      </c>
      <c r="K82" s="31"/>
      <c r="L82" s="102">
        <v>125.845</v>
      </c>
      <c r="M82" s="20">
        <v>291.71199999999999</v>
      </c>
      <c r="N82" s="21">
        <v>30.731999999999999</v>
      </c>
      <c r="O82" s="367">
        <v>145.18100000000001</v>
      </c>
      <c r="P82" s="366">
        <f>SUM(C82:O82)</f>
        <v>14730.118999999999</v>
      </c>
      <c r="Q82" s="49"/>
      <c r="R82" s="102">
        <v>21.218</v>
      </c>
      <c r="S82" s="20">
        <v>27.917000000000002</v>
      </c>
      <c r="T82" s="99">
        <v>571.39700000000005</v>
      </c>
      <c r="U82" s="50"/>
      <c r="V82" s="112">
        <v>135.98599999999999</v>
      </c>
      <c r="W82" s="401">
        <f>SUM(R82:V82)</f>
        <v>756.51800000000003</v>
      </c>
      <c r="X82" s="56"/>
      <c r="Y82" s="975">
        <v>14572.699000000001</v>
      </c>
      <c r="Z82" s="958">
        <f t="shared" si="20"/>
        <v>1328.0926319263042</v>
      </c>
      <c r="AA82" s="959">
        <f t="shared" si="21"/>
        <v>1385.0326890813487</v>
      </c>
      <c r="AB82" s="973">
        <v>1465.04</v>
      </c>
      <c r="AC82" s="2276">
        <f t="shared" si="19"/>
        <v>-5.4611007835042885E-2</v>
      </c>
      <c r="AD82" s="2196"/>
      <c r="AE82" s="2303"/>
      <c r="AF82" s="2326">
        <v>13973.601000000001</v>
      </c>
      <c r="AG82" s="2315">
        <v>4198.3760000000002</v>
      </c>
      <c r="AH82" s="1803">
        <f>W82-V82-IFO!G30</f>
        <v>599.09800000000007</v>
      </c>
    </row>
    <row r="83" spans="1:34">
      <c r="A83" s="2034" t="s">
        <v>348</v>
      </c>
      <c r="B83" s="849" t="s">
        <v>106</v>
      </c>
      <c r="C83" s="359">
        <f>SUM(C79:C82)</f>
        <v>16045.718999999999</v>
      </c>
      <c r="D83" s="26">
        <f t="shared" ref="D83:J83" si="22">SUM(D79:D82)</f>
        <v>6052.0870000000004</v>
      </c>
      <c r="E83" s="369">
        <f t="shared" si="22"/>
        <v>420.91899999999998</v>
      </c>
      <c r="F83" s="359">
        <f t="shared" si="22"/>
        <v>13276.631000000001</v>
      </c>
      <c r="G83" s="359">
        <f t="shared" si="22"/>
        <v>3207.1730000000002</v>
      </c>
      <c r="H83" s="26">
        <f t="shared" si="22"/>
        <v>10943.561000000002</v>
      </c>
      <c r="I83" s="528">
        <f t="shared" si="22"/>
        <v>1128.3019999999999</v>
      </c>
      <c r="J83" s="104">
        <f t="shared" si="22"/>
        <v>94.361000000000018</v>
      </c>
      <c r="K83" s="146"/>
      <c r="L83" s="368">
        <f>SUM(L79:L82)</f>
        <v>1219.8989999999999</v>
      </c>
      <c r="M83" s="359">
        <f>SUM(M79:M82)</f>
        <v>2223.5050000000001</v>
      </c>
      <c r="N83" s="26">
        <f>SUM(N79:N82)</f>
        <v>175.40799999999999</v>
      </c>
      <c r="O83" s="377">
        <f t="shared" ref="O83" si="23">IF(I$120=0,0,(SUM(C83:E83,G83,I83:M83)-V83)/(SUM(C$110:E$110,G$110,I$110:M$110)-V$110)*I$120)</f>
        <v>1045.3876982860797</v>
      </c>
      <c r="P83" s="366">
        <f>SUM(P79:P82)</f>
        <v>55831.381000000001</v>
      </c>
      <c r="Q83" s="49"/>
      <c r="R83" s="368">
        <f>SUM(R79:R82)</f>
        <v>139.44899999999998</v>
      </c>
      <c r="S83" s="359">
        <f>SUM(S79:S82)</f>
        <v>566.25800000000004</v>
      </c>
      <c r="T83" s="104">
        <f>SUM(T79:T82)</f>
        <v>3164.5509999999999</v>
      </c>
      <c r="U83" s="49"/>
      <c r="V83" s="116">
        <f>SUM(V79:V82)</f>
        <v>1539.3090000000002</v>
      </c>
      <c r="W83" s="401">
        <f>SUM(W79:W82)</f>
        <v>5409.567</v>
      </c>
      <c r="X83" s="56"/>
      <c r="Y83" s="977">
        <v>54008.451999999997</v>
      </c>
      <c r="Z83" s="958">
        <f>(P83+P84-W83-W84)*1000/invanare</f>
        <v>4889.7954827213771</v>
      </c>
      <c r="AA83" s="959">
        <f>SUM(Y83:Y84)*1000/invanare</f>
        <v>5235.3102525900158</v>
      </c>
      <c r="AB83" s="959">
        <v>5150.2479999999996</v>
      </c>
      <c r="AC83" s="2276">
        <f t="shared" si="19"/>
        <v>1.6516146909821863E-2</v>
      </c>
      <c r="AD83" s="2196"/>
      <c r="AE83" s="2307">
        <f>IF(ISERROR((F83+F84)/((F83+F84)/1000*invanare)),"",((F83+F84)/(AA83/100000*invanare)))</f>
        <v>24.40455881522653</v>
      </c>
      <c r="AF83" s="2326">
        <v>50421.807000000001</v>
      </c>
      <c r="AG83" s="2315">
        <v>30071.873</v>
      </c>
      <c r="AH83" s="1803">
        <f>W83-V83-IFO!G31</f>
        <v>3586.645</v>
      </c>
    </row>
    <row r="84" spans="1:34">
      <c r="A84" s="2034" t="s">
        <v>444</v>
      </c>
      <c r="B84" s="849" t="s">
        <v>107</v>
      </c>
      <c r="C84" s="23">
        <v>568.25900000000001</v>
      </c>
      <c r="D84" s="21">
        <v>219.93299999999999</v>
      </c>
      <c r="E84" s="23">
        <v>8.1519999999999992</v>
      </c>
      <c r="F84" s="23">
        <v>166.28100000000001</v>
      </c>
      <c r="G84" s="23">
        <v>81.049000000000007</v>
      </c>
      <c r="H84" s="24">
        <v>7.0389999999999997</v>
      </c>
      <c r="I84" s="23">
        <v>17.033999999999999</v>
      </c>
      <c r="J84" s="100">
        <v>1.958</v>
      </c>
      <c r="K84" s="30"/>
      <c r="L84" s="103">
        <v>30.076000000000001</v>
      </c>
      <c r="M84" s="23">
        <v>62.228000000000002</v>
      </c>
      <c r="N84" s="24">
        <v>5.2729999999999997</v>
      </c>
      <c r="O84" s="367">
        <v>34.241</v>
      </c>
      <c r="P84" s="366">
        <f>SUM(C84:O84)</f>
        <v>1201.5230000000001</v>
      </c>
      <c r="Q84" s="49"/>
      <c r="R84" s="103">
        <v>12.74</v>
      </c>
      <c r="S84" s="23">
        <v>0.57699999999999996</v>
      </c>
      <c r="T84" s="100">
        <v>120.206</v>
      </c>
      <c r="U84" s="202"/>
      <c r="V84" s="113">
        <v>41.557000000000002</v>
      </c>
      <c r="W84" s="401">
        <f>SUM(R84:V84)</f>
        <v>175.07999999999998</v>
      </c>
      <c r="X84" s="56"/>
      <c r="Y84" s="975">
        <v>1075.1579999999999</v>
      </c>
      <c r="Z84" s="958">
        <f t="shared" si="20"/>
        <v>97.556197961594293</v>
      </c>
      <c r="AA84" s="959">
        <f t="shared" si="21"/>
        <v>102.18621656340564</v>
      </c>
      <c r="AB84" s="973">
        <v>101.747</v>
      </c>
      <c r="AC84" s="2276">
        <f t="shared" si="19"/>
        <v>4.3167519770178665E-3</v>
      </c>
      <c r="AD84" s="2196"/>
      <c r="AE84" s="2303">
        <f>IF(ISERROR(F83+F84/(F83+F84/1000*invanare)),"",(SUM(Motpart!D31,Motpart!D33,Motpart!D35,Motpart!F31,Motpart!F33,Motpart!F35)/(AA83/100000*invanare)))</f>
        <v>20.186151561235729</v>
      </c>
      <c r="AF84" s="2326">
        <v>1026.443</v>
      </c>
      <c r="AG84" s="2315">
        <v>986.64599999999996</v>
      </c>
      <c r="AH84" s="1803">
        <f>W84-V84-SUM(IFO!G33:G34)</f>
        <v>48.714999999999961</v>
      </c>
    </row>
    <row r="85" spans="1:34" ht="13.5" thickBot="1">
      <c r="A85" s="2045" t="s">
        <v>349</v>
      </c>
      <c r="B85" s="854" t="s">
        <v>108</v>
      </c>
      <c r="C85" s="373">
        <f t="shared" ref="C85:J85" si="24">SUM(C70:C71,C77,C83,C84)</f>
        <v>117407.76500000001</v>
      </c>
      <c r="D85" s="374">
        <f t="shared" si="24"/>
        <v>44953.771999999997</v>
      </c>
      <c r="E85" s="370">
        <f t="shared" si="24"/>
        <v>7989.6140000000005</v>
      </c>
      <c r="F85" s="373">
        <f t="shared" si="24"/>
        <v>57633.119000000006</v>
      </c>
      <c r="G85" s="373">
        <f t="shared" si="24"/>
        <v>13906.703000000003</v>
      </c>
      <c r="H85" s="374">
        <f t="shared" si="24"/>
        <v>17580.980000000003</v>
      </c>
      <c r="I85" s="373">
        <f t="shared" si="24"/>
        <v>7669.4249999999993</v>
      </c>
      <c r="J85" s="375">
        <f t="shared" si="24"/>
        <v>1290.7610000000002</v>
      </c>
      <c r="K85" s="146"/>
      <c r="L85" s="376">
        <f>SUM(L70:L71,L77,L83,L84)</f>
        <v>10704.216999999997</v>
      </c>
      <c r="M85" s="373">
        <f>SUM(M70:M71,M77,M83,M84)</f>
        <v>30302.338000000003</v>
      </c>
      <c r="N85" s="374">
        <f>SUM(N70:N71,N77,N83,N84)</f>
        <v>1027.5240000000001</v>
      </c>
      <c r="O85" s="374">
        <f>SUM(O70:O71,O77,O83,O84)</f>
        <v>7550.1786982860795</v>
      </c>
      <c r="P85" s="375">
        <f>SUM(P70:P71,P77,P83,P84)</f>
        <v>318014.82499999995</v>
      </c>
      <c r="Q85" s="49"/>
      <c r="R85" s="376">
        <f>SUM(R70:R71,R77,R83,R84)</f>
        <v>6705.3980000000001</v>
      </c>
      <c r="S85" s="373">
        <f>SUM(S70:S71,S77,S83,S84)</f>
        <v>6883.2850000000008</v>
      </c>
      <c r="T85" s="375">
        <f>SUM(T70:T71,T77,T83,T84)</f>
        <v>26917.86</v>
      </c>
      <c r="U85" s="49"/>
      <c r="V85" s="403">
        <f>SUM(V70:V71,V77,V83,V84)</f>
        <v>22847.994000000002</v>
      </c>
      <c r="W85" s="402">
        <f>SUM(W70:W71,W77,W83,W84)</f>
        <v>63354.537000000004</v>
      </c>
      <c r="X85" s="56"/>
      <c r="Y85" s="1476">
        <v>293953.054</v>
      </c>
      <c r="Z85" s="960"/>
      <c r="AA85" s="961"/>
      <c r="AB85" s="962"/>
      <c r="AC85" s="2279"/>
      <c r="AD85" s="2196"/>
      <c r="AE85" s="2309">
        <f>IF(ISERROR((F83)/((F83)/1000*invanare)),"",SUM(AA77,AA83)*100/AA90)</f>
        <v>39.211457481120597</v>
      </c>
      <c r="AF85" s="2327">
        <v>254660.27499999999</v>
      </c>
      <c r="AG85" s="2316">
        <v>219952.71900000001</v>
      </c>
      <c r="AH85" s="1805">
        <f>SUM(AH70,AH71,AH77,AH83,AH84)</f>
        <v>39292.778999999995</v>
      </c>
    </row>
    <row r="86" spans="1:34" ht="40.5" customHeight="1" thickBot="1">
      <c r="A86" s="2054"/>
      <c r="B86" s="858" t="s">
        <v>109</v>
      </c>
      <c r="C86" s="446"/>
      <c r="D86" s="445"/>
      <c r="E86" s="443"/>
      <c r="F86" s="443"/>
      <c r="G86" s="443"/>
      <c r="H86" s="445"/>
      <c r="I86" s="443"/>
      <c r="J86" s="444"/>
      <c r="K86" s="31"/>
      <c r="L86" s="442"/>
      <c r="M86" s="443"/>
      <c r="N86" s="445"/>
      <c r="O86" s="445"/>
      <c r="P86" s="444"/>
      <c r="Q86" s="50"/>
      <c r="R86" s="442"/>
      <c r="S86" s="443"/>
      <c r="T86" s="444"/>
      <c r="U86" s="50"/>
      <c r="V86" s="440"/>
      <c r="W86" s="441"/>
      <c r="X86" s="31"/>
      <c r="Y86" s="1614" t="s">
        <v>937</v>
      </c>
      <c r="Z86" s="2530"/>
      <c r="AA86" s="2531"/>
      <c r="AB86" s="2531"/>
      <c r="AC86" s="2532"/>
      <c r="AD86" s="2196"/>
      <c r="AE86" s="2310">
        <f>IF(ISERROR((F83)/((F83)/1000*invanare)),"",(F83/((AA83-AA84)/100000*invanare)))</f>
        <v>24.582506086269611</v>
      </c>
      <c r="AF86" s="2328"/>
      <c r="AG86" s="2317"/>
      <c r="AH86" s="1804"/>
    </row>
    <row r="87" spans="1:34">
      <c r="A87" s="2034" t="s">
        <v>256</v>
      </c>
      <c r="B87" s="851" t="s">
        <v>111</v>
      </c>
      <c r="C87" s="20">
        <v>1171.921</v>
      </c>
      <c r="D87" s="21">
        <v>436.911</v>
      </c>
      <c r="E87" s="20">
        <v>143.101</v>
      </c>
      <c r="F87" s="20">
        <v>451.553</v>
      </c>
      <c r="G87" s="20">
        <v>291.85500000000002</v>
      </c>
      <c r="H87" s="21">
        <v>644.12</v>
      </c>
      <c r="I87" s="20">
        <v>601.29</v>
      </c>
      <c r="J87" s="99">
        <v>16.885999999999999</v>
      </c>
      <c r="K87" s="31"/>
      <c r="L87" s="102">
        <v>362.40899999999999</v>
      </c>
      <c r="M87" s="20">
        <v>331.16300000000001</v>
      </c>
      <c r="N87" s="21">
        <v>21.908999999999999</v>
      </c>
      <c r="O87" s="367">
        <v>116.22799999999999</v>
      </c>
      <c r="P87" s="366">
        <f>SUM(C87:O87)</f>
        <v>4589.3459999999986</v>
      </c>
      <c r="Q87" s="49"/>
      <c r="R87" s="102">
        <v>2.8540000000000001</v>
      </c>
      <c r="S87" s="20">
        <v>303.976</v>
      </c>
      <c r="T87" s="99">
        <v>3657.1439999999998</v>
      </c>
      <c r="U87" s="50"/>
      <c r="V87" s="112">
        <v>175.70599999999999</v>
      </c>
      <c r="W87" s="401">
        <f>SUM(R87:V87)</f>
        <v>4139.6799999999994</v>
      </c>
      <c r="X87" s="56"/>
      <c r="Y87" s="955">
        <v>4368.9610000000002</v>
      </c>
      <c r="Z87" s="958">
        <f>(P87-W87)*1000/invanare</f>
        <v>42.737595085745795</v>
      </c>
      <c r="AA87" s="959">
        <f>Y87*1000/invanare</f>
        <v>415.23905779715471</v>
      </c>
      <c r="AB87" s="981">
        <v>442.81099999999998</v>
      </c>
      <c r="AC87" s="2277">
        <f>IF(ISERROR((AA87-AB87)/AB87)," ",((AA87-AB87)/AB87))</f>
        <v>-6.2265712014483075E-2</v>
      </c>
      <c r="AD87" s="2196"/>
      <c r="AE87" s="2303"/>
      <c r="AF87" s="2326">
        <v>449.666</v>
      </c>
      <c r="AG87" s="2315">
        <v>3317.9670000000001</v>
      </c>
      <c r="AH87" s="1803">
        <f>W87-V87-SUM(Motpart!Y36:Z36)</f>
        <v>3919.2949999999992</v>
      </c>
    </row>
    <row r="88" spans="1:34">
      <c r="A88" s="2034" t="s">
        <v>257</v>
      </c>
      <c r="B88" s="849" t="s">
        <v>112</v>
      </c>
      <c r="C88" s="23">
        <v>5731.2529999999997</v>
      </c>
      <c r="D88" s="21">
        <v>2167.4580000000001</v>
      </c>
      <c r="E88" s="23">
        <v>320.12400000000002</v>
      </c>
      <c r="F88" s="23">
        <v>194.79300000000001</v>
      </c>
      <c r="G88" s="23">
        <v>478.887</v>
      </c>
      <c r="H88" s="24">
        <v>158.21899999999999</v>
      </c>
      <c r="I88" s="23">
        <v>206.63300000000001</v>
      </c>
      <c r="J88" s="100">
        <v>34.618000000000002</v>
      </c>
      <c r="K88" s="31"/>
      <c r="L88" s="103">
        <v>274.79000000000002</v>
      </c>
      <c r="M88" s="23">
        <v>531.76</v>
      </c>
      <c r="N88" s="24">
        <v>50.445999999999998</v>
      </c>
      <c r="O88" s="367">
        <v>312.31200000000001</v>
      </c>
      <c r="P88" s="366">
        <f>SUM(C88:O88)</f>
        <v>10461.293</v>
      </c>
      <c r="Q88" s="49"/>
      <c r="R88" s="103">
        <v>19.946000000000002</v>
      </c>
      <c r="S88" s="23">
        <v>5.8460000000000001</v>
      </c>
      <c r="T88" s="100">
        <v>3987.4630000000002</v>
      </c>
      <c r="U88" s="50"/>
      <c r="V88" s="113">
        <v>683.28300000000002</v>
      </c>
      <c r="W88" s="401">
        <f>SUM(R88:V88)</f>
        <v>4696.5380000000005</v>
      </c>
      <c r="X88" s="56"/>
      <c r="Y88" s="1612">
        <v>9704.4290000000001</v>
      </c>
      <c r="Z88" s="958">
        <f>(P88-W88)*1000/invanare</f>
        <v>547.89947418423651</v>
      </c>
      <c r="AA88" s="959">
        <f>Y88*1000/invanare</f>
        <v>922.33781771441409</v>
      </c>
      <c r="AB88" s="981">
        <v>996.33600000000001</v>
      </c>
      <c r="AC88" s="2277">
        <f>IF(ISERROR((AA88-AB88)/AB88)," ",((AA88-AB88)/AB88))</f>
        <v>-7.4270308696650453E-2</v>
      </c>
      <c r="AD88" s="2196"/>
      <c r="AE88" s="2303"/>
      <c r="AF88" s="2326">
        <v>5764.7550000000001</v>
      </c>
      <c r="AG88" s="2315">
        <v>9424.9979999999996</v>
      </c>
      <c r="AH88" s="1803">
        <f>W88-V88-SUM(Motpart!Y37:Z37)</f>
        <v>3939.6740000000004</v>
      </c>
    </row>
    <row r="89" spans="1:34" ht="12.75" customHeight="1" thickBot="1">
      <c r="A89" s="2045" t="s">
        <v>258</v>
      </c>
      <c r="B89" s="854" t="s">
        <v>113</v>
      </c>
      <c r="C89" s="379">
        <f>SUM(C87:C88)</f>
        <v>6903.174</v>
      </c>
      <c r="D89" s="380">
        <f t="shared" ref="D89:P89" si="25">SUM(D87:D88)</f>
        <v>2604.3690000000001</v>
      </c>
      <c r="E89" s="379">
        <f t="shared" si="25"/>
        <v>463.22500000000002</v>
      </c>
      <c r="F89" s="379">
        <f t="shared" si="25"/>
        <v>646.346</v>
      </c>
      <c r="G89" s="379">
        <f t="shared" si="25"/>
        <v>770.74199999999996</v>
      </c>
      <c r="H89" s="380">
        <f t="shared" si="25"/>
        <v>802.33899999999994</v>
      </c>
      <c r="I89" s="379">
        <f t="shared" si="25"/>
        <v>807.923</v>
      </c>
      <c r="J89" s="381">
        <f t="shared" si="25"/>
        <v>51.504000000000005</v>
      </c>
      <c r="K89" s="147"/>
      <c r="L89" s="378">
        <f>SUM(L87:L88)</f>
        <v>637.19900000000007</v>
      </c>
      <c r="M89" s="379">
        <f t="shared" si="25"/>
        <v>862.923</v>
      </c>
      <c r="N89" s="380">
        <f t="shared" si="25"/>
        <v>72.35499999999999</v>
      </c>
      <c r="O89" s="380">
        <f t="shared" si="25"/>
        <v>428.54</v>
      </c>
      <c r="P89" s="381">
        <f t="shared" si="25"/>
        <v>15050.638999999999</v>
      </c>
      <c r="Q89" s="52"/>
      <c r="R89" s="378">
        <f>SUM(R87:R88)</f>
        <v>22.8</v>
      </c>
      <c r="S89" s="379">
        <f>SUM(S87:S88)</f>
        <v>309.822</v>
      </c>
      <c r="T89" s="381">
        <f>SUM(T87:T88)</f>
        <v>7644.607</v>
      </c>
      <c r="U89" s="52"/>
      <c r="V89" s="405">
        <f>SUM(V87:V88)</f>
        <v>858.98900000000003</v>
      </c>
      <c r="W89" s="404">
        <f>SUM(W87:W88)</f>
        <v>8836.2180000000008</v>
      </c>
      <c r="X89" s="57"/>
      <c r="Y89" s="1612">
        <v>14073.384</v>
      </c>
      <c r="Z89" s="983">
        <f>(P89-W89)*1000/invanare</f>
        <v>590.63706926998225</v>
      </c>
      <c r="AA89" s="984">
        <f>Y89*1000/invanare</f>
        <v>1337.5763052537095</v>
      </c>
      <c r="AB89" s="956">
        <v>1439.1469999999999</v>
      </c>
      <c r="AC89" s="2289">
        <f>IF(ISERROR((AA89-AB89)/AB89)," ",((AA89-AB89)/AB89))</f>
        <v>-7.057701176203017E-2</v>
      </c>
      <c r="AD89" s="2196"/>
      <c r="AE89" s="2303"/>
      <c r="AF89" s="2333">
        <v>6214.415</v>
      </c>
      <c r="AG89" s="2320">
        <v>12742.959000000001</v>
      </c>
      <c r="AH89" s="1808">
        <f>W89-V89-SUM(Motpart!Y36:Z37)</f>
        <v>7858.969000000001</v>
      </c>
    </row>
    <row r="90" spans="1:34" ht="12.75" customHeight="1" thickBot="1">
      <c r="A90" s="2045" t="s">
        <v>259</v>
      </c>
      <c r="B90" s="854" t="s">
        <v>20</v>
      </c>
      <c r="C90" s="373">
        <f t="shared" ref="C90:J90" si="26">SUM(C17,C30,C43,C68,C85,C89)</f>
        <v>280619.28800000006</v>
      </c>
      <c r="D90" s="374">
        <f t="shared" si="26"/>
        <v>108298.62300000002</v>
      </c>
      <c r="E90" s="373">
        <f t="shared" si="26"/>
        <v>29303.562999999998</v>
      </c>
      <c r="F90" s="373">
        <f t="shared" si="26"/>
        <v>143892.50099999999</v>
      </c>
      <c r="G90" s="373">
        <f t="shared" si="26"/>
        <v>45291.395000000004</v>
      </c>
      <c r="H90" s="374">
        <f t="shared" si="26"/>
        <v>27216.490000000005</v>
      </c>
      <c r="I90" s="373">
        <f t="shared" si="26"/>
        <v>21477.429999999997</v>
      </c>
      <c r="J90" s="375">
        <f t="shared" si="26"/>
        <v>14705.257000000001</v>
      </c>
      <c r="K90" s="146"/>
      <c r="L90" s="376">
        <f>SUM(L17,L30,L43,L68,L85,L89)</f>
        <v>43706.307000000001</v>
      </c>
      <c r="M90" s="373">
        <f>SUM(M17,M30,M43,M68,M85,M89)</f>
        <v>92655.053999999989</v>
      </c>
      <c r="N90" s="374">
        <f>SUM(N17,N30,N43,N68,N85,N89)</f>
        <v>2938.0480000000002</v>
      </c>
      <c r="O90" s="374">
        <f>SUM(O17,O30,O43,O68,O85,O89)</f>
        <v>20408.210698286079</v>
      </c>
      <c r="P90" s="375">
        <f>SUM(P17,P30,P43,P68,P85,P89)</f>
        <v>830510.59499999997</v>
      </c>
      <c r="Q90" s="49"/>
      <c r="R90" s="376">
        <f>SUM(R17,R30,R43,R68,R85,R89)</f>
        <v>25802.746999999999</v>
      </c>
      <c r="S90" s="373">
        <f>SUM(S17,S30,S43,S68,S85,S89)</f>
        <v>8273.7630000000008</v>
      </c>
      <c r="T90" s="375">
        <f>SUM(T17,T30,T43,T68,T85,T89)</f>
        <v>86009.731</v>
      </c>
      <c r="U90" s="49"/>
      <c r="V90" s="403">
        <f>SUM(V17,V30,V43,V68,V85,V89)</f>
        <v>71248.089000000007</v>
      </c>
      <c r="W90" s="402">
        <f>SUM(W17,W30,W43,W68,W85,W89)</f>
        <v>191334.33</v>
      </c>
      <c r="X90" s="56"/>
      <c r="Y90" s="982">
        <v>745511.37600000005</v>
      </c>
      <c r="Z90" s="983">
        <f>(P90-W90)*1000/invanare</f>
        <v>60749.214754927882</v>
      </c>
      <c r="AA90" s="984">
        <f>SUM(AA17,AA30,AA37,AA42,AA51,AA67,AA77,AA83,AA89)</f>
        <v>70601.213071526669</v>
      </c>
      <c r="AB90" s="956">
        <v>67951.763000000006</v>
      </c>
      <c r="AC90" s="2289">
        <f>IF(ISERROR((AA90-AB90)/AB90)," ",((AA90-AB90)/AB90))</f>
        <v>3.8990159409501443E-2</v>
      </c>
      <c r="AD90" s="2196"/>
      <c r="AE90" s="2311">
        <f>IF(ISERROR(F90/(AA90/1000*invanare)),"",(F90/(AA90/100000*invanare)))</f>
        <v>19.370731749298649</v>
      </c>
      <c r="AF90" s="2334">
        <v>639176.228</v>
      </c>
      <c r="AG90" s="2321">
        <v>588153.478</v>
      </c>
      <c r="AH90" s="1809">
        <f>SUM(AH17,AH30,AH43,AH51,AH67,AH85,AH89)</f>
        <v>106335.14799999997</v>
      </c>
    </row>
    <row r="91" spans="1:34" ht="38.25" customHeight="1" thickBot="1">
      <c r="A91" s="2049"/>
      <c r="B91" s="855" t="s">
        <v>114</v>
      </c>
      <c r="C91" s="450"/>
      <c r="D91" s="451"/>
      <c r="E91" s="452"/>
      <c r="F91" s="452"/>
      <c r="G91" s="452"/>
      <c r="H91" s="451"/>
      <c r="I91" s="452"/>
      <c r="J91" s="453"/>
      <c r="K91" s="31"/>
      <c r="L91" s="458"/>
      <c r="M91" s="452"/>
      <c r="N91" s="451"/>
      <c r="O91" s="451"/>
      <c r="P91" s="453"/>
      <c r="Q91" s="50"/>
      <c r="R91" s="458"/>
      <c r="S91" s="452"/>
      <c r="T91" s="453"/>
      <c r="U91" s="50"/>
      <c r="V91" s="460"/>
      <c r="W91" s="461"/>
      <c r="X91" s="31"/>
      <c r="Y91" s="1614" t="s">
        <v>940</v>
      </c>
      <c r="Z91" s="2530"/>
      <c r="AA91" s="2531"/>
      <c r="AB91" s="2531"/>
      <c r="AC91" s="2532"/>
      <c r="AD91" s="2196"/>
      <c r="AE91" s="2303">
        <f>IF(ISERROR(F90/(AA90/1000*invanare)),"",((SUM(Motpart!D40,Motpart!F40)-SUM(Motpart!D38,Motpart!D39,Motpart!F38,Motpart!F39))/(AA90/100000*invanare)))</f>
        <v>15.38012477951065</v>
      </c>
      <c r="AF91" s="2329"/>
      <c r="AG91" s="2318"/>
      <c r="AH91" s="1806"/>
    </row>
    <row r="92" spans="1:34">
      <c r="A92" s="2049"/>
      <c r="B92" s="855" t="s">
        <v>115</v>
      </c>
      <c r="C92" s="454"/>
      <c r="D92" s="455"/>
      <c r="E92" s="456"/>
      <c r="F92" s="456"/>
      <c r="G92" s="456"/>
      <c r="H92" s="455"/>
      <c r="I92" s="456"/>
      <c r="J92" s="457"/>
      <c r="K92" s="31"/>
      <c r="L92" s="459"/>
      <c r="M92" s="456"/>
      <c r="N92" s="455"/>
      <c r="O92" s="455"/>
      <c r="P92" s="457"/>
      <c r="Q92" s="50"/>
      <c r="R92" s="459"/>
      <c r="S92" s="456"/>
      <c r="T92" s="457"/>
      <c r="U92" s="50"/>
      <c r="V92" s="462"/>
      <c r="W92" s="463"/>
      <c r="X92" s="31"/>
      <c r="Y92" s="1473"/>
      <c r="Z92" s="951"/>
      <c r="AA92" s="951"/>
      <c r="AB92" s="952"/>
      <c r="AC92" s="2274"/>
      <c r="AD92" s="2196"/>
      <c r="AE92" s="2306">
        <f>(C113-C109+D113-D109)*1000/invanare</f>
        <v>40192.868431247247</v>
      </c>
      <c r="AF92" s="2332"/>
      <c r="AG92" s="2319"/>
      <c r="AH92" s="1807"/>
    </row>
    <row r="93" spans="1:34" s="534" customFormat="1">
      <c r="A93" s="2055" t="s">
        <v>260</v>
      </c>
      <c r="B93" s="864" t="s">
        <v>116</v>
      </c>
      <c r="C93" s="65">
        <v>116.422</v>
      </c>
      <c r="D93" s="1353">
        <v>54.62</v>
      </c>
      <c r="E93" s="65">
        <v>350.09699999999998</v>
      </c>
      <c r="F93" s="65">
        <v>28.899000000000001</v>
      </c>
      <c r="G93" s="65">
        <v>239.654</v>
      </c>
      <c r="H93" s="1353">
        <v>18.725000000000001</v>
      </c>
      <c r="I93" s="65">
        <v>123.79900000000001</v>
      </c>
      <c r="J93" s="98">
        <v>330.238</v>
      </c>
      <c r="K93" s="530"/>
      <c r="L93" s="435">
        <v>97.069000000000003</v>
      </c>
      <c r="M93" s="65">
        <v>156.05000000000001</v>
      </c>
      <c r="N93" s="1353">
        <v>0.96899999999999997</v>
      </c>
      <c r="O93" s="1354">
        <v>40.027999999999999</v>
      </c>
      <c r="P93" s="432">
        <f>SUM(C93:O93)</f>
        <v>1556.57</v>
      </c>
      <c r="Q93" s="531"/>
      <c r="R93" s="435">
        <v>16.027999999999999</v>
      </c>
      <c r="S93" s="65">
        <v>554.57600000000002</v>
      </c>
      <c r="T93" s="98">
        <v>1851.789</v>
      </c>
      <c r="U93" s="532"/>
      <c r="V93" s="1355">
        <v>323.13</v>
      </c>
      <c r="W93" s="1356">
        <f>SUM(R93:V93)</f>
        <v>2745.5230000000001</v>
      </c>
      <c r="X93" s="533"/>
      <c r="Y93" s="955">
        <v>1229.732</v>
      </c>
      <c r="Z93" s="985"/>
      <c r="AA93" s="986"/>
      <c r="AB93" s="986"/>
      <c r="AC93" s="2290"/>
      <c r="AD93" s="2196"/>
      <c r="AE93" s="2312">
        <f>IF(ISERROR(F90/(AA90/1000*invanare)),"",AE92*invanare/10/(P125-P109+J109))</f>
        <v>55.867311846265459</v>
      </c>
      <c r="AF93" s="2326">
        <v>-1188.953</v>
      </c>
      <c r="AG93" s="2315">
        <v>1185.816</v>
      </c>
      <c r="AH93" s="1803">
        <f>W93-V93-(IF(AND(Motpart!$Y$38="",Motpart!$Z$38=""),0,IF(AND(Motpart!$Y$38=0,Motpart!$Z$38=0),0,((T93/$T$109)*(Motpart!$Y$38+Motpart!$Z$38)))))</f>
        <v>2385.9575862390557</v>
      </c>
    </row>
    <row r="94" spans="1:34">
      <c r="A94" s="2034" t="s">
        <v>261</v>
      </c>
      <c r="B94" s="849" t="s">
        <v>21</v>
      </c>
      <c r="C94" s="23">
        <v>33.651000000000003</v>
      </c>
      <c r="D94" s="21">
        <v>13.167999999999999</v>
      </c>
      <c r="E94" s="23">
        <v>71.195999999999998</v>
      </c>
      <c r="F94" s="23">
        <v>18.983000000000001</v>
      </c>
      <c r="G94" s="23">
        <v>41.500999999999998</v>
      </c>
      <c r="H94" s="24">
        <v>1000.335</v>
      </c>
      <c r="I94" s="23">
        <v>3.1629999999999998</v>
      </c>
      <c r="J94" s="100">
        <v>355.87200000000001</v>
      </c>
      <c r="K94" s="31"/>
      <c r="L94" s="103">
        <v>5.9390000000000001</v>
      </c>
      <c r="M94" s="23">
        <v>46.514000000000003</v>
      </c>
      <c r="N94" s="24">
        <v>0.31900000000000001</v>
      </c>
      <c r="O94" s="367">
        <v>15.706</v>
      </c>
      <c r="P94" s="366">
        <f>SUM(C94:O94)</f>
        <v>1606.347</v>
      </c>
      <c r="Q94" s="49"/>
      <c r="R94" s="103">
        <v>145.858</v>
      </c>
      <c r="S94" s="23">
        <v>25.635999999999999</v>
      </c>
      <c r="T94" s="100">
        <v>364.548</v>
      </c>
      <c r="U94" s="50"/>
      <c r="V94" s="113">
        <v>23.37</v>
      </c>
      <c r="W94" s="401">
        <f>SUM(R94:V94)</f>
        <v>559.41200000000003</v>
      </c>
      <c r="X94" s="56"/>
      <c r="Y94" s="955">
        <v>1571.2070000000001</v>
      </c>
      <c r="Z94" s="978"/>
      <c r="AA94" s="979"/>
      <c r="AB94" s="980"/>
      <c r="AC94" s="2291"/>
      <c r="AD94" s="2196"/>
      <c r="AE94" s="2303"/>
      <c r="AF94" s="2326">
        <v>1046.9349999999999</v>
      </c>
      <c r="AG94" s="2315">
        <v>563.65899999999999</v>
      </c>
      <c r="AH94" s="1803">
        <f>W94-V94-(IF(AND(Motpart!$Y$38="",Motpart!$Z$38=""),0,IF(AND(Motpart!$Y$38=0,Motpart!$Z$38=0),0,((T94/$T$109)*(Motpart!$Y$38+Motpart!$Z$38)))))</f>
        <v>528.86922965968324</v>
      </c>
    </row>
    <row r="95" spans="1:34">
      <c r="A95" s="2034" t="s">
        <v>262</v>
      </c>
      <c r="B95" s="849" t="s">
        <v>22</v>
      </c>
      <c r="C95" s="23">
        <v>236.05099999999999</v>
      </c>
      <c r="D95" s="21">
        <v>88.822999999999993</v>
      </c>
      <c r="E95" s="23">
        <v>294.44799999999998</v>
      </c>
      <c r="F95" s="23">
        <v>68.710999999999999</v>
      </c>
      <c r="G95" s="23">
        <v>373.26499999999999</v>
      </c>
      <c r="H95" s="24">
        <v>24.355</v>
      </c>
      <c r="I95" s="23">
        <v>57.649000000000001</v>
      </c>
      <c r="J95" s="100">
        <v>337.45800000000003</v>
      </c>
      <c r="K95" s="31"/>
      <c r="L95" s="103">
        <v>33.183</v>
      </c>
      <c r="M95" s="23">
        <v>156.93100000000001</v>
      </c>
      <c r="N95" s="24">
        <v>2.5310000000000001</v>
      </c>
      <c r="O95" s="367">
        <v>42.341000000000001</v>
      </c>
      <c r="P95" s="366">
        <f>SUM(C95:O95)</f>
        <v>1715.7459999999996</v>
      </c>
      <c r="Q95" s="49"/>
      <c r="R95" s="103">
        <v>203.727</v>
      </c>
      <c r="S95" s="23">
        <v>257.06200000000001</v>
      </c>
      <c r="T95" s="100">
        <v>1489.191</v>
      </c>
      <c r="U95" s="50"/>
      <c r="V95" s="113">
        <v>395.37799999999999</v>
      </c>
      <c r="W95" s="401">
        <f>SUM(R95:V95)</f>
        <v>2345.3580000000002</v>
      </c>
      <c r="X95" s="56"/>
      <c r="Y95" s="955">
        <v>1283.5419999999999</v>
      </c>
      <c r="Z95" s="978"/>
      <c r="AA95" s="979"/>
      <c r="AB95" s="980"/>
      <c r="AC95" s="2291"/>
      <c r="AD95" s="2196"/>
      <c r="AE95" s="2303"/>
      <c r="AF95" s="2326">
        <v>-629.61199999999997</v>
      </c>
      <c r="AG95" s="2315">
        <v>1227.3019999999999</v>
      </c>
      <c r="AH95" s="1803">
        <f>W95-V95-(IF(AND(Motpart!$Y$38="",Motpart!$Z$38=""),0,IF(AND(Motpart!$Y$38=0,Motpart!$Z$38=0),0,((T95/$T$109)*(Motpart!$Y$38+Motpart!$Z$38)))))</f>
        <v>1920.6789887864793</v>
      </c>
    </row>
    <row r="96" spans="1:34">
      <c r="A96" s="2034" t="s">
        <v>263</v>
      </c>
      <c r="B96" s="849" t="s">
        <v>23</v>
      </c>
      <c r="C96" s="23">
        <v>467.69600000000003</v>
      </c>
      <c r="D96" s="21">
        <v>194.47200000000001</v>
      </c>
      <c r="E96" s="23">
        <v>454.798</v>
      </c>
      <c r="F96" s="23">
        <v>31.539000000000001</v>
      </c>
      <c r="G96" s="23">
        <v>225.607</v>
      </c>
      <c r="H96" s="24">
        <v>19.385000000000002</v>
      </c>
      <c r="I96" s="23">
        <v>512.197</v>
      </c>
      <c r="J96" s="100">
        <v>2607.9960000000001</v>
      </c>
      <c r="K96" s="31"/>
      <c r="L96" s="103">
        <v>99.784999999999997</v>
      </c>
      <c r="M96" s="23">
        <v>207.428</v>
      </c>
      <c r="N96" s="24">
        <v>3.23</v>
      </c>
      <c r="O96" s="367">
        <v>236.73500000000001</v>
      </c>
      <c r="P96" s="366">
        <f>SUM(C96:O96)</f>
        <v>5060.8679999999995</v>
      </c>
      <c r="Q96" s="49"/>
      <c r="R96" s="103">
        <v>20.457999999999998</v>
      </c>
      <c r="S96" s="23">
        <v>710.45899999999995</v>
      </c>
      <c r="T96" s="100">
        <v>2329.5940000000001</v>
      </c>
      <c r="U96" s="50"/>
      <c r="V96" s="113">
        <v>318.19099999999997</v>
      </c>
      <c r="W96" s="401">
        <f>SUM(R96:V96)</f>
        <v>3378.7019999999998</v>
      </c>
      <c r="X96" s="56"/>
      <c r="Y96" s="955">
        <v>4720.5600000000004</v>
      </c>
      <c r="Z96" s="978"/>
      <c r="AA96" s="979"/>
      <c r="AB96" s="980"/>
      <c r="AC96" s="2291"/>
      <c r="AD96" s="2196"/>
      <c r="AE96" s="2303"/>
      <c r="AF96" s="2326">
        <v>1682.1659999999999</v>
      </c>
      <c r="AG96" s="2315">
        <v>4691.7529999999997</v>
      </c>
      <c r="AH96" s="1803">
        <f>W96-V96-(IF(AND(Motpart!$Y$38="",Motpart!$Z$38=""),0,IF(AND(Motpart!$Y$38=0,Motpart!$Z$38=0),0,((T96/$T$109)*(Motpart!$Y$38+Motpart!$Z$38)))))</f>
        <v>3014.6743948117123</v>
      </c>
    </row>
    <row r="97" spans="1:34">
      <c r="A97" s="2034" t="s">
        <v>264</v>
      </c>
      <c r="B97" s="849" t="s">
        <v>24</v>
      </c>
      <c r="C97" s="359">
        <f>SUM(C93:C96)</f>
        <v>853.82</v>
      </c>
      <c r="D97" s="26">
        <f t="shared" ref="D97:P97" si="27">SUM(D93:D96)</f>
        <v>351.08299999999997</v>
      </c>
      <c r="E97" s="359">
        <f t="shared" si="27"/>
        <v>1170.539</v>
      </c>
      <c r="F97" s="359">
        <f t="shared" si="27"/>
        <v>148.13200000000001</v>
      </c>
      <c r="G97" s="359">
        <f t="shared" si="27"/>
        <v>880.02699999999993</v>
      </c>
      <c r="H97" s="26">
        <f t="shared" si="27"/>
        <v>1062.8</v>
      </c>
      <c r="I97" s="359">
        <f t="shared" si="27"/>
        <v>696.80799999999999</v>
      </c>
      <c r="J97" s="104">
        <f t="shared" si="27"/>
        <v>3631.5640000000003</v>
      </c>
      <c r="K97" s="146"/>
      <c r="L97" s="368">
        <f>SUM(L93:L96)</f>
        <v>235.976</v>
      </c>
      <c r="M97" s="359">
        <f t="shared" si="27"/>
        <v>566.923</v>
      </c>
      <c r="N97" s="26">
        <f t="shared" si="27"/>
        <v>7.0489999999999995</v>
      </c>
      <c r="O97" s="26">
        <f t="shared" si="27"/>
        <v>334.81</v>
      </c>
      <c r="P97" s="104">
        <f t="shared" si="27"/>
        <v>9939.530999999999</v>
      </c>
      <c r="Q97" s="49"/>
      <c r="R97" s="368">
        <f>SUM(R93:R96)</f>
        <v>386.07100000000003</v>
      </c>
      <c r="S97" s="359">
        <f>SUM(S93:S96)</f>
        <v>1547.7329999999999</v>
      </c>
      <c r="T97" s="104">
        <f>SUM(T93:T96)</f>
        <v>6035.1220000000003</v>
      </c>
      <c r="U97" s="50"/>
      <c r="V97" s="116">
        <f>SUM(V93:V96)</f>
        <v>1060.069</v>
      </c>
      <c r="W97" s="117">
        <f>SUM(W93:W96)</f>
        <v>9028.9950000000008</v>
      </c>
      <c r="X97" s="56"/>
      <c r="Y97" s="955">
        <v>8805.0519999999997</v>
      </c>
      <c r="Z97" s="978"/>
      <c r="AA97" s="979"/>
      <c r="AB97" s="980"/>
      <c r="AC97" s="2291"/>
      <c r="AD97" s="2196"/>
      <c r="AE97" s="2303"/>
      <c r="AF97" s="2326">
        <v>910.54700000000003</v>
      </c>
      <c r="AG97" s="2315">
        <v>7668.5410000000002</v>
      </c>
      <c r="AH97" s="1803">
        <f>SUM(AH93:AH96)</f>
        <v>7850.1801994969301</v>
      </c>
    </row>
    <row r="98" spans="1:34">
      <c r="A98" s="2054"/>
      <c r="B98" s="858" t="s">
        <v>117</v>
      </c>
      <c r="C98" s="470"/>
      <c r="D98" s="469"/>
      <c r="E98" s="467"/>
      <c r="F98" s="467"/>
      <c r="G98" s="467"/>
      <c r="H98" s="469"/>
      <c r="I98" s="467"/>
      <c r="J98" s="468"/>
      <c r="K98" s="31"/>
      <c r="L98" s="466"/>
      <c r="M98" s="467"/>
      <c r="N98" s="469"/>
      <c r="O98" s="469"/>
      <c r="P98" s="468"/>
      <c r="Q98" s="50"/>
      <c r="R98" s="466"/>
      <c r="S98" s="467"/>
      <c r="T98" s="468"/>
      <c r="U98" s="50"/>
      <c r="V98" s="464"/>
      <c r="W98" s="465"/>
      <c r="X98" s="31"/>
      <c r="Y98" s="955"/>
      <c r="Z98" s="978"/>
      <c r="AA98" s="979"/>
      <c r="AB98" s="980"/>
      <c r="AC98" s="2291"/>
      <c r="AD98" s="2196"/>
      <c r="AE98" s="2303"/>
      <c r="AF98" s="2326"/>
      <c r="AG98" s="2315"/>
      <c r="AH98" s="1803"/>
    </row>
    <row r="99" spans="1:34">
      <c r="A99" s="2034" t="s">
        <v>265</v>
      </c>
      <c r="B99" s="851" t="s">
        <v>118</v>
      </c>
      <c r="C99" s="20">
        <v>26.975999999999999</v>
      </c>
      <c r="D99" s="21">
        <v>10.601000000000001</v>
      </c>
      <c r="E99" s="20">
        <v>20.47</v>
      </c>
      <c r="F99" s="20">
        <v>11.365</v>
      </c>
      <c r="G99" s="20">
        <v>75.754999999999995</v>
      </c>
      <c r="H99" s="21">
        <v>154.70099999999999</v>
      </c>
      <c r="I99" s="20">
        <v>6.0000000000000001E-3</v>
      </c>
      <c r="J99" s="99">
        <v>26.012</v>
      </c>
      <c r="K99" s="31"/>
      <c r="L99" s="102">
        <v>2.153</v>
      </c>
      <c r="M99" s="20">
        <v>3.9809999999999999</v>
      </c>
      <c r="N99" s="21">
        <v>2.3E-2</v>
      </c>
      <c r="O99" s="367">
        <v>6.9619999999999997</v>
      </c>
      <c r="P99" s="366">
        <f>SUM(C99:O99)</f>
        <v>339.00499999999994</v>
      </c>
      <c r="Q99" s="49"/>
      <c r="R99" s="102">
        <v>17.637</v>
      </c>
      <c r="S99" s="20">
        <v>7.6420000000000003</v>
      </c>
      <c r="T99" s="99">
        <v>99.614999999999995</v>
      </c>
      <c r="U99" s="50"/>
      <c r="V99" s="112">
        <v>3.5470000000000002</v>
      </c>
      <c r="W99" s="401">
        <f>SUM(R99:V99)</f>
        <v>128.441</v>
      </c>
      <c r="X99" s="56"/>
      <c r="Y99" s="955">
        <v>334.29</v>
      </c>
      <c r="Z99" s="978"/>
      <c r="AA99" s="979"/>
      <c r="AB99" s="980"/>
      <c r="AC99" s="2291"/>
      <c r="AD99" s="2196"/>
      <c r="AE99" s="2303"/>
      <c r="AF99" s="2326">
        <v>210.56399999999999</v>
      </c>
      <c r="AG99" s="2315">
        <v>169.392</v>
      </c>
      <c r="AH99" s="1803">
        <f>W99-V99-(IF(AND(Motpart!$Y$38="",Motpart!$Z$38=""),0,IF(AND(Motpart!$Y$38=0,Motpart!$Z$38=0),0,((T99/$T$109)*(Motpart!$Y$38+Motpart!$Z$38)))))</f>
        <v>122.93399605689608</v>
      </c>
    </row>
    <row r="100" spans="1:34">
      <c r="A100" s="2034" t="s">
        <v>266</v>
      </c>
      <c r="B100" s="857" t="s">
        <v>818</v>
      </c>
      <c r="C100" s="23">
        <v>136.53200000000001</v>
      </c>
      <c r="D100" s="21">
        <v>62.405999999999999</v>
      </c>
      <c r="E100" s="23">
        <v>94.233999999999995</v>
      </c>
      <c r="F100" s="23">
        <v>913.97699999999998</v>
      </c>
      <c r="G100" s="23">
        <v>311.346</v>
      </c>
      <c r="H100" s="24">
        <v>1035.184</v>
      </c>
      <c r="I100" s="23">
        <v>36.411999999999999</v>
      </c>
      <c r="J100" s="100">
        <v>157.54900000000001</v>
      </c>
      <c r="K100" s="31"/>
      <c r="L100" s="103">
        <v>44.021999999999998</v>
      </c>
      <c r="M100" s="23">
        <v>59.866999999999997</v>
      </c>
      <c r="N100" s="24">
        <v>1.361</v>
      </c>
      <c r="O100" s="367">
        <v>24.06</v>
      </c>
      <c r="P100" s="366">
        <f>SUM(C100:O100)</f>
        <v>2876.95</v>
      </c>
      <c r="Q100" s="49"/>
      <c r="R100" s="1858">
        <v>56.151000000000003</v>
      </c>
      <c r="S100" s="23">
        <v>3.8290000000000002</v>
      </c>
      <c r="T100" s="100">
        <v>136.37799999999999</v>
      </c>
      <c r="U100" s="50"/>
      <c r="V100" s="113">
        <v>60.350999999999999</v>
      </c>
      <c r="W100" s="401">
        <f>SUM(R100:V100)</f>
        <v>256.709</v>
      </c>
      <c r="X100" s="56"/>
      <c r="Y100" s="955">
        <v>2816.2310000000002</v>
      </c>
      <c r="Z100" s="987"/>
      <c r="AA100" s="979"/>
      <c r="AB100" s="980"/>
      <c r="AC100" s="2291"/>
      <c r="AD100" s="2196"/>
      <c r="AE100" s="2306"/>
      <c r="AF100" s="2326">
        <v>2620.241</v>
      </c>
      <c r="AG100" s="2315">
        <v>867.43799999999999</v>
      </c>
      <c r="AH100" s="1803">
        <f>W100-V100-(IF(AND(Motpart!$Y$38="",Motpart!$Z$38=""),0,IF(AND(Motpart!$Y$38=0,Motpart!$Z$38=0),0,((T100/$T$109)*(Motpart!$Y$38+Motpart!$Z$38)))))</f>
        <v>193.67465494400815</v>
      </c>
    </row>
    <row r="101" spans="1:34">
      <c r="A101" s="2034" t="s">
        <v>267</v>
      </c>
      <c r="B101" s="849" t="s">
        <v>25</v>
      </c>
      <c r="C101" s="23">
        <v>23.238</v>
      </c>
      <c r="D101" s="21">
        <v>8.4280000000000008</v>
      </c>
      <c r="E101" s="23">
        <v>6.173</v>
      </c>
      <c r="F101" s="23">
        <v>91.671000000000006</v>
      </c>
      <c r="G101" s="23">
        <v>17.228000000000002</v>
      </c>
      <c r="H101" s="24">
        <v>16.548999999999999</v>
      </c>
      <c r="I101" s="23">
        <v>0.23400000000000001</v>
      </c>
      <c r="J101" s="100">
        <v>6.6609999999999996</v>
      </c>
      <c r="K101" s="31"/>
      <c r="L101" s="103">
        <v>0.36199999999999999</v>
      </c>
      <c r="M101" s="23">
        <v>4.859</v>
      </c>
      <c r="N101" s="24">
        <v>0</v>
      </c>
      <c r="O101" s="367">
        <v>2.3140000000000001</v>
      </c>
      <c r="P101" s="366">
        <f>SUM(C101:O101)</f>
        <v>177.71700000000001</v>
      </c>
      <c r="Q101" s="49"/>
      <c r="R101" s="103">
        <v>37.881999999999998</v>
      </c>
      <c r="S101" s="23">
        <v>0.29499999999999998</v>
      </c>
      <c r="T101" s="100">
        <v>81.137</v>
      </c>
      <c r="U101" s="50"/>
      <c r="V101" s="113">
        <v>7.0289999999999999</v>
      </c>
      <c r="W101" s="401">
        <f>SUM(R101:V101)</f>
        <v>126.34299999999999</v>
      </c>
      <c r="X101" s="56"/>
      <c r="Y101" s="955">
        <v>157.584</v>
      </c>
      <c r="Z101" s="978"/>
      <c r="AA101" s="979"/>
      <c r="AB101" s="980"/>
      <c r="AC101" s="2291"/>
      <c r="AD101" s="2196"/>
      <c r="AE101" s="2303"/>
      <c r="AF101" s="2326">
        <v>51.374000000000002</v>
      </c>
      <c r="AG101" s="2315">
        <v>62.468000000000004</v>
      </c>
      <c r="AH101" s="1803">
        <f>W101-V101-(IF(AND(Motpart!$Y$38="",Motpart!$Z$38=""),0,IF(AND(Motpart!$Y$38=0,Motpart!$Z$38=0),0,((T101/$T$109)*(Motpart!$Y$38+Motpart!$Z$38)))))</f>
        <v>117.71756532719346</v>
      </c>
    </row>
    <row r="102" spans="1:34">
      <c r="A102" s="2034" t="s">
        <v>268</v>
      </c>
      <c r="B102" s="849" t="s">
        <v>26</v>
      </c>
      <c r="C102" s="359">
        <f>SUM(C99:C101)</f>
        <v>186.74600000000001</v>
      </c>
      <c r="D102" s="26">
        <f t="shared" ref="D102:P102" si="28">SUM(D99:D101)</f>
        <v>81.435000000000002</v>
      </c>
      <c r="E102" s="359">
        <f t="shared" si="28"/>
        <v>120.877</v>
      </c>
      <c r="F102" s="359">
        <f t="shared" si="28"/>
        <v>1017.013</v>
      </c>
      <c r="G102" s="359">
        <f t="shared" si="28"/>
        <v>404.32900000000001</v>
      </c>
      <c r="H102" s="26">
        <f t="shared" si="28"/>
        <v>1206.434</v>
      </c>
      <c r="I102" s="359">
        <f t="shared" si="28"/>
        <v>36.652000000000001</v>
      </c>
      <c r="J102" s="104">
        <f t="shared" si="28"/>
        <v>190.22200000000001</v>
      </c>
      <c r="K102" s="146"/>
      <c r="L102" s="368">
        <f>SUM(L99:L101)</f>
        <v>46.536999999999999</v>
      </c>
      <c r="M102" s="359">
        <f t="shared" si="28"/>
        <v>68.706999999999994</v>
      </c>
      <c r="N102" s="26">
        <f t="shared" si="28"/>
        <v>1.3839999999999999</v>
      </c>
      <c r="O102" s="26">
        <f t="shared" si="28"/>
        <v>33.335999999999999</v>
      </c>
      <c r="P102" s="104">
        <f t="shared" si="28"/>
        <v>3393.672</v>
      </c>
      <c r="Q102" s="49"/>
      <c r="R102" s="368">
        <f>SUM(R99:R101)</f>
        <v>111.67000000000002</v>
      </c>
      <c r="S102" s="359">
        <f>SUM(S99:S101)</f>
        <v>11.766</v>
      </c>
      <c r="T102" s="104">
        <f>SUM(T99:T101)</f>
        <v>317.13</v>
      </c>
      <c r="U102" s="49"/>
      <c r="V102" s="116">
        <f>SUM(V99:V101)</f>
        <v>70.926999999999992</v>
      </c>
      <c r="W102" s="117">
        <f>SUM(W99:W101)</f>
        <v>511.49299999999994</v>
      </c>
      <c r="X102" s="56"/>
      <c r="Y102" s="955">
        <v>3308.1060000000002</v>
      </c>
      <c r="Z102" s="978"/>
      <c r="AA102" s="979"/>
      <c r="AB102" s="980"/>
      <c r="AC102" s="2291"/>
      <c r="AD102" s="2196"/>
      <c r="AE102" s="2303"/>
      <c r="AF102" s="2326">
        <v>2882.1790000000001</v>
      </c>
      <c r="AG102" s="2315">
        <v>1099.298</v>
      </c>
      <c r="AH102" s="1803">
        <f>SUM(AH99:AH101)</f>
        <v>434.32621632809764</v>
      </c>
    </row>
    <row r="103" spans="1:34">
      <c r="A103" s="2054"/>
      <c r="B103" s="858" t="s">
        <v>119</v>
      </c>
      <c r="C103" s="470"/>
      <c r="D103" s="469"/>
      <c r="E103" s="467"/>
      <c r="F103" s="467"/>
      <c r="G103" s="467"/>
      <c r="H103" s="469"/>
      <c r="I103" s="467"/>
      <c r="J103" s="468"/>
      <c r="K103" s="31"/>
      <c r="L103" s="466"/>
      <c r="M103" s="467"/>
      <c r="N103" s="469"/>
      <c r="O103" s="469"/>
      <c r="P103" s="468"/>
      <c r="Q103" s="50"/>
      <c r="R103" s="466"/>
      <c r="S103" s="467"/>
      <c r="T103" s="468"/>
      <c r="U103" s="50"/>
      <c r="V103" s="464"/>
      <c r="W103" s="465"/>
      <c r="X103" s="31"/>
      <c r="Y103" s="955"/>
      <c r="Z103" s="950"/>
      <c r="AA103" s="1652"/>
      <c r="AB103" s="1653"/>
      <c r="AC103" s="2292"/>
      <c r="AD103" s="2196"/>
      <c r="AE103" s="2303"/>
      <c r="AF103" s="2326"/>
      <c r="AG103" s="2315"/>
      <c r="AH103" s="1803"/>
    </row>
    <row r="104" spans="1:34">
      <c r="A104" s="2034" t="s">
        <v>269</v>
      </c>
      <c r="B104" s="851" t="s">
        <v>120</v>
      </c>
      <c r="C104" s="20">
        <v>21.855</v>
      </c>
      <c r="D104" s="21">
        <v>8.4290000000000003</v>
      </c>
      <c r="E104" s="20">
        <v>203.601</v>
      </c>
      <c r="F104" s="20">
        <v>20.446000000000002</v>
      </c>
      <c r="G104" s="20">
        <v>77.266999999999996</v>
      </c>
      <c r="H104" s="21">
        <v>0.11600000000000001</v>
      </c>
      <c r="I104" s="20">
        <v>0.42499999999999999</v>
      </c>
      <c r="J104" s="99">
        <v>91.475999999999999</v>
      </c>
      <c r="K104" s="31"/>
      <c r="L104" s="102">
        <v>0.26500000000000001</v>
      </c>
      <c r="M104" s="20">
        <v>9.7360000000000007</v>
      </c>
      <c r="N104" s="21">
        <v>0.39400000000000002</v>
      </c>
      <c r="O104" s="367">
        <v>9.6129999999999995</v>
      </c>
      <c r="P104" s="366">
        <f>SUM(C104:O104)</f>
        <v>443.62299999999993</v>
      </c>
      <c r="Q104" s="49"/>
      <c r="R104" s="1860">
        <v>118.102</v>
      </c>
      <c r="S104" s="20">
        <v>0</v>
      </c>
      <c r="T104" s="99">
        <v>1525.5</v>
      </c>
      <c r="U104" s="50"/>
      <c r="V104" s="112">
        <v>43.448999999999998</v>
      </c>
      <c r="W104" s="401">
        <f>SUM(R104:V104)</f>
        <v>1687.0510000000002</v>
      </c>
      <c r="X104" s="56"/>
      <c r="Y104" s="955">
        <v>397.63600000000002</v>
      </c>
      <c r="Z104" s="1611"/>
      <c r="AA104" s="1598"/>
      <c r="AB104" s="1598"/>
      <c r="AC104" s="2270"/>
      <c r="AD104" s="2196"/>
      <c r="AE104" s="2303"/>
      <c r="AF104" s="2326">
        <v>-1243.4280000000001</v>
      </c>
      <c r="AG104" s="2315">
        <v>379.61200000000002</v>
      </c>
      <c r="AH104" s="1803">
        <f>W104-V104-(IF(AND(Motpart!$Y$38="",Motpart!$Z$38=""),0,IF(AND(Motpart!$Y$38=0,Motpart!$Z$38=0),0,((T104/$T$109)*(Motpart!$Y$38+Motpart!$Z$38)))))</f>
        <v>1613.5865804828084</v>
      </c>
    </row>
    <row r="105" spans="1:34">
      <c r="A105" s="2034" t="s">
        <v>270</v>
      </c>
      <c r="B105" s="849" t="s">
        <v>27</v>
      </c>
      <c r="C105" s="23">
        <v>11.177</v>
      </c>
      <c r="D105" s="21">
        <v>4.2850000000000001</v>
      </c>
      <c r="E105" s="23">
        <v>97.617000000000004</v>
      </c>
      <c r="F105" s="23">
        <v>0.57099999999999995</v>
      </c>
      <c r="G105" s="23">
        <v>15.583</v>
      </c>
      <c r="H105" s="24">
        <v>3.0070000000000001</v>
      </c>
      <c r="I105" s="23">
        <v>5.3999999999999999E-2</v>
      </c>
      <c r="J105" s="100">
        <v>37.003999999999998</v>
      </c>
      <c r="K105" s="31"/>
      <c r="L105" s="103">
        <v>6.4169999999999998</v>
      </c>
      <c r="M105" s="23">
        <v>18.701000000000001</v>
      </c>
      <c r="N105" s="24">
        <v>0.186</v>
      </c>
      <c r="O105" s="367">
        <v>7.6260000000000003</v>
      </c>
      <c r="P105" s="366">
        <f>SUM(C105:O105)</f>
        <v>202.22800000000001</v>
      </c>
      <c r="Q105" s="49"/>
      <c r="R105" s="1858">
        <v>117.86</v>
      </c>
      <c r="S105" s="23">
        <v>0</v>
      </c>
      <c r="T105" s="100">
        <v>14.688000000000001</v>
      </c>
      <c r="U105" s="50"/>
      <c r="V105" s="113">
        <v>42.832999999999998</v>
      </c>
      <c r="W105" s="401">
        <f>SUM(R105:V105)</f>
        <v>175.381</v>
      </c>
      <c r="X105" s="56"/>
      <c r="Y105" s="955">
        <v>158.96700000000001</v>
      </c>
      <c r="Z105" s="1597"/>
      <c r="AA105" s="1598"/>
      <c r="AB105" s="1598"/>
      <c r="AC105" s="2270"/>
      <c r="AD105" s="2196"/>
      <c r="AE105" s="2303"/>
      <c r="AF105" s="2326">
        <v>26.847000000000001</v>
      </c>
      <c r="AG105" s="2315">
        <v>155.81700000000001</v>
      </c>
      <c r="AH105" s="1803">
        <f>W105-V105-(IF(AND(Motpart!$Y$38="",Motpart!$Z$38=""),0,IF(AND(Motpart!$Y$38=0,Motpart!$Z$38=0),0,((T105/$T$109)*(Motpart!$Y$38+Motpart!$Z$38)))))</f>
        <v>132.25900197845394</v>
      </c>
    </row>
    <row r="106" spans="1:34">
      <c r="A106" s="2034" t="s">
        <v>271</v>
      </c>
      <c r="B106" s="849" t="s">
        <v>28</v>
      </c>
      <c r="C106" s="23">
        <v>1592.383</v>
      </c>
      <c r="D106" s="21">
        <v>619.423</v>
      </c>
      <c r="E106" s="23">
        <v>2548.9870000000001</v>
      </c>
      <c r="F106" s="23">
        <v>1878.9480000000001</v>
      </c>
      <c r="G106" s="23">
        <v>1439.354</v>
      </c>
      <c r="H106" s="24">
        <v>40.189</v>
      </c>
      <c r="I106" s="23">
        <v>45.965000000000003</v>
      </c>
      <c r="J106" s="100">
        <v>2789.848</v>
      </c>
      <c r="K106" s="31"/>
      <c r="L106" s="103">
        <v>116.377</v>
      </c>
      <c r="M106" s="23">
        <v>1497.46</v>
      </c>
      <c r="N106" s="24">
        <v>20.89</v>
      </c>
      <c r="O106" s="367">
        <v>337.70600000000002</v>
      </c>
      <c r="P106" s="366">
        <f>SUM(C106:O106)</f>
        <v>12927.53</v>
      </c>
      <c r="Q106" s="49"/>
      <c r="R106" s="1858">
        <v>10614.09</v>
      </c>
      <c r="S106" s="23">
        <v>19.183</v>
      </c>
      <c r="T106" s="100">
        <v>595.96</v>
      </c>
      <c r="U106" s="50"/>
      <c r="V106" s="113">
        <v>1295.1610000000001</v>
      </c>
      <c r="W106" s="401">
        <f>SUM(R106:V106)</f>
        <v>12524.394</v>
      </c>
      <c r="X106" s="56"/>
      <c r="Y106" s="955">
        <v>11569.098</v>
      </c>
      <c r="Z106" s="1597"/>
      <c r="AA106" s="1598"/>
      <c r="AB106" s="1598"/>
      <c r="AC106" s="2270"/>
      <c r="AD106" s="2196"/>
      <c r="AE106" s="2303"/>
      <c r="AF106" s="2326">
        <v>403.13600000000002</v>
      </c>
      <c r="AG106" s="2315">
        <v>9713.232</v>
      </c>
      <c r="AH106" s="1803">
        <f>W106-V106-(IF(AND(Motpart!$Y$38="",Motpart!$Z$38=""),0,IF(AND(Motpart!$Y$38=0,Motpart!$Z$38=0),0,((T106/$T$109)*(Motpart!$Y$38+Motpart!$Z$38)))))</f>
        <v>11217.5070154602</v>
      </c>
    </row>
    <row r="107" spans="1:34">
      <c r="A107" s="2034" t="s">
        <v>272</v>
      </c>
      <c r="B107" s="849" t="s">
        <v>29</v>
      </c>
      <c r="C107" s="23">
        <v>544.01499999999999</v>
      </c>
      <c r="D107" s="21">
        <v>211.179</v>
      </c>
      <c r="E107" s="23">
        <v>408.60899999999998</v>
      </c>
      <c r="F107" s="23">
        <v>2361.819</v>
      </c>
      <c r="G107" s="23">
        <v>687.9</v>
      </c>
      <c r="H107" s="24">
        <v>2.5049999999999999</v>
      </c>
      <c r="I107" s="23">
        <v>26.556999999999999</v>
      </c>
      <c r="J107" s="100">
        <v>269.75400000000002</v>
      </c>
      <c r="K107" s="31"/>
      <c r="L107" s="103">
        <v>31.286999999999999</v>
      </c>
      <c r="M107" s="23">
        <v>487.553</v>
      </c>
      <c r="N107" s="24">
        <v>2.879</v>
      </c>
      <c r="O107" s="367">
        <v>77.664000000000001</v>
      </c>
      <c r="P107" s="366">
        <f>SUM(C107:O107)</f>
        <v>5111.7209999999995</v>
      </c>
      <c r="Q107" s="49"/>
      <c r="R107" s="1858">
        <v>3947.88</v>
      </c>
      <c r="S107" s="23">
        <v>5.1890000000000001</v>
      </c>
      <c r="T107" s="100">
        <v>422.09300000000002</v>
      </c>
      <c r="U107" s="50"/>
      <c r="V107" s="113">
        <v>416.75</v>
      </c>
      <c r="W107" s="401">
        <f>SUM(R107:V107)</f>
        <v>4791.9120000000003</v>
      </c>
      <c r="X107" s="56"/>
      <c r="Y107" s="955">
        <v>4674.9489999999996</v>
      </c>
      <c r="Z107" s="1597"/>
      <c r="AA107" s="1598"/>
      <c r="AB107" s="1598"/>
      <c r="AC107" s="2270"/>
      <c r="AD107" s="2196"/>
      <c r="AE107" s="2303"/>
      <c r="AF107" s="2326">
        <v>319.80900000000003</v>
      </c>
      <c r="AG107" s="2315">
        <v>2330.6469999999999</v>
      </c>
      <c r="AH107" s="1803">
        <f>W107-V107-(IF(AND(Motpart!$Y$38="",Motpart!$Z$38=""),0,IF(AND(Motpart!$Y$38=0,Motpart!$Z$38=0),0,((T107/$T$109)*(Motpart!$Y$38+Motpart!$Z$38)))))</f>
        <v>4366.8569862535105</v>
      </c>
    </row>
    <row r="108" spans="1:34" ht="12.75" customHeight="1">
      <c r="A108" s="2034" t="s">
        <v>273</v>
      </c>
      <c r="B108" s="849" t="s">
        <v>121</v>
      </c>
      <c r="C108" s="359">
        <f>SUM(C104:C107)</f>
        <v>2169.4299999999998</v>
      </c>
      <c r="D108" s="26">
        <f t="shared" ref="D108:P108" si="29">SUM(D104:D107)</f>
        <v>843.31600000000003</v>
      </c>
      <c r="E108" s="359">
        <f t="shared" si="29"/>
        <v>3258.8139999999999</v>
      </c>
      <c r="F108" s="359">
        <f t="shared" si="29"/>
        <v>4261.7839999999997</v>
      </c>
      <c r="G108" s="359">
        <f t="shared" si="29"/>
        <v>2220.1039999999998</v>
      </c>
      <c r="H108" s="26">
        <f t="shared" si="29"/>
        <v>45.817</v>
      </c>
      <c r="I108" s="359">
        <f t="shared" si="29"/>
        <v>73.001000000000005</v>
      </c>
      <c r="J108" s="104">
        <f t="shared" si="29"/>
        <v>3188.0819999999999</v>
      </c>
      <c r="K108" s="146"/>
      <c r="L108" s="368">
        <f>SUM(L104:L107)</f>
        <v>154.346</v>
      </c>
      <c r="M108" s="359">
        <f t="shared" si="29"/>
        <v>2013.4499999999998</v>
      </c>
      <c r="N108" s="26">
        <f t="shared" si="29"/>
        <v>24.349</v>
      </c>
      <c r="O108" s="26">
        <f t="shared" si="29"/>
        <v>432.60899999999998</v>
      </c>
      <c r="P108" s="104">
        <f t="shared" si="29"/>
        <v>18685.101999999999</v>
      </c>
      <c r="Q108" s="49"/>
      <c r="R108" s="368">
        <f>SUM(R104:R107)</f>
        <v>14797.932000000001</v>
      </c>
      <c r="S108" s="359">
        <f>SUM(S104:S107)</f>
        <v>24.372</v>
      </c>
      <c r="T108" s="104">
        <f>SUM(T104:T107)</f>
        <v>2558.241</v>
      </c>
      <c r="U108" s="49"/>
      <c r="V108" s="116">
        <f>SUM(V104:V107)</f>
        <v>1798.193</v>
      </c>
      <c r="W108" s="117">
        <f>SUM(W104:W107)</f>
        <v>19178.738000000001</v>
      </c>
      <c r="X108" s="56"/>
      <c r="Y108" s="955">
        <v>16800.650000000001</v>
      </c>
      <c r="Z108" s="1597"/>
      <c r="AA108" s="1598"/>
      <c r="AB108" s="1598"/>
      <c r="AC108" s="2270"/>
      <c r="AD108" s="2196"/>
      <c r="AE108" s="2303"/>
      <c r="AF108" s="2326">
        <v>-493.63400000000001</v>
      </c>
      <c r="AG108" s="2315">
        <v>12579.31</v>
      </c>
      <c r="AH108" s="1803">
        <f>SUM(AH104:AH107)</f>
        <v>17330.209584174972</v>
      </c>
    </row>
    <row r="109" spans="1:34" ht="12.75" customHeight="1">
      <c r="A109" s="2034" t="s">
        <v>274</v>
      </c>
      <c r="B109" s="849" t="s">
        <v>30</v>
      </c>
      <c r="C109" s="359">
        <f>SUM(C97,C102,C108)</f>
        <v>3209.9960000000001</v>
      </c>
      <c r="D109" s="26">
        <f t="shared" ref="D109:P109" si="30">SUM(D97,D102,D108)</f>
        <v>1275.8340000000001</v>
      </c>
      <c r="E109" s="359">
        <f t="shared" si="30"/>
        <v>4550.2299999999996</v>
      </c>
      <c r="F109" s="359">
        <f t="shared" si="30"/>
        <v>5426.9290000000001</v>
      </c>
      <c r="G109" s="359">
        <f t="shared" si="30"/>
        <v>3504.46</v>
      </c>
      <c r="H109" s="26">
        <f t="shared" si="30"/>
        <v>2315.0509999999999</v>
      </c>
      <c r="I109" s="359">
        <f t="shared" si="30"/>
        <v>806.46100000000001</v>
      </c>
      <c r="J109" s="104">
        <f t="shared" si="30"/>
        <v>7009.8680000000004</v>
      </c>
      <c r="K109" s="146"/>
      <c r="L109" s="368">
        <f>SUM(L97,L102,L108)</f>
        <v>436.85899999999998</v>
      </c>
      <c r="M109" s="359">
        <f t="shared" si="30"/>
        <v>2649.08</v>
      </c>
      <c r="N109" s="26">
        <f t="shared" si="30"/>
        <v>32.781999999999996</v>
      </c>
      <c r="O109" s="26">
        <f t="shared" si="30"/>
        <v>800.755</v>
      </c>
      <c r="P109" s="104">
        <f t="shared" si="30"/>
        <v>32018.305</v>
      </c>
      <c r="Q109" s="49"/>
      <c r="R109" s="368">
        <f>SUM(R97,R102,R108)</f>
        <v>15295.673000000001</v>
      </c>
      <c r="S109" s="359">
        <f>SUM(S97,S102,S108)</f>
        <v>1583.8710000000001</v>
      </c>
      <c r="T109" s="104">
        <f>SUM(T97,T102,T108)</f>
        <v>8910.4930000000004</v>
      </c>
      <c r="U109" s="49"/>
      <c r="V109" s="116">
        <f>SUM(V97,V102,V108)</f>
        <v>2929.1889999999999</v>
      </c>
      <c r="W109" s="117">
        <f>SUM(W97,W102,W108)</f>
        <v>28719.226000000002</v>
      </c>
      <c r="X109" s="56"/>
      <c r="Y109" s="955">
        <v>28913.805</v>
      </c>
      <c r="Z109" s="958">
        <f>(P109-W109)*1000/invanare</f>
        <v>313.55428797793769</v>
      </c>
      <c r="AA109" s="959">
        <f>Y109*1000/invanare</f>
        <v>2748.0540900984606</v>
      </c>
      <c r="AB109" s="973">
        <v>2438.2660000000001</v>
      </c>
      <c r="AC109" s="2277">
        <f>IF(ISERROR((AA109-AB109)/AB109)," ",((AA109-AB109)/AB109))</f>
        <v>0.12705262268286582</v>
      </c>
      <c r="AD109" s="2196"/>
      <c r="AE109" s="2307">
        <f>IF(ISERROR(F109/(AA109/1000*invanare)),"",(F109/(AA109/100000*invanare)))</f>
        <v>18.769335270816136</v>
      </c>
      <c r="AF109" s="2326">
        <v>3299.0889999999999</v>
      </c>
      <c r="AG109" s="2315">
        <v>21347.146000000001</v>
      </c>
      <c r="AH109" s="1803">
        <f>W109-V109-SUM(Motpart!Y38:Z38)</f>
        <v>25614.716000000004</v>
      </c>
    </row>
    <row r="110" spans="1:34" ht="12.75" customHeight="1" thickBot="1">
      <c r="A110" s="2045" t="s">
        <v>275</v>
      </c>
      <c r="B110" s="849" t="s">
        <v>122</v>
      </c>
      <c r="C110" s="359">
        <f>SUM(C90,C109)</f>
        <v>283829.28400000004</v>
      </c>
      <c r="D110" s="382">
        <f t="shared" ref="D110:P110" si="31">SUM(D90,D109)</f>
        <v>109574.45700000002</v>
      </c>
      <c r="E110" s="359">
        <f t="shared" si="31"/>
        <v>33853.792999999998</v>
      </c>
      <c r="F110" s="359">
        <f t="shared" si="31"/>
        <v>149319.43</v>
      </c>
      <c r="G110" s="359">
        <f t="shared" si="31"/>
        <v>48795.855000000003</v>
      </c>
      <c r="H110" s="26">
        <f t="shared" si="31"/>
        <v>29531.541000000005</v>
      </c>
      <c r="I110" s="359">
        <f t="shared" si="31"/>
        <v>22283.890999999996</v>
      </c>
      <c r="J110" s="104">
        <f t="shared" si="31"/>
        <v>21715.125</v>
      </c>
      <c r="K110" s="146"/>
      <c r="L110" s="368">
        <f>SUM(L90,L109)</f>
        <v>44143.165999999997</v>
      </c>
      <c r="M110" s="359">
        <f t="shared" si="31"/>
        <v>95304.133999999991</v>
      </c>
      <c r="N110" s="374">
        <f t="shared" si="31"/>
        <v>2970.8300000000004</v>
      </c>
      <c r="O110" s="374">
        <f t="shared" si="31"/>
        <v>21208.96569828608</v>
      </c>
      <c r="P110" s="104">
        <f t="shared" si="31"/>
        <v>862528.9</v>
      </c>
      <c r="Q110" s="49"/>
      <c r="R110" s="368">
        <f>SUM(R90,R109)</f>
        <v>41098.42</v>
      </c>
      <c r="S110" s="359">
        <f>SUM(S90,S109)</f>
        <v>9857.6340000000018</v>
      </c>
      <c r="T110" s="104">
        <f>SUM(T90,T109)</f>
        <v>94920.224000000002</v>
      </c>
      <c r="U110" s="49"/>
      <c r="V110" s="116">
        <f>SUM(V90,V109)</f>
        <v>74177.278000000006</v>
      </c>
      <c r="W110" s="117">
        <f>SUM(W90,W109)</f>
        <v>220053.55599999998</v>
      </c>
      <c r="X110" s="56"/>
      <c r="Y110" s="977">
        <v>774425.18099999998</v>
      </c>
      <c r="Z110" s="983">
        <f>Z90+Z109</f>
        <v>61062.76904290582</v>
      </c>
      <c r="AA110" s="984">
        <f>AA90+AA109</f>
        <v>73349.267161625132</v>
      </c>
      <c r="AB110" s="984">
        <f>AB90+AB109</f>
        <v>70390.02900000001</v>
      </c>
      <c r="AC110" s="2293"/>
      <c r="AD110" s="2196"/>
      <c r="AE110" s="2305">
        <f>IF(ISERROR(F109/(AA109/1000*invanare)),"",SUM(Motpart!D38,Motpart!F38)/(AA109/100000*invanare))</f>
        <v>10.78758053462697</v>
      </c>
      <c r="AF110" s="2335">
        <v>642475.31700000004</v>
      </c>
      <c r="AG110" s="2322">
        <v>609500.62399999995</v>
      </c>
      <c r="AH110" s="1810">
        <f>AH90+AH109</f>
        <v>131949.86399999997</v>
      </c>
    </row>
    <row r="111" spans="1:34">
      <c r="A111" s="2034" t="s">
        <v>276</v>
      </c>
      <c r="B111" s="865" t="s">
        <v>31</v>
      </c>
      <c r="C111" s="28">
        <v>3512.6759999999999</v>
      </c>
      <c r="D111" s="29">
        <v>1391.1969999999999</v>
      </c>
      <c r="E111" s="28">
        <v>9299.7909999999993</v>
      </c>
      <c r="F111" s="28">
        <v>286.017</v>
      </c>
      <c r="G111" s="28">
        <v>5535.7579999999998</v>
      </c>
      <c r="H111" s="29">
        <v>15.063000000000001</v>
      </c>
      <c r="I111" s="28">
        <v>12441.456</v>
      </c>
      <c r="J111" s="101">
        <v>16058.627</v>
      </c>
      <c r="K111" s="31"/>
      <c r="L111" s="105">
        <v>630.70600000000002</v>
      </c>
      <c r="M111" s="28">
        <v>4379.585</v>
      </c>
      <c r="N111" s="383">
        <v>0</v>
      </c>
      <c r="O111" s="384">
        <v>0</v>
      </c>
      <c r="P111" s="115">
        <f>SUM(C111:O111)</f>
        <v>53550.875999999997</v>
      </c>
      <c r="Q111" s="49"/>
      <c r="R111" s="105">
        <v>125.315</v>
      </c>
      <c r="S111" s="28">
        <v>4380.8649999999998</v>
      </c>
      <c r="T111" s="101">
        <v>1324.049</v>
      </c>
      <c r="U111" s="50"/>
      <c r="V111" s="114">
        <v>47402.231</v>
      </c>
      <c r="W111" s="115">
        <f>SUM(R111:V111)</f>
        <v>53232.46</v>
      </c>
      <c r="X111" s="56"/>
      <c r="Y111" s="988"/>
      <c r="Z111" s="978"/>
      <c r="AA111" s="979"/>
      <c r="AB111" s="980"/>
      <c r="AC111" s="2291"/>
      <c r="AD111" s="2196"/>
      <c r="AE111" s="2300"/>
      <c r="AF111" s="2325"/>
      <c r="AG111" s="1564"/>
      <c r="AH111" s="1801"/>
    </row>
    <row r="112" spans="1:34" ht="13.5" thickBot="1">
      <c r="A112" s="2047" t="s">
        <v>277</v>
      </c>
      <c r="B112" s="849" t="s">
        <v>32</v>
      </c>
      <c r="C112" s="23">
        <v>20858.528999999999</v>
      </c>
      <c r="D112" s="21">
        <v>8211.2029999999995</v>
      </c>
      <c r="E112" s="23">
        <v>6467.9660000000003</v>
      </c>
      <c r="F112" s="23">
        <v>586.24099999999999</v>
      </c>
      <c r="G112" s="23">
        <v>14091.35</v>
      </c>
      <c r="H112" s="24">
        <v>464.50099999999998</v>
      </c>
      <c r="I112" s="23">
        <v>805.51400000000001</v>
      </c>
      <c r="J112" s="100">
        <v>3054.69</v>
      </c>
      <c r="K112" s="31"/>
      <c r="L112" s="103">
        <v>1751.0429999999999</v>
      </c>
      <c r="M112" s="23">
        <v>7911.326</v>
      </c>
      <c r="N112" s="385"/>
      <c r="O112" s="386"/>
      <c r="P112" s="387">
        <f>SUM(C112:O112)</f>
        <v>64202.362999999998</v>
      </c>
      <c r="Q112" s="49"/>
      <c r="R112" s="106">
        <v>394.87700000000001</v>
      </c>
      <c r="S112" s="107">
        <v>151.161</v>
      </c>
      <c r="T112" s="108">
        <v>6127.866</v>
      </c>
      <c r="U112" s="50"/>
      <c r="V112" s="1862">
        <f>SUM(I118:I120)</f>
        <v>57528.458999999995</v>
      </c>
      <c r="W112" s="117">
        <f>SUM(R112:V112)</f>
        <v>64202.362999999998</v>
      </c>
      <c r="X112" s="56"/>
      <c r="Y112" s="954"/>
      <c r="Z112" s="989"/>
      <c r="AA112" s="961"/>
      <c r="AB112" s="962"/>
      <c r="AC112" s="2279"/>
      <c r="AD112" s="2196"/>
      <c r="AE112" s="2300"/>
      <c r="AF112" s="2325"/>
      <c r="AG112" s="1564"/>
      <c r="AH112" s="1801"/>
    </row>
    <row r="113" spans="1:34" ht="12.75" customHeight="1" thickBot="1">
      <c r="A113" s="2046" t="s">
        <v>278</v>
      </c>
      <c r="B113" s="866" t="s">
        <v>33</v>
      </c>
      <c r="C113" s="391">
        <f>SUM(C110:C112)</f>
        <v>308200.489</v>
      </c>
      <c r="D113" s="390">
        <f t="shared" ref="D113:W113" si="32">SUM(D110:D112)</f>
        <v>119176.85700000002</v>
      </c>
      <c r="E113" s="389">
        <f t="shared" si="32"/>
        <v>49621.549999999996</v>
      </c>
      <c r="F113" s="389">
        <f t="shared" si="32"/>
        <v>150191.68799999999</v>
      </c>
      <c r="G113" s="389">
        <f t="shared" si="32"/>
        <v>68422.963000000003</v>
      </c>
      <c r="H113" s="390">
        <f t="shared" si="32"/>
        <v>30011.105000000003</v>
      </c>
      <c r="I113" s="392">
        <f t="shared" si="32"/>
        <v>35530.860999999997</v>
      </c>
      <c r="J113" s="393">
        <f t="shared" si="32"/>
        <v>40828.442000000003</v>
      </c>
      <c r="K113" s="146"/>
      <c r="L113" s="388">
        <f>SUM(L110:L112)</f>
        <v>46524.914999999994</v>
      </c>
      <c r="M113" s="389">
        <f t="shared" si="32"/>
        <v>107595.045</v>
      </c>
      <c r="N113" s="390">
        <f t="shared" si="32"/>
        <v>2970.8300000000004</v>
      </c>
      <c r="O113" s="390">
        <f>SUM(O110:O112)</f>
        <v>21208.96569828608</v>
      </c>
      <c r="P113" s="1639">
        <f>SUM(P110:P112)</f>
        <v>980282.13900000008</v>
      </c>
      <c r="Q113" s="49"/>
      <c r="R113" s="391">
        <f t="shared" si="32"/>
        <v>41618.612000000001</v>
      </c>
      <c r="S113" s="389">
        <f t="shared" si="32"/>
        <v>14389.660000000002</v>
      </c>
      <c r="T113" s="390">
        <f t="shared" si="32"/>
        <v>102372.139</v>
      </c>
      <c r="U113" s="111"/>
      <c r="V113" s="406">
        <f t="shared" si="32"/>
        <v>179107.96799999999</v>
      </c>
      <c r="W113" s="1640">
        <f t="shared" si="32"/>
        <v>337488.37900000002</v>
      </c>
      <c r="X113" s="56"/>
      <c r="Y113" s="990"/>
      <c r="Z113" s="991"/>
      <c r="AA113" s="992"/>
      <c r="AB113" s="993"/>
      <c r="AC113" s="2294"/>
      <c r="AD113" s="2196"/>
      <c r="AE113" s="2313"/>
      <c r="AF113" s="2336"/>
      <c r="AG113" s="2323"/>
      <c r="AH113" s="1811"/>
    </row>
    <row r="114" spans="1:34">
      <c r="A114" s="1210"/>
      <c r="B114" s="1211"/>
      <c r="C114" s="1212"/>
      <c r="D114" s="1649"/>
      <c r="E114" s="14"/>
      <c r="F114" s="204"/>
      <c r="G114" s="30"/>
      <c r="H114" s="42"/>
      <c r="I114" s="2527" t="s">
        <v>528</v>
      </c>
      <c r="J114" s="2528"/>
      <c r="K114" s="2528"/>
      <c r="L114" s="2529"/>
      <c r="M114" s="394">
        <f>I118</f>
        <v>33350.262000000002</v>
      </c>
      <c r="N114" s="177"/>
      <c r="O114" s="32"/>
      <c r="P114" s="1937"/>
      <c r="Q114" s="201"/>
      <c r="R114" s="32"/>
      <c r="S114" s="32"/>
      <c r="T114" s="32"/>
      <c r="U114" s="201"/>
      <c r="V114" s="32"/>
      <c r="W114" s="32"/>
      <c r="X114" s="32"/>
      <c r="Y114" s="32"/>
      <c r="Z114" s="55"/>
      <c r="AA114" s="55"/>
      <c r="AB114" s="55"/>
      <c r="AC114" s="55"/>
      <c r="AD114" s="2196"/>
      <c r="AE114" s="413"/>
      <c r="AF114" s="169"/>
    </row>
    <row r="115" spans="1:34" ht="13.5" thickBot="1">
      <c r="A115" s="11"/>
      <c r="B115" s="41"/>
      <c r="C115" s="2196"/>
      <c r="D115" s="2196"/>
      <c r="E115" s="170"/>
      <c r="F115" s="170"/>
      <c r="G115" s="170"/>
      <c r="H115" s="32"/>
      <c r="I115" s="32"/>
      <c r="J115" s="34"/>
      <c r="K115" s="34"/>
      <c r="L115" s="206"/>
      <c r="M115" s="207"/>
      <c r="N115" s="207"/>
      <c r="O115" s="207"/>
      <c r="P115" s="2150" t="str">
        <f>IF(AND(L113&lt;&gt;0,P111=0),"Om interna lokalkostander finns, bör det även finnas kostnader för gemensamma lokaler. Stämmer uppgifterna?","")</f>
        <v/>
      </c>
      <c r="Q115" s="1515"/>
      <c r="R115" s="1516"/>
      <c r="S115" s="205"/>
      <c r="T115" s="32"/>
      <c r="U115" s="201"/>
      <c r="V115" s="32"/>
      <c r="W115" s="40"/>
      <c r="X115" s="1515"/>
      <c r="Y115" s="1516"/>
      <c r="Z115" s="183"/>
      <c r="AA115" s="183"/>
      <c r="AB115" s="5"/>
      <c r="AC115" s="12"/>
      <c r="AD115" s="2196"/>
      <c r="AE115" s="413"/>
      <c r="AF115" s="169"/>
    </row>
    <row r="116" spans="1:34" ht="16.5" thickBot="1">
      <c r="A116" s="2196"/>
      <c r="B116" s="2196"/>
      <c r="C116" s="2196"/>
      <c r="D116" s="2196"/>
      <c r="E116" s="36" t="s">
        <v>144</v>
      </c>
      <c r="F116" s="35"/>
      <c r="G116" s="32"/>
      <c r="H116" s="30"/>
      <c r="I116" s="30"/>
      <c r="J116" s="183"/>
      <c r="K116" s="183"/>
      <c r="L116" s="994">
        <v>960</v>
      </c>
      <c r="M116" s="1007" t="s">
        <v>206</v>
      </c>
      <c r="N116" s="1008"/>
      <c r="O116" s="1008"/>
      <c r="P116" s="395">
        <f>-SUM(D113,J113)</f>
        <v>-160005.29900000003</v>
      </c>
      <c r="Q116" s="1358"/>
      <c r="R116" s="1359"/>
      <c r="S116" s="994">
        <v>970</v>
      </c>
      <c r="T116" s="995" t="s">
        <v>145</v>
      </c>
      <c r="U116" s="996"/>
      <c r="V116" s="997"/>
      <c r="W116" s="395">
        <f>-V113</f>
        <v>-179107.96799999999</v>
      </c>
      <c r="X116" s="1561"/>
      <c r="Y116" s="1307"/>
      <c r="AA116" s="1213"/>
      <c r="AB116" s="1213"/>
      <c r="AC116" s="1213"/>
      <c r="AD116" s="2196"/>
      <c r="AE116" s="413"/>
      <c r="AF116" s="169"/>
    </row>
    <row r="117" spans="1:34" ht="16.5" customHeight="1">
      <c r="A117" s="2196"/>
      <c r="B117" s="2196"/>
      <c r="C117" s="2196"/>
      <c r="D117" s="2196"/>
      <c r="E117" s="994">
        <v>922</v>
      </c>
      <c r="F117" s="1008" t="s">
        <v>123</v>
      </c>
      <c r="G117" s="1008"/>
      <c r="H117" s="1008"/>
      <c r="I117" s="397">
        <f>P112-SUM(R112:T112)</f>
        <v>57528.458999999995</v>
      </c>
      <c r="J117" s="277"/>
      <c r="K117" s="183"/>
      <c r="L117" s="999">
        <v>965</v>
      </c>
      <c r="M117" s="1009" t="s">
        <v>207</v>
      </c>
      <c r="N117" s="1010"/>
      <c r="O117" s="1011"/>
      <c r="P117" s="396">
        <f>-SUM(L113:O113)</f>
        <v>-178299.75569828606</v>
      </c>
      <c r="S117" s="999">
        <v>982</v>
      </c>
      <c r="T117" s="2555" t="s">
        <v>525</v>
      </c>
      <c r="U117" s="2556"/>
      <c r="V117" s="2557"/>
      <c r="W117" s="211">
        <v>11642.24</v>
      </c>
      <c r="Y117" s="1213"/>
      <c r="Z117" s="1213"/>
      <c r="AA117" s="1213"/>
      <c r="AB117" s="1213"/>
      <c r="AC117" s="1213"/>
      <c r="AD117" s="2196"/>
      <c r="AE117" s="413"/>
      <c r="AF117" s="169"/>
    </row>
    <row r="118" spans="1:34" ht="19.5" customHeight="1">
      <c r="A118" s="2196"/>
      <c r="B118" s="2196"/>
      <c r="C118" s="2196"/>
      <c r="D118" s="2196"/>
      <c r="E118" s="999">
        <v>924</v>
      </c>
      <c r="F118" s="2533" t="s">
        <v>1213</v>
      </c>
      <c r="G118" s="2534"/>
      <c r="H118" s="2535"/>
      <c r="I118" s="118">
        <v>33350.262000000002</v>
      </c>
      <c r="J118" s="1467"/>
      <c r="K118" s="183"/>
      <c r="L118" s="999">
        <v>975</v>
      </c>
      <c r="M118" s="2552" t="s">
        <v>1083</v>
      </c>
      <c r="N118" s="2553"/>
      <c r="O118" s="2554"/>
      <c r="P118" s="211">
        <v>129787.66899999999</v>
      </c>
      <c r="S118" s="999">
        <v>985</v>
      </c>
      <c r="T118" s="1314" t="s">
        <v>909</v>
      </c>
      <c r="U118" s="1315"/>
      <c r="V118" s="1316"/>
      <c r="W118" s="211">
        <v>2725.3220000000001</v>
      </c>
      <c r="X118" s="1517"/>
      <c r="Y118" s="1517"/>
      <c r="Z118" s="1213"/>
      <c r="AB118" s="1213"/>
      <c r="AC118" s="1213"/>
      <c r="AD118" s="2196"/>
      <c r="AE118" s="413"/>
      <c r="AF118" s="169"/>
    </row>
    <row r="119" spans="1:34" ht="19.5" customHeight="1">
      <c r="A119" s="2196"/>
      <c r="B119" s="2196"/>
      <c r="C119" s="2196"/>
      <c r="D119" s="2196"/>
      <c r="E119" s="999">
        <v>926</v>
      </c>
      <c r="F119" s="1013" t="s">
        <v>824</v>
      </c>
      <c r="G119" s="1014"/>
      <c r="H119" s="1014"/>
      <c r="I119" s="398">
        <f>N113</f>
        <v>2970.8300000000004</v>
      </c>
      <c r="J119" s="277"/>
      <c r="K119" s="183"/>
      <c r="L119" s="999">
        <v>980</v>
      </c>
      <c r="M119" s="2549" t="s">
        <v>1084</v>
      </c>
      <c r="N119" s="2550"/>
      <c r="O119" s="2551"/>
      <c r="P119" s="211">
        <v>2231.163</v>
      </c>
      <c r="S119" s="999">
        <v>989</v>
      </c>
      <c r="T119" s="1314" t="s">
        <v>209</v>
      </c>
      <c r="U119" s="1315"/>
      <c r="V119" s="1316"/>
      <c r="W119" s="1950">
        <v>262.89400000000001</v>
      </c>
      <c r="X119" s="177"/>
      <c r="Y119" s="193"/>
      <c r="Z119" s="193"/>
      <c r="AA119" s="1214"/>
      <c r="AB119" s="1214"/>
      <c r="AC119" s="1214"/>
      <c r="AD119" s="2196"/>
      <c r="AE119" s="1214"/>
      <c r="AF119" s="169"/>
    </row>
    <row r="120" spans="1:34" ht="13.5" customHeight="1" thickBot="1">
      <c r="A120" s="2196"/>
      <c r="B120" s="2196"/>
      <c r="C120" s="2196"/>
      <c r="D120" s="2196"/>
      <c r="E120" s="1003">
        <v>928</v>
      </c>
      <c r="F120" s="1357" t="s">
        <v>825</v>
      </c>
      <c r="G120" s="1015"/>
      <c r="H120" s="1016"/>
      <c r="I120" s="399">
        <f>I117-I118-I119</f>
        <v>21207.366999999991</v>
      </c>
      <c r="J120" s="277"/>
      <c r="K120" s="183"/>
      <c r="L120" s="999">
        <v>982</v>
      </c>
      <c r="M120" s="1314" t="s">
        <v>1214</v>
      </c>
      <c r="N120" s="1315"/>
      <c r="O120" s="1316"/>
      <c r="P120" s="211">
        <v>968.173</v>
      </c>
      <c r="S120" s="999"/>
      <c r="T120" s="1488"/>
      <c r="U120" s="1457"/>
      <c r="V120" s="1458"/>
      <c r="W120" s="1916"/>
      <c r="X120" s="1224"/>
      <c r="Y120" s="1459"/>
      <c r="Z120" s="193"/>
      <c r="AA120" s="1214"/>
      <c r="AB120" s="1214"/>
      <c r="AC120" s="1214"/>
      <c r="AD120" s="2196"/>
      <c r="AE120" s="1214"/>
      <c r="AF120" s="169"/>
    </row>
    <row r="121" spans="1:34" ht="13.5" customHeight="1">
      <c r="A121" s="193"/>
      <c r="B121" s="193"/>
      <c r="C121" s="2196"/>
      <c r="D121" s="2196"/>
      <c r="E121" s="183"/>
      <c r="F121" s="2196"/>
      <c r="G121" s="2196"/>
      <c r="H121" s="2196"/>
      <c r="I121" s="1957"/>
      <c r="J121" s="183"/>
      <c r="K121" s="183"/>
      <c r="L121" s="999">
        <v>985</v>
      </c>
      <c r="M121" s="1397" t="s">
        <v>811</v>
      </c>
      <c r="N121" s="1397"/>
      <c r="O121" s="1398"/>
      <c r="P121" s="174">
        <v>1051.0039999999999</v>
      </c>
      <c r="Q121" s="2542"/>
      <c r="R121" s="2543"/>
      <c r="S121" s="998">
        <v>887</v>
      </c>
      <c r="T121" s="1000" t="s">
        <v>446</v>
      </c>
      <c r="U121" s="1001"/>
      <c r="V121" s="1002"/>
      <c r="W121" s="400">
        <f>SUM(W113,W116:W119)</f>
        <v>173010.867</v>
      </c>
      <c r="X121" s="1360"/>
      <c r="Y121" s="193"/>
      <c r="Z121" s="193"/>
      <c r="AA121" s="1214"/>
      <c r="AB121" s="1214"/>
      <c r="AC121" s="1214"/>
      <c r="AD121" s="2196"/>
      <c r="AE121" s="1214"/>
      <c r="AF121" s="169"/>
    </row>
    <row r="122" spans="1:34" ht="12.75" customHeight="1" thickBot="1">
      <c r="A122" s="193"/>
      <c r="B122" s="193"/>
      <c r="C122" s="2196"/>
      <c r="D122" s="2196"/>
      <c r="E122" s="183"/>
      <c r="F122" s="2196"/>
      <c r="G122" s="2196"/>
      <c r="H122" s="2196"/>
      <c r="I122" s="1970"/>
      <c r="J122" s="1958"/>
      <c r="K122" s="183"/>
      <c r="L122" s="2342">
        <v>988</v>
      </c>
      <c r="M122" s="2344" t="s">
        <v>1125</v>
      </c>
      <c r="N122" s="2345"/>
      <c r="O122" s="2347"/>
      <c r="P122" s="174">
        <v>1663.1</v>
      </c>
      <c r="Q122" s="177"/>
      <c r="R122" s="208"/>
      <c r="S122" s="1003">
        <v>990</v>
      </c>
      <c r="T122" s="1004" t="s">
        <v>92</v>
      </c>
      <c r="U122" s="1005"/>
      <c r="V122" s="1006"/>
      <c r="W122" s="119">
        <f>RR!C7</f>
        <v>173010.867</v>
      </c>
      <c r="X122" s="1360"/>
      <c r="Y122" s="193"/>
      <c r="Z122" s="183"/>
      <c r="AA122" s="183"/>
      <c r="AB122" s="5"/>
      <c r="AC122" s="5"/>
      <c r="AD122" s="2196"/>
      <c r="AE122" s="413"/>
      <c r="AF122" s="169"/>
    </row>
    <row r="123" spans="1:34">
      <c r="A123" s="193"/>
      <c r="B123" s="193"/>
      <c r="C123" s="2196"/>
      <c r="D123" s="2196"/>
      <c r="E123" s="208"/>
      <c r="F123" s="2196"/>
      <c r="G123" s="2196"/>
      <c r="H123" s="2196"/>
      <c r="I123" s="1959"/>
      <c r="J123" s="1958"/>
      <c r="K123" s="183"/>
      <c r="L123" s="999">
        <v>989</v>
      </c>
      <c r="M123" s="1012" t="s">
        <v>208</v>
      </c>
      <c r="N123" s="1644"/>
      <c r="O123" s="1316"/>
      <c r="P123" s="1950">
        <v>4285.6509999999998</v>
      </c>
      <c r="Q123" s="177"/>
      <c r="R123" s="193"/>
      <c r="S123" s="209"/>
      <c r="T123" s="209"/>
      <c r="U123" s="209"/>
      <c r="V123" s="209"/>
      <c r="W123" s="226"/>
      <c r="X123" s="193"/>
      <c r="Y123" s="193"/>
      <c r="Z123" s="183"/>
      <c r="AA123" s="183"/>
      <c r="AB123" s="5"/>
      <c r="AC123" s="5"/>
      <c r="AD123" s="2196"/>
      <c r="AE123" s="413"/>
      <c r="AF123" s="169"/>
    </row>
    <row r="124" spans="1:34">
      <c r="A124" s="299"/>
      <c r="B124" s="193"/>
      <c r="C124" s="193"/>
      <c r="D124" s="183"/>
      <c r="E124" s="183"/>
      <c r="F124" s="2196"/>
      <c r="G124" s="2196"/>
      <c r="H124" s="2196"/>
      <c r="I124" s="1959"/>
      <c r="J124" s="1958"/>
      <c r="K124" s="193"/>
      <c r="L124" s="998">
        <v>886</v>
      </c>
      <c r="M124" s="1000" t="s">
        <v>446</v>
      </c>
      <c r="N124" s="1001"/>
      <c r="O124" s="1002"/>
      <c r="P124" s="400">
        <f>SUM(P110:P112,P116:P123)</f>
        <v>781963.84430171386</v>
      </c>
      <c r="Q124" s="1360"/>
      <c r="R124" s="193"/>
      <c r="S124" s="209"/>
      <c r="T124" s="209"/>
      <c r="U124" s="209"/>
      <c r="V124" s="209"/>
      <c r="W124" s="209"/>
      <c r="X124" s="193"/>
      <c r="Y124" s="193"/>
      <c r="Z124" s="183"/>
      <c r="AA124" s="183"/>
      <c r="AB124" s="5"/>
      <c r="AC124" s="5"/>
      <c r="AD124" s="2196"/>
      <c r="AE124" s="413"/>
      <c r="AF124" s="169"/>
    </row>
    <row r="125" spans="1:34" ht="22.5" customHeight="1" thickBot="1">
      <c r="A125" s="299"/>
      <c r="B125" s="193"/>
      <c r="C125" s="193"/>
      <c r="D125" s="183"/>
      <c r="E125" s="183"/>
      <c r="F125" s="2196"/>
      <c r="G125" s="2196"/>
      <c r="H125" s="2196"/>
      <c r="I125" s="1959"/>
      <c r="J125" s="1958"/>
      <c r="K125" s="193"/>
      <c r="L125" s="1003">
        <v>990</v>
      </c>
      <c r="M125" s="1004" t="s">
        <v>89</v>
      </c>
      <c r="N125" s="1005"/>
      <c r="O125" s="1006"/>
      <c r="P125" s="1915">
        <f>RR!C8</f>
        <v>781965.41599999997</v>
      </c>
      <c r="Q125" s="193"/>
      <c r="R125" s="193"/>
      <c r="S125" s="209"/>
      <c r="T125" s="209"/>
      <c r="U125" s="209"/>
      <c r="V125" s="209"/>
      <c r="W125" s="209"/>
      <c r="X125" s="193"/>
      <c r="Y125" s="193"/>
      <c r="Z125" s="183"/>
      <c r="AA125" s="183"/>
      <c r="AB125" s="5"/>
      <c r="AC125" s="5"/>
      <c r="AD125" s="2196"/>
      <c r="AE125" s="413"/>
      <c r="AF125" s="169"/>
    </row>
    <row r="126" spans="1:34" ht="31.5" customHeight="1">
      <c r="A126" s="209"/>
      <c r="B126" s="209"/>
      <c r="C126" s="209"/>
      <c r="D126" s="208"/>
      <c r="E126" s="208"/>
      <c r="F126" s="1960"/>
      <c r="G126" s="1960"/>
      <c r="H126" s="1960"/>
      <c r="I126" s="1959"/>
      <c r="J126" s="208"/>
      <c r="K126" s="193"/>
      <c r="L126" s="1641"/>
      <c r="M126" s="1642"/>
      <c r="N126" s="1643"/>
      <c r="O126" s="1643"/>
      <c r="P126" s="1659"/>
      <c r="Q126" s="183"/>
      <c r="R126" s="208"/>
      <c r="S126" s="209"/>
      <c r="T126" s="209"/>
      <c r="U126" s="193"/>
      <c r="V126" s="209"/>
      <c r="W126" s="209"/>
      <c r="X126" s="193"/>
      <c r="Y126" s="209"/>
      <c r="Z126" s="208"/>
      <c r="AA126" s="208"/>
      <c r="AB126" s="1"/>
      <c r="AC126" s="1"/>
      <c r="AD126" s="2196"/>
      <c r="AE126" s="414"/>
      <c r="AF126" s="169"/>
    </row>
    <row r="127" spans="1:34" hidden="1">
      <c r="L127" s="208"/>
      <c r="M127" s="208"/>
      <c r="N127" s="208"/>
      <c r="O127" s="208"/>
      <c r="P127" s="226"/>
    </row>
    <row r="303" spans="16:16" hidden="1">
      <c r="P303" s="210" t="str">
        <f>IF(P124&lt;&gt;P125,"Differens mot vht kostnader i RR, måste rättas!","")</f>
        <v>Differens mot vht kostnader i RR, måste rättas!</v>
      </c>
    </row>
  </sheetData>
  <sheetProtection algorithmName="SHA-512" hashValue="XuSE2Ernc/iOm+05CLHGIRxKX4t/Bo5VWJiQaTVq7jAP1gq0rnDiuff/MUfYuE8ssOBWSFly5NMr0uMM8YjYsw==" saltValue="VGSsvXIKDgYo1FqUl0I/OQ==" spinCount="100000" sheet="1" objects="1" scenarios="1"/>
  <customSheetViews>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1"/>
      <headerFooter alignWithMargins="0">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3"/>
      <headerFooter>
        <oddHeader>&amp;L&amp;8Statistiska Centralbyrån
Offentlig ekonomi&amp;R&amp;P</oddHeader>
      </headerFooter>
    </customSheetView>
  </customSheetViews>
  <mergeCells count="26">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Z86:AC86"/>
    <mergeCell ref="F118:H118"/>
    <mergeCell ref="AH5:AH6"/>
    <mergeCell ref="Z44:AC44"/>
    <mergeCell ref="AG5:AG6"/>
    <mergeCell ref="AF5:AF6"/>
    <mergeCell ref="Z18:AC18"/>
    <mergeCell ref="Z11:AC11"/>
    <mergeCell ref="C4:D4"/>
    <mergeCell ref="E4:H4"/>
    <mergeCell ref="L4:O4"/>
    <mergeCell ref="I4:J4"/>
    <mergeCell ref="I114:L114"/>
  </mergeCells>
  <phoneticPr fontId="88" type="noConversion"/>
  <conditionalFormatting sqref="D13:D16 D19:D29 D33:D36 D39:D41 D46:D50 D53:D57 D60:D61 D63:D65 D70:D71 D73:D76 D79:D82 D111:D112 D87:D88 D93:D96 D99:D101 D104:D107 D84">
    <cfRule type="expression" dxfId="100" priority="40" stopIfTrue="1">
      <formula>C13&lt;50</formula>
    </cfRule>
    <cfRule type="expression" dxfId="99" priority="41" stopIfTrue="1">
      <formula>(D13/C13)&gt;0.45</formula>
    </cfRule>
    <cfRule type="expression" dxfId="98" priority="42" stopIfTrue="1">
      <formula>(D13/C13)&lt;0.25</formula>
    </cfRule>
  </conditionalFormatting>
  <conditionalFormatting sqref="T51">
    <cfRule type="expression" dxfId="97" priority="48" stopIfTrue="1">
      <formula>T51-SUM(AB53:AB55)&lt;0</formula>
    </cfRule>
  </conditionalFormatting>
  <conditionalFormatting sqref="P117">
    <cfRule type="expression" dxfId="96" priority="49" stopIfTrue="1">
      <formula>ABS(P117-W116)&lt;10000</formula>
    </cfRule>
    <cfRule type="expression" dxfId="95" priority="50" stopIfTrue="1">
      <formula>ABS((P117-W116)/W116)&gt;0.05</formula>
    </cfRule>
  </conditionalFormatting>
  <conditionalFormatting sqref="W116">
    <cfRule type="expression" dxfId="94" priority="51" stopIfTrue="1">
      <formula>ABS(P117-W116)&lt;10000</formula>
    </cfRule>
    <cfRule type="expression" dxfId="93" priority="52" stopIfTrue="1">
      <formula>ABS((P117-W116)/W116)&gt;0.05</formula>
    </cfRule>
  </conditionalFormatting>
  <conditionalFormatting sqref="P111">
    <cfRule type="expression" dxfId="92" priority="53" stopIfTrue="1">
      <formula>ABS(P111-W111)&lt;10000</formula>
    </cfRule>
    <cfRule type="expression" dxfId="91" priority="54" stopIfTrue="1">
      <formula>ABS((P111-W111)/W111)&gt;0.05</formula>
    </cfRule>
  </conditionalFormatting>
  <conditionalFormatting sqref="W111">
    <cfRule type="expression" dxfId="90" priority="75" stopIfTrue="1">
      <formula>ABS(P111-W111)&lt;10000</formula>
    </cfRule>
    <cfRule type="expression" dxfId="89" priority="76" stopIfTrue="1">
      <formula>ABS((P111-W111)/W111)&gt;0.05</formula>
    </cfRule>
  </conditionalFormatting>
  <conditionalFormatting sqref="P13:P14 P23:P24">
    <cfRule type="expression" dxfId="88" priority="58" stopIfTrue="1">
      <formula>$P$124&lt;100000</formula>
    </cfRule>
    <cfRule type="cellIs" dxfId="87" priority="59" stopIfTrue="1" operator="lessThan">
      <formula>1</formula>
    </cfRule>
  </conditionalFormatting>
  <conditionalFormatting sqref="C13:W113 P120:P122">
    <cfRule type="cellIs" dxfId="86" priority="33" stopIfTrue="1" operator="lessThan">
      <formula>-500</formula>
    </cfRule>
  </conditionalFormatting>
  <conditionalFormatting sqref="P118 W117:W118 I118">
    <cfRule type="cellIs" dxfId="85" priority="32" stopIfTrue="1" operator="lessThan">
      <formula>-500</formula>
    </cfRule>
  </conditionalFormatting>
  <conditionalFormatting sqref="H47">
    <cfRule type="cellIs" dxfId="84" priority="24" stopIfTrue="1" operator="greaterThan">
      <formula>$F$47</formula>
    </cfRule>
  </conditionalFormatting>
  <conditionalFormatting sqref="H50">
    <cfRule type="cellIs" dxfId="83" priority="22" stopIfTrue="1" operator="greaterThan">
      <formula>$F$50</formula>
    </cfRule>
  </conditionalFormatting>
  <conditionalFormatting sqref="R53">
    <cfRule type="cellIs" dxfId="82" priority="21" stopIfTrue="1" operator="greaterThan">
      <formula>100</formula>
    </cfRule>
  </conditionalFormatting>
  <conditionalFormatting sqref="R100">
    <cfRule type="expression" dxfId="81" priority="17" stopIfTrue="1">
      <formula>AND(C100&gt;5000,R100&lt;50)</formula>
    </cfRule>
  </conditionalFormatting>
  <conditionalFormatting sqref="R104">
    <cfRule type="expression" dxfId="80" priority="16" stopIfTrue="1">
      <formula>AND(C104&gt;5000,R104&lt;50)</formula>
    </cfRule>
  </conditionalFormatting>
  <conditionalFormatting sqref="R105">
    <cfRule type="expression" dxfId="79" priority="15" stopIfTrue="1">
      <formula>AND(C105&gt;5000,R105&lt;50)</formula>
    </cfRule>
  </conditionalFormatting>
  <conditionalFormatting sqref="R106">
    <cfRule type="expression" dxfId="78" priority="14" stopIfTrue="1">
      <formula>AND(C106&gt;5000,R106&lt;50)</formula>
    </cfRule>
  </conditionalFormatting>
  <conditionalFormatting sqref="R107">
    <cfRule type="expression" dxfId="77" priority="13" stopIfTrue="1">
      <formula>AND(C107&gt;5000,R107&lt;50)</formula>
    </cfRule>
  </conditionalFormatting>
  <conditionalFormatting sqref="R76">
    <cfRule type="expression" dxfId="76" priority="12" stopIfTrue="1">
      <formula>AND(C76&gt;5000,R76&lt;50)</formula>
    </cfRule>
  </conditionalFormatting>
  <conditionalFormatting sqref="R74">
    <cfRule type="expression" dxfId="75" priority="11" stopIfTrue="1">
      <formula>AND(C74&gt;5000,R74&lt;50)</formula>
    </cfRule>
  </conditionalFormatting>
  <conditionalFormatting sqref="R73">
    <cfRule type="expression" dxfId="74" priority="10" stopIfTrue="1">
      <formula>AND(C73&gt;5000,R73&lt;50)</formula>
    </cfRule>
  </conditionalFormatting>
  <conditionalFormatting sqref="R48">
    <cfRule type="expression" dxfId="73" priority="9" stopIfTrue="1">
      <formula>AND(C48&gt;5000,R48&lt;50)</formula>
    </cfRule>
  </conditionalFormatting>
  <conditionalFormatting sqref="J122:J125">
    <cfRule type="expression" dxfId="72" priority="1">
      <formula>(L119+L120-M120)/M120&gt;0.1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63:N66 C70:N71 C73:N76 R73:V76 R70:V71 R63:V66 C13:N16 C19:N29 C33:N36 C39:N41 C46:N50 C53:N57 R53:V57 R46:V50 R39:V41 R33:V36 R19:V29 R13:V16 R60:V61 C60:N61 R87:V88 W117:W120 P118:P123"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13:A1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5"/>
  <sheetViews>
    <sheetView showGridLines="0" zoomScaleNormal="100" workbookViewId="0">
      <pane xSplit="2" ySplit="8" topLeftCell="I9" activePane="bottomRight" state="frozen"/>
      <selection sqref="A1:F1"/>
      <selection pane="topRight" sqref="A1:F1"/>
      <selection pane="bottomLeft" sqref="A1:F1"/>
      <selection pane="bottomRight" sqref="A1:F1"/>
    </sheetView>
  </sheetViews>
  <sheetFormatPr defaultColWidth="0" defaultRowHeight="9" zeroHeight="1"/>
  <cols>
    <col min="1" max="1" width="5.42578125" style="143" customWidth="1"/>
    <col min="2" max="2" width="30.7109375" style="143" customWidth="1"/>
    <col min="3" max="4" width="8.5703125" style="143" customWidth="1"/>
    <col min="5" max="11" width="9.28515625" style="143" customWidth="1"/>
    <col min="12" max="12" width="8" style="143" customWidth="1"/>
    <col min="13" max="13" width="9.28515625" style="143" customWidth="1"/>
    <col min="14" max="14" width="8.42578125" style="143" customWidth="1"/>
    <col min="15" max="22" width="9.28515625" style="143" customWidth="1"/>
    <col min="23" max="23" width="8.42578125" style="143" customWidth="1"/>
    <col min="24" max="24" width="8.28515625" style="143" customWidth="1"/>
    <col min="25" max="25" width="9.28515625" style="143" customWidth="1"/>
    <col min="26" max="26" width="10.5703125" style="143" customWidth="1"/>
    <col min="27" max="27" width="9.28515625" style="143" customWidth="1"/>
    <col min="28" max="28" width="8" style="143" customWidth="1"/>
    <col min="29" max="29" width="11.42578125" style="143" customWidth="1"/>
    <col min="30" max="30" width="25.5703125" style="143" customWidth="1"/>
    <col min="31" max="16384" width="0" style="143" hidden="1"/>
  </cols>
  <sheetData>
    <row r="1" spans="1:30" s="168" customFormat="1" ht="18.75" customHeight="1">
      <c r="A1" s="167"/>
      <c r="B1" s="77"/>
      <c r="C1" s="76" t="str">
        <f>"Motpartsredovisning "&amp;År&amp;", miljoner kr"</f>
        <v>Motpartsredovisning 2022, miljoner kr</v>
      </c>
      <c r="D1" s="77"/>
      <c r="E1" s="167"/>
      <c r="F1" s="167"/>
      <c r="G1" s="167"/>
      <c r="H1" s="167"/>
      <c r="I1" s="167"/>
      <c r="J1" s="510" t="s">
        <v>453</v>
      </c>
      <c r="K1" s="511" t="str">
        <f>Information!A2</f>
        <v>RIKSTOTAL</v>
      </c>
      <c r="L1" s="167"/>
      <c r="M1" s="167"/>
      <c r="N1" s="76"/>
      <c r="O1" s="167"/>
      <c r="P1" s="167"/>
      <c r="Q1" s="167"/>
      <c r="R1" s="167"/>
      <c r="S1" s="76" t="str">
        <f>"Motpartsredovisning "&amp;År&amp;", miljoner kr"</f>
        <v>Motpartsredovisning 2022, miljoner kr</v>
      </c>
      <c r="T1" s="167"/>
      <c r="U1" s="167"/>
      <c r="V1" s="167"/>
      <c r="W1" s="167"/>
      <c r="X1" s="167"/>
      <c r="Y1" s="167"/>
      <c r="Z1" s="510" t="s">
        <v>453</v>
      </c>
      <c r="AA1" s="511" t="str">
        <f>Information!A2</f>
        <v>RIKSTOTAL</v>
      </c>
      <c r="AB1" s="167"/>
      <c r="AC1" s="167"/>
      <c r="AD1" s="2196"/>
    </row>
    <row r="2" spans="1:30" s="168" customFormat="1" ht="11.25" customHeight="1">
      <c r="A2" s="2196"/>
      <c r="B2" s="2196"/>
      <c r="C2" s="2196"/>
      <c r="D2" s="2196"/>
      <c r="E2" s="2196"/>
      <c r="F2" s="2196"/>
      <c r="G2" s="2196"/>
      <c r="H2" s="2196"/>
      <c r="I2" s="2196"/>
      <c r="J2" s="2196"/>
      <c r="K2" s="2196"/>
      <c r="L2" s="2196"/>
      <c r="M2" s="2196"/>
      <c r="N2" s="2196"/>
      <c r="O2" s="2196"/>
      <c r="P2" s="2196"/>
      <c r="Q2" s="2196"/>
      <c r="R2" s="2196"/>
      <c r="S2" s="2196"/>
      <c r="T2" s="2196"/>
      <c r="U2" s="2196"/>
      <c r="V2" s="2196"/>
      <c r="W2" s="2196"/>
      <c r="X2" s="2196"/>
      <c r="Y2" s="2196"/>
      <c r="Z2" s="2196"/>
      <c r="AA2" s="2196"/>
      <c r="AB2" s="2196"/>
      <c r="AC2" s="2196"/>
      <c r="AD2" s="2196"/>
    </row>
    <row r="3" spans="1:30" ht="11.25" customHeight="1" thickBot="1">
      <c r="A3" s="2196"/>
      <c r="B3" s="2196"/>
      <c r="C3" s="2196"/>
      <c r="D3" s="2196"/>
      <c r="E3" s="2196"/>
      <c r="F3" s="2196"/>
      <c r="G3" s="2196"/>
      <c r="H3" s="2196"/>
      <c r="I3" s="2196"/>
      <c r="J3" s="2196"/>
      <c r="K3" s="2196"/>
      <c r="L3" s="2196"/>
      <c r="M3" s="2196"/>
      <c r="N3" s="2196"/>
      <c r="O3" s="2196"/>
      <c r="P3" s="2196"/>
      <c r="Q3" s="2196"/>
      <c r="R3" s="2196"/>
      <c r="S3" s="2196"/>
      <c r="T3" s="2196"/>
      <c r="U3" s="2196"/>
      <c r="V3" s="2196"/>
      <c r="W3" s="2196"/>
      <c r="X3" s="2196"/>
      <c r="Y3" s="2196"/>
      <c r="Z3" s="2196"/>
      <c r="AA3" s="2196"/>
      <c r="AB3" s="2196"/>
      <c r="AC3" s="2196"/>
      <c r="AD3" s="2196"/>
    </row>
    <row r="4" spans="1:30" s="1275" customFormat="1" ht="18" customHeight="1">
      <c r="A4" s="1268" t="s">
        <v>615</v>
      </c>
      <c r="B4" s="1269" t="s">
        <v>13</v>
      </c>
      <c r="C4" s="1258"/>
      <c r="D4" s="1276" t="s">
        <v>786</v>
      </c>
      <c r="E4" s="1269"/>
      <c r="F4" s="1269"/>
      <c r="G4" s="1269"/>
      <c r="H4" s="1269"/>
      <c r="I4" s="1269"/>
      <c r="J4" s="1269"/>
      <c r="K4" s="1269"/>
      <c r="L4" s="1269"/>
      <c r="M4" s="1270"/>
      <c r="N4" s="1276" t="s">
        <v>763</v>
      </c>
      <c r="O4" s="1269"/>
      <c r="P4" s="1269"/>
      <c r="Q4" s="1269"/>
      <c r="R4" s="1269"/>
      <c r="S4" s="1269"/>
      <c r="T4" s="1269"/>
      <c r="U4" s="1269"/>
      <c r="V4" s="1269"/>
      <c r="W4" s="1269"/>
      <c r="X4" s="1271"/>
      <c r="Y4" s="1277" t="s">
        <v>540</v>
      </c>
      <c r="Z4" s="1272"/>
      <c r="AA4" s="1273"/>
      <c r="AB4" s="1273"/>
      <c r="AC4" s="1274"/>
      <c r="AD4" s="2196"/>
    </row>
    <row r="5" spans="1:30" ht="36.75" customHeight="1">
      <c r="A5" s="777" t="s">
        <v>618</v>
      </c>
      <c r="B5" s="1025"/>
      <c r="C5" s="1379" t="s">
        <v>497</v>
      </c>
      <c r="D5" s="1026" t="s">
        <v>464</v>
      </c>
      <c r="E5" s="1020" t="s">
        <v>489</v>
      </c>
      <c r="F5" s="1020" t="s">
        <v>465</v>
      </c>
      <c r="G5" s="1020" t="s">
        <v>124</v>
      </c>
      <c r="H5" s="1020" t="s">
        <v>1038</v>
      </c>
      <c r="I5" s="1020" t="s">
        <v>466</v>
      </c>
      <c r="J5" s="1020" t="s">
        <v>804</v>
      </c>
      <c r="K5" s="1020" t="s">
        <v>1090</v>
      </c>
      <c r="L5" s="1020" t="s">
        <v>150</v>
      </c>
      <c r="M5" s="1022" t="s">
        <v>507</v>
      </c>
      <c r="N5" s="1347" t="s">
        <v>497</v>
      </c>
      <c r="O5" s="1020" t="s">
        <v>464</v>
      </c>
      <c r="P5" s="1259" t="s">
        <v>489</v>
      </c>
      <c r="Q5" s="1259" t="s">
        <v>465</v>
      </c>
      <c r="R5" s="1259" t="s">
        <v>124</v>
      </c>
      <c r="S5" s="1259" t="s">
        <v>1038</v>
      </c>
      <c r="T5" s="1259" t="s">
        <v>1090</v>
      </c>
      <c r="U5" s="1259" t="s">
        <v>805</v>
      </c>
      <c r="V5" s="1259" t="s">
        <v>804</v>
      </c>
      <c r="W5" s="1259" t="s">
        <v>150</v>
      </c>
      <c r="X5" s="1019" t="s">
        <v>507</v>
      </c>
      <c r="Y5" s="2085" t="s">
        <v>1215</v>
      </c>
      <c r="Z5" s="1020" t="s">
        <v>1094</v>
      </c>
      <c r="AA5" s="1021" t="s">
        <v>1216</v>
      </c>
      <c r="AB5" s="1021" t="s">
        <v>467</v>
      </c>
      <c r="AC5" s="1022" t="s">
        <v>468</v>
      </c>
      <c r="AD5" s="2196"/>
    </row>
    <row r="6" spans="1:30" ht="30.75" customHeight="1">
      <c r="A6" s="1092"/>
      <c r="B6" s="2178" t="s">
        <v>1138</v>
      </c>
      <c r="C6" s="1346"/>
      <c r="D6" s="1534" t="s">
        <v>764</v>
      </c>
      <c r="E6" s="1535" t="s">
        <v>765</v>
      </c>
      <c r="F6" s="1535" t="s">
        <v>766</v>
      </c>
      <c r="G6" s="1535" t="s">
        <v>767</v>
      </c>
      <c r="H6" s="1535" t="s">
        <v>768</v>
      </c>
      <c r="I6" s="1535" t="s">
        <v>769</v>
      </c>
      <c r="J6" s="1535" t="s">
        <v>770</v>
      </c>
      <c r="K6" s="1535" t="s">
        <v>771</v>
      </c>
      <c r="L6" s="1535" t="s">
        <v>772</v>
      </c>
      <c r="M6" s="1023"/>
      <c r="N6" s="1348"/>
      <c r="O6" s="1534" t="s">
        <v>764</v>
      </c>
      <c r="P6" s="1535" t="s">
        <v>765</v>
      </c>
      <c r="Q6" s="1535" t="s">
        <v>766</v>
      </c>
      <c r="R6" s="1535" t="s">
        <v>767</v>
      </c>
      <c r="S6" s="1535" t="s">
        <v>768</v>
      </c>
      <c r="T6" s="1535" t="s">
        <v>771</v>
      </c>
      <c r="U6" s="1535" t="s">
        <v>769</v>
      </c>
      <c r="V6" s="1535" t="s">
        <v>770</v>
      </c>
      <c r="W6" s="1535" t="s">
        <v>772</v>
      </c>
      <c r="X6" s="1023"/>
      <c r="Y6" s="2086" t="s">
        <v>1039</v>
      </c>
      <c r="Z6" s="1539" t="s">
        <v>773</v>
      </c>
      <c r="AA6" s="1535" t="s">
        <v>774</v>
      </c>
      <c r="AB6" s="1535" t="s">
        <v>132</v>
      </c>
      <c r="AC6" s="2350" t="s">
        <v>1126</v>
      </c>
      <c r="AD6" s="2196"/>
    </row>
    <row r="7" spans="1:30" ht="4.5" customHeight="1">
      <c r="A7" s="1028"/>
      <c r="B7" s="1536"/>
      <c r="C7" s="1537"/>
      <c r="D7" s="1529"/>
      <c r="E7" s="1530"/>
      <c r="F7" s="1530"/>
      <c r="G7" s="1530"/>
      <c r="H7" s="1530"/>
      <c r="I7" s="1530"/>
      <c r="J7" s="1530"/>
      <c r="K7" s="1530"/>
      <c r="L7" s="1538"/>
      <c r="M7" s="1023"/>
      <c r="N7" s="1528"/>
      <c r="O7" s="1529"/>
      <c r="P7" s="1530"/>
      <c r="Q7" s="1530"/>
      <c r="R7" s="1530"/>
      <c r="S7" s="1530"/>
      <c r="T7" s="1530"/>
      <c r="U7" s="1531"/>
      <c r="V7" s="1530"/>
      <c r="W7" s="553"/>
      <c r="X7" s="1023"/>
      <c r="Y7" s="1540"/>
      <c r="Z7" s="1541"/>
      <c r="AA7" s="1541"/>
      <c r="AB7" s="1542"/>
      <c r="AC7" s="1543"/>
      <c r="AD7" s="2196"/>
    </row>
    <row r="8" spans="1:30" ht="12" hidden="1" customHeight="1">
      <c r="A8" s="1027"/>
      <c r="B8" s="1532"/>
      <c r="C8" s="1533"/>
      <c r="D8" s="1518"/>
      <c r="E8" s="1519"/>
      <c r="F8" s="1519"/>
      <c r="G8" s="1519"/>
      <c r="H8" s="1519"/>
      <c r="I8" s="1519"/>
      <c r="J8" s="1519"/>
      <c r="K8" s="1519"/>
      <c r="L8" s="1520"/>
      <c r="M8" s="1024"/>
      <c r="N8" s="1521"/>
      <c r="O8" s="1518"/>
      <c r="P8" s="1519"/>
      <c r="Q8" s="1519"/>
      <c r="R8" s="1519"/>
      <c r="S8" s="1519"/>
      <c r="T8" s="1519"/>
      <c r="U8" s="1522"/>
      <c r="V8" s="1519"/>
      <c r="W8" s="1523"/>
      <c r="X8" s="1024"/>
      <c r="Y8" s="1524"/>
      <c r="Z8" s="1525"/>
      <c r="AA8" s="1525"/>
      <c r="AB8" s="1526"/>
      <c r="AC8" s="1527"/>
      <c r="AD8" s="2196"/>
    </row>
    <row r="9" spans="1:30" ht="14.25" customHeight="1">
      <c r="A9" s="1465">
        <v>190</v>
      </c>
      <c r="B9" s="1030" t="s">
        <v>15</v>
      </c>
      <c r="C9" s="82">
        <f>Drift!F17</f>
        <v>246.80700000000002</v>
      </c>
      <c r="D9" s="65">
        <v>4.3040000000000003</v>
      </c>
      <c r="E9" s="65">
        <v>1.851</v>
      </c>
      <c r="F9" s="65">
        <v>12.114000000000001</v>
      </c>
      <c r="G9" s="65">
        <v>215.797</v>
      </c>
      <c r="H9" s="65">
        <v>3.6150000000000002</v>
      </c>
      <c r="I9" s="65">
        <v>1.478</v>
      </c>
      <c r="J9" s="1195">
        <v>0</v>
      </c>
      <c r="K9" s="184">
        <v>7.6870000000000003</v>
      </c>
      <c r="L9" s="184">
        <v>-3.9E-2</v>
      </c>
      <c r="M9" s="432">
        <f>C9-SUM(D9:L9)</f>
        <v>0</v>
      </c>
      <c r="N9" s="433">
        <f>Drift!H17</f>
        <v>654.8850000000001</v>
      </c>
      <c r="O9" s="65">
        <v>527.18100000000004</v>
      </c>
      <c r="P9" s="65">
        <v>5.2649999999999997</v>
      </c>
      <c r="Q9" s="65">
        <v>40.253999999999998</v>
      </c>
      <c r="R9" s="65">
        <v>11.769</v>
      </c>
      <c r="S9" s="65">
        <v>9.1189999999999998</v>
      </c>
      <c r="T9" s="65">
        <v>43.332000000000001</v>
      </c>
      <c r="U9" s="65">
        <v>3.1440000000000001</v>
      </c>
      <c r="V9" s="65">
        <v>13.186</v>
      </c>
      <c r="W9" s="65">
        <v>1.633</v>
      </c>
      <c r="X9" s="432">
        <f>N9-SUM(O9:W9)</f>
        <v>1.9999999999527063E-3</v>
      </c>
      <c r="Y9" s="435">
        <v>179.18199999999999</v>
      </c>
      <c r="Z9" s="65">
        <v>3.9E-2</v>
      </c>
      <c r="AA9" s="65">
        <v>157.45599999999999</v>
      </c>
      <c r="AB9" s="65">
        <v>1.3149999999999999</v>
      </c>
      <c r="AC9" s="98">
        <v>46.012999999999998</v>
      </c>
      <c r="AD9" s="2196"/>
    </row>
    <row r="10" spans="1:30" ht="13.15" customHeight="1">
      <c r="A10" s="549" t="s">
        <v>225</v>
      </c>
      <c r="B10" s="555" t="s">
        <v>149</v>
      </c>
      <c r="C10" s="82">
        <f>Drift!F30</f>
        <v>10577.278999999999</v>
      </c>
      <c r="D10" s="53">
        <v>84.846000000000004</v>
      </c>
      <c r="E10" s="53">
        <v>1462.261</v>
      </c>
      <c r="F10" s="53">
        <v>4287.607</v>
      </c>
      <c r="G10" s="53">
        <v>600.78700000000003</v>
      </c>
      <c r="H10" s="53">
        <v>7.3460000000000001</v>
      </c>
      <c r="I10" s="53">
        <v>50.131999999999998</v>
      </c>
      <c r="J10" s="1189">
        <v>0</v>
      </c>
      <c r="K10" s="54">
        <v>4077.3679999999999</v>
      </c>
      <c r="L10" s="184">
        <v>6.9320000000000004</v>
      </c>
      <c r="M10" s="432">
        <f t="shared" ref="M10:M39" si="0">C10-SUM(D10:L10)</f>
        <v>0</v>
      </c>
      <c r="N10" s="433">
        <f>Drift!H30</f>
        <v>3517.922</v>
      </c>
      <c r="O10" s="53">
        <v>640.10299999999995</v>
      </c>
      <c r="P10" s="53">
        <v>733.17700000000002</v>
      </c>
      <c r="Q10" s="53">
        <v>391.99900000000002</v>
      </c>
      <c r="R10" s="53">
        <v>37.957000000000001</v>
      </c>
      <c r="S10" s="53">
        <v>7.1980000000000004</v>
      </c>
      <c r="T10" s="53">
        <v>937.32299999999998</v>
      </c>
      <c r="U10" s="53">
        <v>719.67700000000002</v>
      </c>
      <c r="V10" s="53">
        <v>42.868000000000002</v>
      </c>
      <c r="W10" s="53">
        <v>7.6189999999999998</v>
      </c>
      <c r="X10" s="432">
        <f t="shared" ref="X10:X39" si="1">N10-SUM(O10:W10)</f>
        <v>9.9999999974897946E-4</v>
      </c>
      <c r="Y10" s="436">
        <v>478.01100000000002</v>
      </c>
      <c r="Z10" s="53">
        <v>26.292000000000002</v>
      </c>
      <c r="AA10" s="53">
        <v>1702.2470000000001</v>
      </c>
      <c r="AB10" s="53">
        <v>117.667</v>
      </c>
      <c r="AC10" s="176">
        <v>1918.39</v>
      </c>
      <c r="AD10" s="2196"/>
    </row>
    <row r="11" spans="1:30" ht="13.15" customHeight="1">
      <c r="A11" s="549">
        <v>339</v>
      </c>
      <c r="B11" s="555" t="s">
        <v>70</v>
      </c>
      <c r="C11" s="82">
        <f>Drift!F37</f>
        <v>274.137</v>
      </c>
      <c r="D11" s="65">
        <v>61.975000000000001</v>
      </c>
      <c r="E11" s="65">
        <v>19.114000000000001</v>
      </c>
      <c r="F11" s="65">
        <v>123.599</v>
      </c>
      <c r="G11" s="65">
        <v>8.3070000000000004</v>
      </c>
      <c r="H11" s="65">
        <v>0.75700000000000001</v>
      </c>
      <c r="I11" s="65">
        <v>1.716</v>
      </c>
      <c r="J11" s="1195">
        <v>0</v>
      </c>
      <c r="K11" s="184">
        <v>58.531999999999996</v>
      </c>
      <c r="L11" s="184">
        <v>0.13700000000000001</v>
      </c>
      <c r="M11" s="432">
        <f t="shared" si="0"/>
        <v>0</v>
      </c>
      <c r="N11" s="433">
        <f>Drift!H37</f>
        <v>1918.0400000000002</v>
      </c>
      <c r="O11" s="65">
        <v>1174.797</v>
      </c>
      <c r="P11" s="65">
        <v>282.56200000000001</v>
      </c>
      <c r="Q11" s="65">
        <v>365.363</v>
      </c>
      <c r="R11" s="65">
        <v>0.54900000000000004</v>
      </c>
      <c r="S11" s="65">
        <v>32.509</v>
      </c>
      <c r="T11" s="65">
        <v>5.2249999999999996</v>
      </c>
      <c r="U11" s="65">
        <v>21.225999999999999</v>
      </c>
      <c r="V11" s="65">
        <v>35.42</v>
      </c>
      <c r="W11" s="65">
        <v>0.39</v>
      </c>
      <c r="X11" s="432">
        <f t="shared" si="1"/>
        <v>-9.9999999974897946E-4</v>
      </c>
      <c r="Y11" s="435">
        <v>18.077000000000002</v>
      </c>
      <c r="Z11" s="65">
        <v>5.1260000000000003</v>
      </c>
      <c r="AA11" s="65">
        <v>694.43499999999995</v>
      </c>
      <c r="AB11" s="65">
        <v>12.073</v>
      </c>
      <c r="AC11" s="98">
        <v>409.18299999999999</v>
      </c>
      <c r="AD11" s="2196"/>
    </row>
    <row r="12" spans="1:30" ht="13.15" customHeight="1">
      <c r="A12" s="549">
        <v>359</v>
      </c>
      <c r="B12" s="555" t="s">
        <v>133</v>
      </c>
      <c r="C12" s="82">
        <f>Drift!F42</f>
        <v>817.09700000000009</v>
      </c>
      <c r="D12" s="65">
        <v>205.94499999999999</v>
      </c>
      <c r="E12" s="65">
        <v>166.75899999999999</v>
      </c>
      <c r="F12" s="65">
        <v>404.73500000000001</v>
      </c>
      <c r="G12" s="65">
        <v>21.282</v>
      </c>
      <c r="H12" s="65">
        <v>0.114</v>
      </c>
      <c r="I12" s="65">
        <v>0.223</v>
      </c>
      <c r="J12" s="1195">
        <v>0</v>
      </c>
      <c r="K12" s="184">
        <v>17.888000000000002</v>
      </c>
      <c r="L12" s="184">
        <v>0.151</v>
      </c>
      <c r="M12" s="432">
        <f t="shared" si="0"/>
        <v>0</v>
      </c>
      <c r="N12" s="433">
        <f>Drift!H42</f>
        <v>2288.623</v>
      </c>
      <c r="O12" s="65">
        <v>2059.0219999999999</v>
      </c>
      <c r="P12" s="65">
        <v>85.850999999999999</v>
      </c>
      <c r="Q12" s="65">
        <v>128.52500000000001</v>
      </c>
      <c r="R12" s="65">
        <v>2.9670000000000001</v>
      </c>
      <c r="S12" s="65">
        <v>2.7E-2</v>
      </c>
      <c r="T12" s="65">
        <v>0.24199999999999999</v>
      </c>
      <c r="U12" s="65">
        <v>2.0510000000000002</v>
      </c>
      <c r="V12" s="65">
        <v>9.5050000000000008</v>
      </c>
      <c r="W12" s="65">
        <v>0.433</v>
      </c>
      <c r="X12" s="432">
        <f t="shared" si="1"/>
        <v>0</v>
      </c>
      <c r="Y12" s="435">
        <v>23.289000000000001</v>
      </c>
      <c r="Z12" s="65">
        <v>2.3159999999999998</v>
      </c>
      <c r="AA12" s="65">
        <v>236.95599999999999</v>
      </c>
      <c r="AB12" s="65">
        <v>2.3660000000000001</v>
      </c>
      <c r="AC12" s="98">
        <v>132.352</v>
      </c>
      <c r="AD12" s="2196"/>
    </row>
    <row r="13" spans="1:30" ht="13.15" customHeight="1">
      <c r="A13" s="549">
        <v>407</v>
      </c>
      <c r="B13" s="555" t="s">
        <v>79</v>
      </c>
      <c r="C13" s="82">
        <f>Drift!F47</f>
        <v>17780.739000000001</v>
      </c>
      <c r="D13" s="53">
        <v>4690.9790000000003</v>
      </c>
      <c r="E13" s="53">
        <v>19.143999999999998</v>
      </c>
      <c r="F13" s="53">
        <v>12597.816999999999</v>
      </c>
      <c r="G13" s="53">
        <v>449.86399999999998</v>
      </c>
      <c r="H13" s="53">
        <v>1.181</v>
      </c>
      <c r="I13" s="53">
        <v>19.492999999999999</v>
      </c>
      <c r="J13" s="1189">
        <v>0</v>
      </c>
      <c r="K13" s="54">
        <v>2.089</v>
      </c>
      <c r="L13" s="184">
        <v>0.17199999999999999</v>
      </c>
      <c r="M13" s="1226">
        <f>C13-SUM(D13:L13)</f>
        <v>0</v>
      </c>
      <c r="N13" s="433">
        <f>Drift!H47</f>
        <v>44.933</v>
      </c>
      <c r="O13" s="53">
        <v>7.1269999999999998</v>
      </c>
      <c r="P13" s="53">
        <v>1.0999999999999999E-2</v>
      </c>
      <c r="Q13" s="53">
        <v>29.911999999999999</v>
      </c>
      <c r="R13" s="53">
        <v>-3.9E-2</v>
      </c>
      <c r="S13" s="53">
        <v>7.1999999999999995E-2</v>
      </c>
      <c r="T13" s="53">
        <v>5.1999999999999998E-2</v>
      </c>
      <c r="U13" s="53">
        <v>3.9180000000000001</v>
      </c>
      <c r="V13" s="53">
        <v>2.653</v>
      </c>
      <c r="W13" s="53">
        <v>1.2290000000000001</v>
      </c>
      <c r="X13" s="432">
        <f t="shared" si="1"/>
        <v>-1.9999999999953388E-3</v>
      </c>
      <c r="Y13" s="436">
        <v>441.07299999999998</v>
      </c>
      <c r="Z13" s="53">
        <v>4.5529999999999999</v>
      </c>
      <c r="AA13" s="53">
        <v>5164.7240000000002</v>
      </c>
      <c r="AB13" s="53">
        <v>11.315</v>
      </c>
      <c r="AC13" s="98">
        <v>1078.1990000000001</v>
      </c>
      <c r="AD13" s="2196"/>
    </row>
    <row r="14" spans="1:30" ht="13.15" customHeight="1">
      <c r="A14" s="549">
        <v>412</v>
      </c>
      <c r="B14" s="555" t="s">
        <v>80</v>
      </c>
      <c r="C14" s="82">
        <f>Drift!F48</f>
        <v>588.01700000000005</v>
      </c>
      <c r="D14" s="53">
        <v>79.631</v>
      </c>
      <c r="E14" s="53">
        <v>0</v>
      </c>
      <c r="F14" s="53">
        <v>503.88799999999998</v>
      </c>
      <c r="G14" s="53">
        <v>4.484</v>
      </c>
      <c r="H14" s="53">
        <v>8.0000000000000002E-3</v>
      </c>
      <c r="I14" s="53">
        <v>6.0000000000000001E-3</v>
      </c>
      <c r="J14" s="1189">
        <v>0</v>
      </c>
      <c r="K14" s="54">
        <v>0</v>
      </c>
      <c r="L14" s="184">
        <v>0</v>
      </c>
      <c r="M14" s="1226">
        <f t="shared" si="0"/>
        <v>0</v>
      </c>
      <c r="N14" s="433">
        <f>Drift!H48</f>
        <v>0.98499999999999999</v>
      </c>
      <c r="O14" s="53">
        <v>0.03</v>
      </c>
      <c r="P14" s="53">
        <v>0</v>
      </c>
      <c r="Q14" s="53">
        <v>0.93799999999999994</v>
      </c>
      <c r="R14" s="53">
        <v>0</v>
      </c>
      <c r="S14" s="53">
        <v>4.0000000000000001E-3</v>
      </c>
      <c r="T14" s="53">
        <v>0</v>
      </c>
      <c r="U14" s="53">
        <v>1.2E-2</v>
      </c>
      <c r="V14" s="53">
        <v>1E-3</v>
      </c>
      <c r="W14" s="53">
        <v>0</v>
      </c>
      <c r="X14" s="432">
        <f t="shared" si="1"/>
        <v>0</v>
      </c>
      <c r="Y14" s="436">
        <v>4.3529999999999998</v>
      </c>
      <c r="Z14" s="53">
        <v>0</v>
      </c>
      <c r="AA14" s="53">
        <v>21.629000000000001</v>
      </c>
      <c r="AB14" s="53">
        <v>3.0000000000000001E-3</v>
      </c>
      <c r="AC14" s="98">
        <v>28.884</v>
      </c>
      <c r="AD14" s="2196"/>
    </row>
    <row r="15" spans="1:30" ht="13.15" customHeight="1">
      <c r="A15" s="549">
        <v>425</v>
      </c>
      <c r="B15" s="555" t="s">
        <v>82</v>
      </c>
      <c r="C15" s="82">
        <f>Drift!F50</f>
        <v>2732.3739999999998</v>
      </c>
      <c r="D15" s="53">
        <v>723.33399999999995</v>
      </c>
      <c r="E15" s="53">
        <v>0.14899999999999999</v>
      </c>
      <c r="F15" s="53">
        <v>1770.896</v>
      </c>
      <c r="G15" s="53">
        <v>178.21899999999999</v>
      </c>
      <c r="H15" s="53">
        <v>3.113</v>
      </c>
      <c r="I15" s="53">
        <v>55.674999999999997</v>
      </c>
      <c r="J15" s="1189">
        <v>0</v>
      </c>
      <c r="K15" s="54">
        <v>0.95799999999999996</v>
      </c>
      <c r="L15" s="184">
        <v>0.03</v>
      </c>
      <c r="M15" s="1226">
        <f>C15-SUM(D15:L15)</f>
        <v>0</v>
      </c>
      <c r="N15" s="433">
        <f>Drift!H50</f>
        <v>3.2749999999999999</v>
      </c>
      <c r="O15" s="53">
        <v>0.22600000000000001</v>
      </c>
      <c r="P15" s="53">
        <v>1.419</v>
      </c>
      <c r="Q15" s="53">
        <v>0.44600000000000001</v>
      </c>
      <c r="R15" s="53">
        <v>8.3000000000000004E-2</v>
      </c>
      <c r="S15" s="53">
        <v>1.2999999999999999E-2</v>
      </c>
      <c r="T15" s="53">
        <v>2.1000000000000001E-2</v>
      </c>
      <c r="U15" s="53">
        <v>0.69299999999999995</v>
      </c>
      <c r="V15" s="53">
        <v>0.375</v>
      </c>
      <c r="W15" s="53">
        <v>0</v>
      </c>
      <c r="X15" s="432">
        <f t="shared" si="1"/>
        <v>-1.000000000000334E-3</v>
      </c>
      <c r="Y15" s="436">
        <v>182.791</v>
      </c>
      <c r="Z15" s="53">
        <v>8.9999999999999993E-3</v>
      </c>
      <c r="AA15" s="53">
        <v>786.27200000000005</v>
      </c>
      <c r="AB15" s="53">
        <v>0.73799999999999999</v>
      </c>
      <c r="AC15" s="98">
        <v>148.62799999999999</v>
      </c>
      <c r="AD15" s="2196"/>
    </row>
    <row r="16" spans="1:30" ht="20.25" customHeight="1">
      <c r="A16" s="549">
        <v>419</v>
      </c>
      <c r="B16" s="555" t="s">
        <v>155</v>
      </c>
      <c r="C16" s="82">
        <f>SUM(Drift!F46,Drift!F49)</f>
        <v>85.834000000000003</v>
      </c>
      <c r="D16" s="53">
        <v>41.331000000000003</v>
      </c>
      <c r="E16" s="53">
        <v>1E-3</v>
      </c>
      <c r="F16" s="53">
        <v>41.601999999999997</v>
      </c>
      <c r="G16" s="53">
        <v>2.4550000000000001</v>
      </c>
      <c r="H16" s="53">
        <v>0.31</v>
      </c>
      <c r="I16" s="53">
        <v>0.123</v>
      </c>
      <c r="J16" s="1189">
        <v>0</v>
      </c>
      <c r="K16" s="54">
        <v>1.2999999999999999E-2</v>
      </c>
      <c r="L16" s="184">
        <v>0</v>
      </c>
      <c r="M16" s="1226">
        <f t="shared" si="0"/>
        <v>-1.0000000000047748E-3</v>
      </c>
      <c r="N16" s="433">
        <f>SUM(Drift!H46,Drift!H49)</f>
        <v>1.9340000000000002</v>
      </c>
      <c r="O16" s="53">
        <v>1.74</v>
      </c>
      <c r="P16" s="53">
        <v>0</v>
      </c>
      <c r="Q16" s="53">
        <v>5.0000000000000001E-3</v>
      </c>
      <c r="R16" s="53">
        <v>7.0000000000000001E-3</v>
      </c>
      <c r="S16" s="53">
        <v>3.0000000000000001E-3</v>
      </c>
      <c r="T16" s="53">
        <v>2E-3</v>
      </c>
      <c r="U16" s="53">
        <v>1E-3</v>
      </c>
      <c r="V16" s="53">
        <v>0.17599999999999999</v>
      </c>
      <c r="W16" s="53">
        <v>0</v>
      </c>
      <c r="X16" s="432">
        <f t="shared" si="1"/>
        <v>0</v>
      </c>
      <c r="Y16" s="436">
        <v>2.222</v>
      </c>
      <c r="Z16" s="53">
        <v>1.454</v>
      </c>
      <c r="AA16" s="53">
        <v>22.462</v>
      </c>
      <c r="AB16" s="53">
        <v>-0.42899999999999999</v>
      </c>
      <c r="AC16" s="98">
        <v>8.4719999999999995</v>
      </c>
      <c r="AD16" s="2196"/>
    </row>
    <row r="17" spans="1:30" ht="13.15" customHeight="1">
      <c r="A17" s="549">
        <v>435</v>
      </c>
      <c r="B17" s="555" t="s">
        <v>473</v>
      </c>
      <c r="C17" s="82">
        <f>Drift!F53</f>
        <v>1230.723</v>
      </c>
      <c r="D17" s="53">
        <v>337.55200000000002</v>
      </c>
      <c r="E17" s="53">
        <v>0.433</v>
      </c>
      <c r="F17" s="53">
        <v>822.94</v>
      </c>
      <c r="G17" s="53">
        <v>52.192</v>
      </c>
      <c r="H17" s="53">
        <v>1.387</v>
      </c>
      <c r="I17" s="53">
        <v>15.446999999999999</v>
      </c>
      <c r="J17" s="1189">
        <v>0</v>
      </c>
      <c r="K17" s="54">
        <v>0.59399999999999997</v>
      </c>
      <c r="L17" s="184">
        <v>0.17899999999999999</v>
      </c>
      <c r="M17" s="1226">
        <f t="shared" si="0"/>
        <v>-1.0000000002037268E-3</v>
      </c>
      <c r="N17" s="433">
        <f>Drift!H53</f>
        <v>1.0209999999999999</v>
      </c>
      <c r="O17" s="53">
        <v>0.12</v>
      </c>
      <c r="P17" s="53">
        <v>0.27100000000000002</v>
      </c>
      <c r="Q17" s="53">
        <v>0.27100000000000002</v>
      </c>
      <c r="R17" s="53">
        <v>2.1999999999999999E-2</v>
      </c>
      <c r="S17" s="53">
        <v>1.2999999999999999E-2</v>
      </c>
      <c r="T17" s="53">
        <v>0.01</v>
      </c>
      <c r="U17" s="53">
        <v>0.217</v>
      </c>
      <c r="V17" s="53">
        <v>9.8000000000000004E-2</v>
      </c>
      <c r="W17" s="53">
        <v>-1E-3</v>
      </c>
      <c r="X17" s="432">
        <f t="shared" si="1"/>
        <v>0</v>
      </c>
      <c r="Y17" s="436">
        <v>56.177999999999997</v>
      </c>
      <c r="Z17" s="53">
        <v>6.4000000000000001E-2</v>
      </c>
      <c r="AA17" s="53">
        <v>381.72699999999998</v>
      </c>
      <c r="AB17" s="53">
        <v>1.45</v>
      </c>
      <c r="AC17" s="98">
        <v>67.281000000000006</v>
      </c>
      <c r="AD17" s="2196"/>
    </row>
    <row r="18" spans="1:30" ht="13.15" customHeight="1">
      <c r="A18" s="549">
        <v>440</v>
      </c>
      <c r="B18" s="555" t="s">
        <v>370</v>
      </c>
      <c r="C18" s="82">
        <f>Drift!F54</f>
        <v>21727.260999999999</v>
      </c>
      <c r="D18" s="53">
        <v>4591.1369999999997</v>
      </c>
      <c r="E18" s="53">
        <v>13.957000000000001</v>
      </c>
      <c r="F18" s="53">
        <v>15154.832</v>
      </c>
      <c r="G18" s="53">
        <v>1523.759</v>
      </c>
      <c r="H18" s="53">
        <v>16.899999999999999</v>
      </c>
      <c r="I18" s="53">
        <v>410.416</v>
      </c>
      <c r="J18" s="1189">
        <v>0</v>
      </c>
      <c r="K18" s="54">
        <v>12.923999999999999</v>
      </c>
      <c r="L18" s="184">
        <v>3.3359999999999999</v>
      </c>
      <c r="M18" s="1226">
        <f t="shared" si="0"/>
        <v>0</v>
      </c>
      <c r="N18" s="433">
        <f>Drift!H54</f>
        <v>55.046999999999997</v>
      </c>
      <c r="O18" s="53">
        <v>13.173</v>
      </c>
      <c r="P18" s="53">
        <v>7.1360000000000001</v>
      </c>
      <c r="Q18" s="53">
        <v>18.791</v>
      </c>
      <c r="R18" s="53">
        <v>0.65400000000000003</v>
      </c>
      <c r="S18" s="53">
        <v>3.7730000000000001</v>
      </c>
      <c r="T18" s="53">
        <v>0.80100000000000005</v>
      </c>
      <c r="U18" s="53">
        <v>6.0730000000000004</v>
      </c>
      <c r="V18" s="53">
        <v>4.17</v>
      </c>
      <c r="W18" s="53">
        <v>0.47499999999999998</v>
      </c>
      <c r="X18" s="432">
        <f t="shared" si="1"/>
        <v>9.9999999998345857E-4</v>
      </c>
      <c r="Y18" s="436">
        <v>1524.9739999999999</v>
      </c>
      <c r="Z18" s="53">
        <v>3.0089999999999999</v>
      </c>
      <c r="AA18" s="53">
        <v>11350.753000000001</v>
      </c>
      <c r="AB18" s="53">
        <v>30.186</v>
      </c>
      <c r="AC18" s="98">
        <v>1318.729</v>
      </c>
      <c r="AD18" s="2196"/>
    </row>
    <row r="19" spans="1:30" ht="13.15" customHeight="1">
      <c r="A19" s="549">
        <v>443</v>
      </c>
      <c r="B19" s="555" t="s">
        <v>607</v>
      </c>
      <c r="C19" s="82">
        <f>Drift!F55</f>
        <v>697.72</v>
      </c>
      <c r="D19" s="53">
        <v>86.296000000000006</v>
      </c>
      <c r="E19" s="53">
        <v>6.2E-2</v>
      </c>
      <c r="F19" s="53">
        <v>274.17</v>
      </c>
      <c r="G19" s="53">
        <v>320.29700000000003</v>
      </c>
      <c r="H19" s="53">
        <v>1.429</v>
      </c>
      <c r="I19" s="53">
        <v>14.759</v>
      </c>
      <c r="J19" s="1189">
        <v>0</v>
      </c>
      <c r="K19" s="54">
        <v>0.69599999999999995</v>
      </c>
      <c r="L19" s="184">
        <v>1.0999999999999999E-2</v>
      </c>
      <c r="M19" s="1226">
        <f t="shared" si="0"/>
        <v>0</v>
      </c>
      <c r="N19" s="433">
        <f>Drift!H55</f>
        <v>0.60699999999999998</v>
      </c>
      <c r="O19" s="53">
        <v>5.3999999999999999E-2</v>
      </c>
      <c r="P19" s="53">
        <v>1E-3</v>
      </c>
      <c r="Q19" s="53">
        <v>0.33900000000000002</v>
      </c>
      <c r="R19" s="53">
        <v>1.7000000000000001E-2</v>
      </c>
      <c r="S19" s="53">
        <v>8.0000000000000002E-3</v>
      </c>
      <c r="T19" s="53">
        <v>3.0000000000000001E-3</v>
      </c>
      <c r="U19" s="53">
        <v>0.06</v>
      </c>
      <c r="V19" s="53">
        <v>0.125</v>
      </c>
      <c r="W19" s="53">
        <v>0</v>
      </c>
      <c r="X19" s="432">
        <f t="shared" si="1"/>
        <v>0</v>
      </c>
      <c r="Y19" s="436">
        <v>309.81299999999999</v>
      </c>
      <c r="Z19" s="53">
        <v>2.1999999999999999E-2</v>
      </c>
      <c r="AA19" s="53">
        <v>148.68199999999999</v>
      </c>
      <c r="AB19" s="53">
        <v>0.18</v>
      </c>
      <c r="AC19" s="98">
        <v>24.725000000000001</v>
      </c>
      <c r="AD19" s="2196"/>
    </row>
    <row r="20" spans="1:30" ht="13.15" customHeight="1">
      <c r="A20" s="549">
        <v>450</v>
      </c>
      <c r="B20" s="555" t="s">
        <v>134</v>
      </c>
      <c r="C20" s="82">
        <f>Drift!F56</f>
        <v>23844.878000000001</v>
      </c>
      <c r="D20" s="53">
        <v>1300.367</v>
      </c>
      <c r="E20" s="53">
        <v>7.4409999999999998</v>
      </c>
      <c r="F20" s="53">
        <v>11665.361000000001</v>
      </c>
      <c r="G20" s="53">
        <v>7740.07</v>
      </c>
      <c r="H20" s="53">
        <v>494.44200000000001</v>
      </c>
      <c r="I20" s="53">
        <v>143.88399999999999</v>
      </c>
      <c r="J20" s="1189">
        <v>0</v>
      </c>
      <c r="K20" s="54">
        <v>2475.0120000000002</v>
      </c>
      <c r="L20" s="184">
        <v>18.3</v>
      </c>
      <c r="M20" s="1226">
        <f t="shared" si="0"/>
        <v>1.0000000038417056E-3</v>
      </c>
      <c r="N20" s="433">
        <f>Drift!H56</f>
        <v>258.93</v>
      </c>
      <c r="O20" s="53">
        <v>9.4030000000000005</v>
      </c>
      <c r="P20" s="53">
        <v>1.113</v>
      </c>
      <c r="Q20" s="53">
        <v>58.917000000000002</v>
      </c>
      <c r="R20" s="53">
        <v>4.149</v>
      </c>
      <c r="S20" s="53">
        <v>1.407</v>
      </c>
      <c r="T20" s="53">
        <v>2.125</v>
      </c>
      <c r="U20" s="53">
        <v>4.423</v>
      </c>
      <c r="V20" s="53">
        <v>177.256</v>
      </c>
      <c r="W20" s="53">
        <v>0.13800000000000001</v>
      </c>
      <c r="X20" s="432">
        <f t="shared" si="1"/>
        <v>-9.9999999997635314E-4</v>
      </c>
      <c r="Y20" s="436">
        <v>7877.1819999999998</v>
      </c>
      <c r="Z20" s="53">
        <v>5.6070000000000002</v>
      </c>
      <c r="AA20" s="53">
        <v>1629.5419999999999</v>
      </c>
      <c r="AB20" s="53">
        <v>49.417999999999999</v>
      </c>
      <c r="AC20" s="98">
        <v>876.78200000000004</v>
      </c>
      <c r="AD20" s="2196"/>
    </row>
    <row r="21" spans="1:30" ht="13.15" customHeight="1">
      <c r="A21" s="549">
        <v>453</v>
      </c>
      <c r="B21" s="555" t="s">
        <v>135</v>
      </c>
      <c r="C21" s="82">
        <f>Drift!F57</f>
        <v>1236.5820000000001</v>
      </c>
      <c r="D21" s="53">
        <v>56.383000000000003</v>
      </c>
      <c r="E21" s="53">
        <v>0.47399999999999998</v>
      </c>
      <c r="F21" s="53">
        <v>227.47300000000001</v>
      </c>
      <c r="G21" s="53">
        <v>717.57600000000002</v>
      </c>
      <c r="H21" s="53">
        <v>58.631999999999998</v>
      </c>
      <c r="I21" s="53">
        <v>2.4020000000000001</v>
      </c>
      <c r="J21" s="1189">
        <v>0</v>
      </c>
      <c r="K21" s="54">
        <v>173.642</v>
      </c>
      <c r="L21" s="184">
        <v>0</v>
      </c>
      <c r="M21" s="1226">
        <f t="shared" si="0"/>
        <v>0</v>
      </c>
      <c r="N21" s="433">
        <f>Drift!H57</f>
        <v>3.2709999999999999</v>
      </c>
      <c r="O21" s="53">
        <v>0.40200000000000002</v>
      </c>
      <c r="P21" s="53">
        <v>8.0000000000000002E-3</v>
      </c>
      <c r="Q21" s="53">
        <v>0.114</v>
      </c>
      <c r="R21" s="53">
        <v>8.9999999999999993E-3</v>
      </c>
      <c r="S21" s="53">
        <v>1.0880000000000001</v>
      </c>
      <c r="T21" s="53">
        <v>3.6999999999999998E-2</v>
      </c>
      <c r="U21" s="53">
        <v>0.55000000000000004</v>
      </c>
      <c r="V21" s="53">
        <v>1.0629999999999999</v>
      </c>
      <c r="W21" s="53">
        <v>0</v>
      </c>
      <c r="X21" s="432">
        <f t="shared" si="1"/>
        <v>0</v>
      </c>
      <c r="Y21" s="436">
        <v>716.90300000000002</v>
      </c>
      <c r="Z21" s="53">
        <v>1E-3</v>
      </c>
      <c r="AA21" s="53">
        <v>84.468999999999994</v>
      </c>
      <c r="AB21" s="53">
        <v>0.26600000000000001</v>
      </c>
      <c r="AC21" s="98">
        <v>18.149999999999999</v>
      </c>
      <c r="AD21" s="2196"/>
    </row>
    <row r="22" spans="1:30" ht="13.15" customHeight="1">
      <c r="A22" s="549" t="s">
        <v>480</v>
      </c>
      <c r="B22" s="555" t="s">
        <v>371</v>
      </c>
      <c r="C22" s="82">
        <f>Drift!F60</f>
        <v>471.24200000000002</v>
      </c>
      <c r="D22" s="53">
        <v>26.295999999999999</v>
      </c>
      <c r="E22" s="53">
        <v>1.833</v>
      </c>
      <c r="F22" s="53">
        <v>254.06200000000001</v>
      </c>
      <c r="G22" s="53">
        <v>88.918999999999997</v>
      </c>
      <c r="H22" s="53">
        <v>0.13900000000000001</v>
      </c>
      <c r="I22" s="53">
        <v>3.0000000000000001E-3</v>
      </c>
      <c r="J22" s="1189">
        <v>0</v>
      </c>
      <c r="K22" s="54">
        <v>99.99</v>
      </c>
      <c r="L22" s="184">
        <v>0</v>
      </c>
      <c r="M22" s="1226">
        <f t="shared" si="0"/>
        <v>0</v>
      </c>
      <c r="N22" s="433">
        <f>Drift!H60</f>
        <v>1.5009999999999999</v>
      </c>
      <c r="O22" s="53">
        <v>0.442</v>
      </c>
      <c r="P22" s="53">
        <v>0</v>
      </c>
      <c r="Q22" s="53">
        <v>0.151</v>
      </c>
      <c r="R22" s="53">
        <v>4.8000000000000001E-2</v>
      </c>
      <c r="S22" s="53">
        <v>1.6E-2</v>
      </c>
      <c r="T22" s="53">
        <v>0.495</v>
      </c>
      <c r="U22" s="53">
        <v>0.29199999999999998</v>
      </c>
      <c r="V22" s="53">
        <v>5.8000000000000003E-2</v>
      </c>
      <c r="W22" s="53">
        <v>0</v>
      </c>
      <c r="X22" s="432">
        <f t="shared" si="1"/>
        <v>-1.000000000000334E-3</v>
      </c>
      <c r="Y22" s="436">
        <v>56.472999999999999</v>
      </c>
      <c r="Z22" s="53">
        <v>2.5999999999999999E-2</v>
      </c>
      <c r="AA22" s="53">
        <v>91.816999999999993</v>
      </c>
      <c r="AB22" s="53">
        <v>2.411</v>
      </c>
      <c r="AC22" s="98">
        <v>28.359000000000002</v>
      </c>
      <c r="AD22" s="2196"/>
    </row>
    <row r="23" spans="1:30" ht="13.15" customHeight="1">
      <c r="A23" s="549" t="s">
        <v>481</v>
      </c>
      <c r="B23" s="555" t="s">
        <v>372</v>
      </c>
      <c r="C23" s="82">
        <f>Drift!F61</f>
        <v>2284.2289999999998</v>
      </c>
      <c r="D23" s="53">
        <v>37.24</v>
      </c>
      <c r="E23" s="53">
        <v>15.888999999999999</v>
      </c>
      <c r="F23" s="53">
        <v>1512.248</v>
      </c>
      <c r="G23" s="53">
        <v>459.27499999999998</v>
      </c>
      <c r="H23" s="53">
        <v>26.968</v>
      </c>
      <c r="I23" s="53">
        <v>29.294</v>
      </c>
      <c r="J23" s="1189">
        <v>0</v>
      </c>
      <c r="K23" s="54">
        <v>203.30500000000001</v>
      </c>
      <c r="L23" s="184">
        <v>0.01</v>
      </c>
      <c r="M23" s="1226">
        <f t="shared" si="0"/>
        <v>0</v>
      </c>
      <c r="N23" s="433">
        <f>Drift!H61</f>
        <v>14.271000000000001</v>
      </c>
      <c r="O23" s="53">
        <v>0.79</v>
      </c>
      <c r="P23" s="53">
        <v>0.48499999999999999</v>
      </c>
      <c r="Q23" s="53">
        <v>4.5289999999999999</v>
      </c>
      <c r="R23" s="53">
        <v>6.1459999999999999</v>
      </c>
      <c r="S23" s="53">
        <v>5.3999999999999999E-2</v>
      </c>
      <c r="T23" s="53">
        <v>0.317</v>
      </c>
      <c r="U23" s="53">
        <v>0.95099999999999996</v>
      </c>
      <c r="V23" s="53">
        <v>0.73499999999999999</v>
      </c>
      <c r="W23" s="53">
        <v>0.26300000000000001</v>
      </c>
      <c r="X23" s="432">
        <f t="shared" si="1"/>
        <v>1.0000000000012221E-3</v>
      </c>
      <c r="Y23" s="436">
        <v>388.12599999999998</v>
      </c>
      <c r="Z23" s="53">
        <v>1.034</v>
      </c>
      <c r="AA23" s="53">
        <v>2387.5079999999998</v>
      </c>
      <c r="AB23" s="53">
        <v>30.039000000000001</v>
      </c>
      <c r="AC23" s="98">
        <v>276.56799999999998</v>
      </c>
      <c r="AD23" s="2196"/>
    </row>
    <row r="24" spans="1:30" ht="13.15" customHeight="1">
      <c r="A24" s="549">
        <v>474</v>
      </c>
      <c r="B24" s="555" t="s">
        <v>832</v>
      </c>
      <c r="C24" s="82">
        <f>Drift!F63</f>
        <v>25.852</v>
      </c>
      <c r="D24" s="53">
        <v>1.395</v>
      </c>
      <c r="E24" s="53">
        <v>4.4999999999999998E-2</v>
      </c>
      <c r="F24" s="53">
        <v>0.44500000000000001</v>
      </c>
      <c r="G24" s="53">
        <v>13.406000000000001</v>
      </c>
      <c r="H24" s="53">
        <v>5.0000000000000001E-3</v>
      </c>
      <c r="I24" s="53">
        <v>0.06</v>
      </c>
      <c r="J24" s="1189">
        <v>0</v>
      </c>
      <c r="K24" s="54">
        <v>10.496</v>
      </c>
      <c r="L24" s="184">
        <v>0</v>
      </c>
      <c r="M24" s="432">
        <f t="shared" si="0"/>
        <v>0</v>
      </c>
      <c r="N24" s="433">
        <f>Drift!H63</f>
        <v>0.19600000000000001</v>
      </c>
      <c r="O24" s="53">
        <v>7.9000000000000001E-2</v>
      </c>
      <c r="P24" s="53">
        <v>0</v>
      </c>
      <c r="Q24" s="53">
        <v>1.2E-2</v>
      </c>
      <c r="R24" s="53">
        <v>1E-3</v>
      </c>
      <c r="S24" s="53">
        <v>1.0999999999999999E-2</v>
      </c>
      <c r="T24" s="53">
        <v>1.4E-2</v>
      </c>
      <c r="U24" s="53">
        <v>7.6999999999999999E-2</v>
      </c>
      <c r="V24" s="53">
        <v>2E-3</v>
      </c>
      <c r="W24" s="53">
        <v>0</v>
      </c>
      <c r="X24" s="432">
        <f t="shared" si="1"/>
        <v>0</v>
      </c>
      <c r="Y24" s="435">
        <v>12.807</v>
      </c>
      <c r="Z24" s="53">
        <v>1E-3</v>
      </c>
      <c r="AA24" s="53">
        <v>10.013999999999999</v>
      </c>
      <c r="AB24" s="53">
        <v>0.125</v>
      </c>
      <c r="AC24" s="98">
        <v>1.962</v>
      </c>
      <c r="AD24" s="2196"/>
    </row>
    <row r="25" spans="1:30" ht="13.15" customHeight="1">
      <c r="A25" s="549">
        <v>479</v>
      </c>
      <c r="B25" s="555" t="s">
        <v>433</v>
      </c>
      <c r="C25" s="82">
        <f>SUM(Drift!F64,Drift!F65,Drift!F66)</f>
        <v>992.26499999999999</v>
      </c>
      <c r="D25" s="53">
        <v>182.46899999999999</v>
      </c>
      <c r="E25" s="53">
        <v>16.396999999999998</v>
      </c>
      <c r="F25" s="53">
        <v>577.048</v>
      </c>
      <c r="G25" s="53">
        <v>99.218999999999994</v>
      </c>
      <c r="H25" s="53">
        <v>7.0519999999999996</v>
      </c>
      <c r="I25" s="53">
        <v>1.794</v>
      </c>
      <c r="J25" s="1189">
        <v>0</v>
      </c>
      <c r="K25" s="54">
        <v>108.218</v>
      </c>
      <c r="L25" s="184">
        <v>6.8000000000000005E-2</v>
      </c>
      <c r="M25" s="432">
        <f t="shared" si="0"/>
        <v>0</v>
      </c>
      <c r="N25" s="433">
        <f>SUM(Drift!H64:H66)</f>
        <v>67.73</v>
      </c>
      <c r="O25" s="53">
        <v>12.888</v>
      </c>
      <c r="P25" s="53">
        <v>1.3460000000000001</v>
      </c>
      <c r="Q25" s="53">
        <v>4.5620000000000003</v>
      </c>
      <c r="R25" s="53">
        <v>0.91900000000000004</v>
      </c>
      <c r="S25" s="53">
        <v>0.99299999999999999</v>
      </c>
      <c r="T25" s="53">
        <v>0.16700000000000001</v>
      </c>
      <c r="U25" s="53">
        <v>45.066000000000003</v>
      </c>
      <c r="V25" s="53">
        <v>1.7769999999999999</v>
      </c>
      <c r="W25" s="53">
        <v>1.2E-2</v>
      </c>
      <c r="X25" s="432">
        <f t="shared" si="1"/>
        <v>0</v>
      </c>
      <c r="Y25" s="436">
        <v>97.867999999999995</v>
      </c>
      <c r="Z25" s="53">
        <v>0.19400000000000001</v>
      </c>
      <c r="AA25" s="53">
        <v>1165.373</v>
      </c>
      <c r="AB25" s="53">
        <v>30.106999999999999</v>
      </c>
      <c r="AC25" s="98">
        <v>71.677999999999997</v>
      </c>
      <c r="AD25" s="2196"/>
    </row>
    <row r="26" spans="1:30" ht="13.15" customHeight="1">
      <c r="A26" s="549">
        <v>509</v>
      </c>
      <c r="B26" s="555" t="s">
        <v>432</v>
      </c>
      <c r="C26" s="82">
        <f>SUM(Drift!F70,Drift!F71)</f>
        <v>386.04399999999998</v>
      </c>
      <c r="D26" s="65">
        <v>0.18099999999999999</v>
      </c>
      <c r="E26" s="65">
        <v>0</v>
      </c>
      <c r="F26" s="65">
        <v>161.78</v>
      </c>
      <c r="G26" s="65">
        <v>7.4999999999999997E-2</v>
      </c>
      <c r="H26" s="65">
        <v>219.02799999999999</v>
      </c>
      <c r="I26" s="65">
        <v>2.3E-2</v>
      </c>
      <c r="J26" s="1195">
        <v>0</v>
      </c>
      <c r="K26" s="184">
        <v>4.4340000000000002</v>
      </c>
      <c r="L26" s="184">
        <v>0.52300000000000002</v>
      </c>
      <c r="M26" s="432">
        <f t="shared" si="0"/>
        <v>0</v>
      </c>
      <c r="N26" s="433">
        <f>SUM(Drift!H70,Drift!H71)</f>
        <v>1.1219999999999999</v>
      </c>
      <c r="O26" s="65">
        <v>0.13500000000000001</v>
      </c>
      <c r="P26" s="65">
        <v>0</v>
      </c>
      <c r="Q26" s="65">
        <v>0.32400000000000001</v>
      </c>
      <c r="R26" s="65">
        <v>7.0000000000000001E-3</v>
      </c>
      <c r="S26" s="65">
        <v>0</v>
      </c>
      <c r="T26" s="65">
        <v>2E-3</v>
      </c>
      <c r="U26" s="65">
        <v>0</v>
      </c>
      <c r="V26" s="65">
        <v>0.65400000000000003</v>
      </c>
      <c r="W26" s="65">
        <v>0</v>
      </c>
      <c r="X26" s="432">
        <f t="shared" si="1"/>
        <v>0</v>
      </c>
      <c r="Y26" s="436">
        <v>16.588999999999999</v>
      </c>
      <c r="Z26" s="65">
        <v>79.477999999999994</v>
      </c>
      <c r="AA26" s="65">
        <v>498.40499999999997</v>
      </c>
      <c r="AB26" s="65">
        <v>0</v>
      </c>
      <c r="AC26" s="98">
        <v>17.087</v>
      </c>
      <c r="AD26" s="2196"/>
    </row>
    <row r="27" spans="1:30" ht="13.15" customHeight="1">
      <c r="A27" s="549">
        <v>510</v>
      </c>
      <c r="B27" s="555" t="s">
        <v>483</v>
      </c>
      <c r="C27" s="82">
        <f>Drift!F73</f>
        <v>23533.920999999998</v>
      </c>
      <c r="D27" s="53">
        <v>2207.84</v>
      </c>
      <c r="E27" s="53">
        <v>606.20699999999999</v>
      </c>
      <c r="F27" s="53">
        <v>19299.021000000001</v>
      </c>
      <c r="G27" s="53">
        <v>293.83300000000003</v>
      </c>
      <c r="H27" s="53">
        <v>206.066</v>
      </c>
      <c r="I27" s="53">
        <v>40.156999999999996</v>
      </c>
      <c r="J27" s="1189">
        <v>0</v>
      </c>
      <c r="K27" s="54">
        <v>878.47799999999995</v>
      </c>
      <c r="L27" s="184">
        <v>2.319</v>
      </c>
      <c r="M27" s="432">
        <f t="shared" si="0"/>
        <v>0</v>
      </c>
      <c r="N27" s="433">
        <f>Drift!H73</f>
        <v>1157.376</v>
      </c>
      <c r="O27" s="53">
        <v>104.40300000000001</v>
      </c>
      <c r="P27" s="53">
        <v>36.597000000000001</v>
      </c>
      <c r="Q27" s="53">
        <v>457.92099999999999</v>
      </c>
      <c r="R27" s="53">
        <v>7.819</v>
      </c>
      <c r="S27" s="53">
        <v>10.568</v>
      </c>
      <c r="T27" s="53">
        <v>8.3520000000000003</v>
      </c>
      <c r="U27" s="53">
        <v>28.971</v>
      </c>
      <c r="V27" s="53">
        <v>502.74400000000003</v>
      </c>
      <c r="W27" s="53">
        <v>0</v>
      </c>
      <c r="X27" s="432">
        <f t="shared" si="1"/>
        <v>9.9999999997635314E-4</v>
      </c>
      <c r="Y27" s="436">
        <v>249.36799999999999</v>
      </c>
      <c r="Z27" s="53">
        <v>177.60499999999999</v>
      </c>
      <c r="AA27" s="53">
        <v>7412.7470000000003</v>
      </c>
      <c r="AB27" s="53">
        <v>16.974</v>
      </c>
      <c r="AC27" s="98">
        <v>2484.2440000000001</v>
      </c>
      <c r="AD27" s="2196"/>
    </row>
    <row r="28" spans="1:30" ht="18" customHeight="1">
      <c r="A28" s="549">
        <v>520</v>
      </c>
      <c r="B28" s="594" t="s">
        <v>366</v>
      </c>
      <c r="C28" s="82">
        <f>Drift!F74</f>
        <v>3694.2539999999999</v>
      </c>
      <c r="D28" s="53">
        <v>252.79599999999999</v>
      </c>
      <c r="E28" s="53">
        <v>20.324000000000002</v>
      </c>
      <c r="F28" s="53">
        <v>3214.4690000000001</v>
      </c>
      <c r="G28" s="53">
        <v>61.235999999999997</v>
      </c>
      <c r="H28" s="53">
        <v>30.387</v>
      </c>
      <c r="I28" s="53">
        <v>7.0190000000000001</v>
      </c>
      <c r="J28" s="1189">
        <v>0</v>
      </c>
      <c r="K28" s="53">
        <v>107.643</v>
      </c>
      <c r="L28" s="53">
        <v>0.38</v>
      </c>
      <c r="M28" s="432">
        <f>C28-SUM(D28:L28)</f>
        <v>0</v>
      </c>
      <c r="N28" s="433">
        <f>Drift!H74</f>
        <v>419.31200000000001</v>
      </c>
      <c r="O28" s="53">
        <v>94.814999999999998</v>
      </c>
      <c r="P28" s="53">
        <v>2.097</v>
      </c>
      <c r="Q28" s="53">
        <v>144.816</v>
      </c>
      <c r="R28" s="53">
        <v>0.70899999999999996</v>
      </c>
      <c r="S28" s="53">
        <v>0.63400000000000001</v>
      </c>
      <c r="T28" s="53">
        <v>1.339</v>
      </c>
      <c r="U28" s="173">
        <v>1.2989999999999999</v>
      </c>
      <c r="V28" s="53">
        <v>173.602</v>
      </c>
      <c r="W28" s="53">
        <v>0</v>
      </c>
      <c r="X28" s="432">
        <f>N28-SUM(O28:W28)</f>
        <v>9.9999999997635314E-4</v>
      </c>
      <c r="Y28" s="435">
        <v>34.088000000000001</v>
      </c>
      <c r="Z28" s="53">
        <v>19.367000000000001</v>
      </c>
      <c r="AA28" s="53">
        <v>477.66199999999998</v>
      </c>
      <c r="AB28" s="53">
        <v>1.5880000000000001</v>
      </c>
      <c r="AC28" s="521">
        <v>389.483</v>
      </c>
      <c r="AD28" s="2196"/>
    </row>
    <row r="29" spans="1:30" ht="13.5" customHeight="1">
      <c r="A29" s="549">
        <v>513</v>
      </c>
      <c r="B29" s="1378" t="s">
        <v>367</v>
      </c>
      <c r="C29" s="82">
        <f>Drift!F75</f>
        <v>14748.707</v>
      </c>
      <c r="D29" s="53">
        <v>1546.115</v>
      </c>
      <c r="E29" s="53">
        <v>293.76100000000002</v>
      </c>
      <c r="F29" s="53">
        <v>12068.27</v>
      </c>
      <c r="G29" s="53">
        <v>293.03300000000002</v>
      </c>
      <c r="H29" s="53">
        <v>100.53100000000001</v>
      </c>
      <c r="I29" s="53">
        <v>30.978000000000002</v>
      </c>
      <c r="J29" s="1189">
        <v>0</v>
      </c>
      <c r="K29" s="54">
        <v>415.74099999999999</v>
      </c>
      <c r="L29" s="184">
        <v>0.27900000000000003</v>
      </c>
      <c r="M29" s="432">
        <f t="shared" si="0"/>
        <v>-1.0000000002037268E-3</v>
      </c>
      <c r="N29" s="433">
        <f>Drift!H75</f>
        <v>5011.1499999999996</v>
      </c>
      <c r="O29" s="53">
        <v>16.193999999999999</v>
      </c>
      <c r="P29" s="53">
        <v>7.1319999999999997</v>
      </c>
      <c r="Q29" s="53">
        <v>95.822000000000003</v>
      </c>
      <c r="R29" s="53">
        <v>2.85</v>
      </c>
      <c r="S29" s="53">
        <v>2.177</v>
      </c>
      <c r="T29" s="53">
        <v>1.7649999999999999</v>
      </c>
      <c r="U29" s="173">
        <v>4430.5140000000001</v>
      </c>
      <c r="V29" s="53">
        <v>454.67700000000002</v>
      </c>
      <c r="W29" s="53">
        <v>1.7999999999999999E-2</v>
      </c>
      <c r="X29" s="432">
        <f>N29-SUM(O29:W29)</f>
        <v>1.0000000002037268E-3</v>
      </c>
      <c r="Y29" s="435">
        <v>229.453</v>
      </c>
      <c r="Z29" s="53">
        <v>33.109000000000002</v>
      </c>
      <c r="AA29" s="53">
        <v>1395.6949999999999</v>
      </c>
      <c r="AB29" s="53">
        <v>6.4249999999999998</v>
      </c>
      <c r="AC29" s="521">
        <v>6049.8639999999996</v>
      </c>
      <c r="AD29" s="2196"/>
    </row>
    <row r="30" spans="1:30" ht="13.15" customHeight="1">
      <c r="A30" s="549">
        <v>530</v>
      </c>
      <c r="B30" s="1031" t="s">
        <v>100</v>
      </c>
      <c r="C30" s="82">
        <f>Drift!F76</f>
        <v>1827.2809999999999</v>
      </c>
      <c r="D30" s="53">
        <v>0.53500000000000003</v>
      </c>
      <c r="E30" s="53">
        <v>4.0650000000000004</v>
      </c>
      <c r="F30" s="53">
        <v>1138.085</v>
      </c>
      <c r="G30" s="53">
        <v>13.999000000000001</v>
      </c>
      <c r="H30" s="53">
        <v>646.96799999999996</v>
      </c>
      <c r="I30" s="53">
        <v>3.8780000000000001</v>
      </c>
      <c r="J30" s="1189">
        <v>0</v>
      </c>
      <c r="K30" s="54">
        <v>19.75</v>
      </c>
      <c r="L30" s="184">
        <v>0</v>
      </c>
      <c r="M30" s="432">
        <f t="shared" si="0"/>
        <v>9.9999999997635314E-4</v>
      </c>
      <c r="N30" s="433">
        <f>Drift!H76</f>
        <v>41.42</v>
      </c>
      <c r="O30" s="53">
        <v>1.4E-2</v>
      </c>
      <c r="P30" s="53">
        <v>0.35699999999999998</v>
      </c>
      <c r="Q30" s="53">
        <v>1.0999999999999999E-2</v>
      </c>
      <c r="R30" s="53">
        <v>1E-3</v>
      </c>
      <c r="S30" s="53">
        <v>41.048000000000002</v>
      </c>
      <c r="T30" s="53">
        <v>0.24299999999999999</v>
      </c>
      <c r="U30" s="53">
        <v>-0.153</v>
      </c>
      <c r="V30" s="53">
        <v>-0.104</v>
      </c>
      <c r="W30" s="53">
        <v>3.0000000000000001E-3</v>
      </c>
      <c r="X30" s="432">
        <f t="shared" si="1"/>
        <v>0</v>
      </c>
      <c r="Y30" s="435">
        <v>6.2489999999999997</v>
      </c>
      <c r="Z30" s="53">
        <v>3.6999999999999998E-2</v>
      </c>
      <c r="AA30" s="53">
        <v>8.907</v>
      </c>
      <c r="AB30" s="53">
        <v>2.1000000000000001E-2</v>
      </c>
      <c r="AC30" s="98">
        <v>19.021999999999998</v>
      </c>
      <c r="AD30" s="2196"/>
    </row>
    <row r="31" spans="1:30" ht="13.15" customHeight="1">
      <c r="A31" s="549">
        <v>559</v>
      </c>
      <c r="B31" s="1031" t="s">
        <v>199</v>
      </c>
      <c r="C31" s="82">
        <f>Drift!F79</f>
        <v>3154.09</v>
      </c>
      <c r="D31" s="53">
        <v>321.61</v>
      </c>
      <c r="E31" s="53">
        <v>0.59199999999999997</v>
      </c>
      <c r="F31" s="53">
        <v>2181.835</v>
      </c>
      <c r="G31" s="53">
        <v>44.459000000000003</v>
      </c>
      <c r="H31" s="53">
        <v>22.788</v>
      </c>
      <c r="I31" s="53">
        <v>558.13300000000004</v>
      </c>
      <c r="J31" s="1189">
        <v>0</v>
      </c>
      <c r="K31" s="53">
        <v>24.672999999999998</v>
      </c>
      <c r="L31" s="53">
        <v>0</v>
      </c>
      <c r="M31" s="1226">
        <f t="shared" si="0"/>
        <v>0</v>
      </c>
      <c r="N31" s="433">
        <f>Drift!H79</f>
        <v>149.06899999999999</v>
      </c>
      <c r="O31" s="53">
        <v>125.62</v>
      </c>
      <c r="P31" s="53">
        <v>0.436</v>
      </c>
      <c r="Q31" s="53">
        <v>11.429</v>
      </c>
      <c r="R31" s="53">
        <v>0.38100000000000001</v>
      </c>
      <c r="S31" s="53">
        <v>1.2190000000000001</v>
      </c>
      <c r="T31" s="53">
        <v>1.161</v>
      </c>
      <c r="U31" s="53">
        <v>0.56499999999999995</v>
      </c>
      <c r="V31" s="53">
        <v>8.2590000000000003</v>
      </c>
      <c r="W31" s="53">
        <v>0</v>
      </c>
      <c r="X31" s="1226">
        <f t="shared" si="1"/>
        <v>-1.0000000000047748E-3</v>
      </c>
      <c r="Y31" s="435">
        <v>41.223999999999997</v>
      </c>
      <c r="Z31" s="65">
        <v>2.23</v>
      </c>
      <c r="AA31" s="65">
        <v>196.607</v>
      </c>
      <c r="AB31" s="65">
        <v>2.5990000000000002</v>
      </c>
      <c r="AC31" s="176">
        <v>190.74299999999999</v>
      </c>
      <c r="AD31" s="2196"/>
    </row>
    <row r="32" spans="1:30" ht="13.15" customHeight="1">
      <c r="A32" s="549">
        <v>552</v>
      </c>
      <c r="B32" s="555" t="s">
        <v>136</v>
      </c>
      <c r="C32" s="2351">
        <f>SUM(D32+E32+F32+G32+H32+I32+K32+L32)</f>
        <v>2191.7450000000003</v>
      </c>
      <c r="D32" s="53">
        <v>119.66500000000001</v>
      </c>
      <c r="E32" s="53">
        <v>3.5999999999999997E-2</v>
      </c>
      <c r="F32" s="53">
        <v>1481.2850000000001</v>
      </c>
      <c r="G32" s="53">
        <v>20.972000000000001</v>
      </c>
      <c r="H32" s="53">
        <v>13.941000000000001</v>
      </c>
      <c r="I32" s="53">
        <v>545.99099999999999</v>
      </c>
      <c r="J32" s="1189">
        <v>0</v>
      </c>
      <c r="K32" s="53">
        <v>9.8550000000000004</v>
      </c>
      <c r="L32" s="53">
        <v>0</v>
      </c>
      <c r="M32" s="1226">
        <f>IF(OR(C32="",C32=0),"",C32-SUM(D32:L32))</f>
        <v>0</v>
      </c>
      <c r="N32" s="2352">
        <f>SUM(O32+P32+Q32+R32+S32+T32+U32+V32+W32)</f>
        <v>79.344000000000008</v>
      </c>
      <c r="O32" s="53">
        <v>74.259</v>
      </c>
      <c r="P32" s="53">
        <v>0</v>
      </c>
      <c r="Q32" s="53">
        <v>2.5939999999999999</v>
      </c>
      <c r="R32" s="53">
        <v>1.9E-2</v>
      </c>
      <c r="S32" s="53">
        <v>0.158</v>
      </c>
      <c r="T32" s="53">
        <v>0.39600000000000002</v>
      </c>
      <c r="U32" s="53">
        <v>9.6000000000000002E-2</v>
      </c>
      <c r="V32" s="53">
        <v>1.8220000000000001</v>
      </c>
      <c r="W32" s="53">
        <v>0</v>
      </c>
      <c r="X32" s="1226">
        <f>IF(OR(N32="",N32=0),"",N32-SUM(O32:W32))</f>
        <v>0</v>
      </c>
      <c r="Y32" s="436">
        <v>19.919</v>
      </c>
      <c r="Z32" s="53">
        <v>0.42499999999999999</v>
      </c>
      <c r="AA32" s="53">
        <v>29.638999999999999</v>
      </c>
      <c r="AB32" s="53">
        <v>1.9430000000000001</v>
      </c>
      <c r="AC32" s="176">
        <v>75.081999999999994</v>
      </c>
      <c r="AD32" s="2196"/>
    </row>
    <row r="33" spans="1:30" ht="13.15" customHeight="1">
      <c r="A33" s="549">
        <v>569</v>
      </c>
      <c r="B33" s="550" t="s">
        <v>104</v>
      </c>
      <c r="C33" s="82">
        <f>Drift!F80</f>
        <v>9141.2530000000006</v>
      </c>
      <c r="D33" s="53">
        <v>231.00899999999999</v>
      </c>
      <c r="E33" s="53">
        <v>2.3980000000000001</v>
      </c>
      <c r="F33" s="53">
        <v>7423.2479999999996</v>
      </c>
      <c r="G33" s="53">
        <v>174.108</v>
      </c>
      <c r="H33" s="53">
        <v>94.700999999999993</v>
      </c>
      <c r="I33" s="53">
        <v>1172.104</v>
      </c>
      <c r="J33" s="1189">
        <v>0</v>
      </c>
      <c r="K33" s="53">
        <v>39.531999999999996</v>
      </c>
      <c r="L33" s="53">
        <v>4.1529999999999996</v>
      </c>
      <c r="M33" s="1226">
        <f t="shared" si="0"/>
        <v>0</v>
      </c>
      <c r="N33" s="433">
        <f>Drift!H80</f>
        <v>132.785</v>
      </c>
      <c r="O33" s="53">
        <v>49.515999999999998</v>
      </c>
      <c r="P33" s="53">
        <v>1.5409999999999999</v>
      </c>
      <c r="Q33" s="53">
        <v>16.271999999999998</v>
      </c>
      <c r="R33" s="53">
        <v>1.95</v>
      </c>
      <c r="S33" s="53">
        <v>4.1150000000000002</v>
      </c>
      <c r="T33" s="53">
        <v>2.6269999999999998</v>
      </c>
      <c r="U33" s="53">
        <v>0.45800000000000002</v>
      </c>
      <c r="V33" s="53">
        <v>56.307000000000002</v>
      </c>
      <c r="W33" s="53">
        <v>0</v>
      </c>
      <c r="X33" s="1226">
        <f t="shared" si="1"/>
        <v>-1.0000000000047748E-3</v>
      </c>
      <c r="Y33" s="436">
        <v>156.30799999999999</v>
      </c>
      <c r="Z33" s="53">
        <v>18.361000000000001</v>
      </c>
      <c r="AA33" s="53">
        <v>906.48800000000006</v>
      </c>
      <c r="AB33" s="53">
        <v>5.3520000000000003</v>
      </c>
      <c r="AC33" s="176">
        <v>602.61599999999999</v>
      </c>
      <c r="AD33" s="2196"/>
    </row>
    <row r="34" spans="1:30" ht="13.15" customHeight="1">
      <c r="A34" s="549">
        <v>554</v>
      </c>
      <c r="B34" s="555" t="s">
        <v>203</v>
      </c>
      <c r="C34" s="2351">
        <f>SUM(D34+E34+F34+G34+H34+I34+K34+L34)</f>
        <v>5498.0209999999997</v>
      </c>
      <c r="D34" s="53">
        <v>125.133</v>
      </c>
      <c r="E34" s="53">
        <v>1.4910000000000001</v>
      </c>
      <c r="F34" s="53">
        <v>4145.884</v>
      </c>
      <c r="G34" s="53">
        <v>53.954000000000001</v>
      </c>
      <c r="H34" s="53">
        <v>23.109000000000002</v>
      </c>
      <c r="I34" s="53">
        <v>1109.575</v>
      </c>
      <c r="J34" s="1189">
        <v>0</v>
      </c>
      <c r="K34" s="53">
        <v>35.6</v>
      </c>
      <c r="L34" s="53">
        <v>3.2749999999999999</v>
      </c>
      <c r="M34" s="1226">
        <f>IF(OR(C34="",C34=0),"",C34-SUM(D34:L34))</f>
        <v>0</v>
      </c>
      <c r="N34" s="2352">
        <f>SUM(O34+P34+Q34+R34+S34+T34+U34+V34+W34)</f>
        <v>19.649000000000001</v>
      </c>
      <c r="O34" s="53">
        <v>4.3150000000000004</v>
      </c>
      <c r="P34" s="53">
        <v>1E-3</v>
      </c>
      <c r="Q34" s="53">
        <v>4.9409999999999998</v>
      </c>
      <c r="R34" s="53">
        <v>0.218</v>
      </c>
      <c r="S34" s="53">
        <v>0.28999999999999998</v>
      </c>
      <c r="T34" s="53">
        <v>0.54</v>
      </c>
      <c r="U34" s="53">
        <v>-7.4999999999999997E-2</v>
      </c>
      <c r="V34" s="53">
        <v>9.4190000000000005</v>
      </c>
      <c r="W34" s="53">
        <v>0</v>
      </c>
      <c r="X34" s="1226">
        <f>IF(OR(N34="",N34=0),"",N34-SUM(O34:W34))</f>
        <v>0</v>
      </c>
      <c r="Y34" s="436">
        <v>55.268999999999998</v>
      </c>
      <c r="Z34" s="53">
        <v>4.8070000000000004</v>
      </c>
      <c r="AA34" s="53">
        <v>160.21100000000001</v>
      </c>
      <c r="AB34" s="53">
        <v>0.377</v>
      </c>
      <c r="AC34" s="176">
        <v>200.36099999999999</v>
      </c>
      <c r="AD34" s="2196"/>
    </row>
    <row r="35" spans="1:30" ht="13.15" customHeight="1">
      <c r="A35" s="549">
        <v>580</v>
      </c>
      <c r="B35" s="555" t="s">
        <v>137</v>
      </c>
      <c r="C35" s="82">
        <f>SUM(Drift!F81,Drift!F82,Drift!F84)</f>
        <v>1147.569</v>
      </c>
      <c r="D35" s="53">
        <v>158.39500000000001</v>
      </c>
      <c r="E35" s="53">
        <v>3.6720000000000002</v>
      </c>
      <c r="F35" s="53">
        <v>803.16399999999999</v>
      </c>
      <c r="G35" s="53">
        <v>144.774</v>
      </c>
      <c r="H35" s="53">
        <v>8.4390000000000001</v>
      </c>
      <c r="I35" s="53">
        <v>2.76</v>
      </c>
      <c r="J35" s="1189">
        <v>0</v>
      </c>
      <c r="K35" s="54">
        <v>26.344999999999999</v>
      </c>
      <c r="L35" s="184">
        <v>1.9E-2</v>
      </c>
      <c r="M35" s="1226">
        <f t="shared" si="0"/>
        <v>9.9999999974897946E-4</v>
      </c>
      <c r="N35" s="433">
        <f>SUM(Drift!H81,Drift!H82,Drift!H84)</f>
        <v>10668.746000000001</v>
      </c>
      <c r="O35" s="53">
        <v>277.41800000000001</v>
      </c>
      <c r="P35" s="53">
        <v>1.7070000000000001</v>
      </c>
      <c r="Q35" s="53">
        <v>64.554000000000002</v>
      </c>
      <c r="R35" s="53">
        <v>2.9289999999999998</v>
      </c>
      <c r="S35" s="53">
        <v>2.3119999999999998</v>
      </c>
      <c r="T35" s="53">
        <v>6.6180000000000003</v>
      </c>
      <c r="U35" s="53">
        <v>2.2010000000000001</v>
      </c>
      <c r="V35" s="53">
        <v>10311.007</v>
      </c>
      <c r="W35" s="53">
        <v>0</v>
      </c>
      <c r="X35" s="1226">
        <f t="shared" si="1"/>
        <v>0</v>
      </c>
      <c r="Y35" s="435">
        <v>148.34100000000001</v>
      </c>
      <c r="Z35" s="53">
        <v>2.052</v>
      </c>
      <c r="AA35" s="53">
        <v>438.654</v>
      </c>
      <c r="AB35" s="53">
        <v>0.85199999999999998</v>
      </c>
      <c r="AC35" s="98">
        <v>342.22800000000001</v>
      </c>
      <c r="AD35" s="2196"/>
    </row>
    <row r="36" spans="1:30" ht="13.15" customHeight="1">
      <c r="A36" s="549">
        <v>600</v>
      </c>
      <c r="B36" s="550" t="s">
        <v>111</v>
      </c>
      <c r="C36" s="82">
        <f>Drift!F87</f>
        <v>451.553</v>
      </c>
      <c r="D36" s="65">
        <v>27.187999999999999</v>
      </c>
      <c r="E36" s="65">
        <v>0.81</v>
      </c>
      <c r="F36" s="65">
        <v>335.74799999999999</v>
      </c>
      <c r="G36" s="65">
        <v>31.564</v>
      </c>
      <c r="H36" s="65">
        <v>7.1280000000000001</v>
      </c>
      <c r="I36" s="65">
        <v>36.941000000000003</v>
      </c>
      <c r="J36" s="1195">
        <v>0</v>
      </c>
      <c r="K36" s="184">
        <v>12.173999999999999</v>
      </c>
      <c r="L36" s="184">
        <v>0</v>
      </c>
      <c r="M36" s="432">
        <f t="shared" si="0"/>
        <v>0</v>
      </c>
      <c r="N36" s="433">
        <f>Drift!H87</f>
        <v>644.12</v>
      </c>
      <c r="O36" s="65">
        <v>143.96799999999999</v>
      </c>
      <c r="P36" s="65">
        <v>1.4690000000000001</v>
      </c>
      <c r="Q36" s="65">
        <v>11.016</v>
      </c>
      <c r="R36" s="65">
        <v>0.27600000000000002</v>
      </c>
      <c r="S36" s="65">
        <v>0.157</v>
      </c>
      <c r="T36" s="65">
        <v>1.1859999999999999</v>
      </c>
      <c r="U36" s="65">
        <v>3.2250000000000001</v>
      </c>
      <c r="V36" s="65">
        <v>482.822</v>
      </c>
      <c r="W36" s="65">
        <v>0</v>
      </c>
      <c r="X36" s="432">
        <f t="shared" si="1"/>
        <v>9.9999999997635314E-4</v>
      </c>
      <c r="Y36" s="436">
        <v>26.992999999999999</v>
      </c>
      <c r="Z36" s="65">
        <v>17.686</v>
      </c>
      <c r="AA36" s="65">
        <v>3454.9360000000001</v>
      </c>
      <c r="AB36" s="65">
        <v>28.507999999999999</v>
      </c>
      <c r="AC36" s="98">
        <v>63.530999999999999</v>
      </c>
      <c r="AD36" s="2196"/>
    </row>
    <row r="37" spans="1:30" ht="13.15" customHeight="1">
      <c r="A37" s="549">
        <v>610</v>
      </c>
      <c r="B37" s="555" t="s">
        <v>138</v>
      </c>
      <c r="C37" s="82">
        <f>Drift!F88</f>
        <v>194.79300000000001</v>
      </c>
      <c r="D37" s="53">
        <v>53.892000000000003</v>
      </c>
      <c r="E37" s="53">
        <v>21.372</v>
      </c>
      <c r="F37" s="53">
        <v>81.393000000000001</v>
      </c>
      <c r="G37" s="53">
        <v>18.741</v>
      </c>
      <c r="H37" s="53">
        <v>3.0640000000000001</v>
      </c>
      <c r="I37" s="53">
        <v>4.7880000000000003</v>
      </c>
      <c r="J37" s="1189">
        <v>0</v>
      </c>
      <c r="K37" s="54">
        <v>11.544</v>
      </c>
      <c r="L37" s="184">
        <v>0</v>
      </c>
      <c r="M37" s="432">
        <f t="shared" si="0"/>
        <v>-1.0000000000331966E-3</v>
      </c>
      <c r="N37" s="433">
        <f>Drift!H88</f>
        <v>158.21899999999999</v>
      </c>
      <c r="O37" s="53">
        <v>65.694999999999993</v>
      </c>
      <c r="P37" s="53">
        <v>11.839</v>
      </c>
      <c r="Q37" s="53">
        <v>33.320999999999998</v>
      </c>
      <c r="R37" s="53">
        <v>6.2270000000000003</v>
      </c>
      <c r="S37" s="53">
        <v>1.0369999999999999</v>
      </c>
      <c r="T37" s="53">
        <v>23.056999999999999</v>
      </c>
      <c r="U37" s="53">
        <v>2.331</v>
      </c>
      <c r="V37" s="53">
        <v>14.712</v>
      </c>
      <c r="W37" s="53">
        <v>0</v>
      </c>
      <c r="X37" s="432">
        <f t="shared" si="1"/>
        <v>0</v>
      </c>
      <c r="Y37" s="436">
        <v>68.846999999999994</v>
      </c>
      <c r="Z37" s="53">
        <v>4.734</v>
      </c>
      <c r="AA37" s="53">
        <v>3169.2049999999999</v>
      </c>
      <c r="AB37" s="53">
        <v>151.56700000000001</v>
      </c>
      <c r="AC37" s="98">
        <v>256.346</v>
      </c>
      <c r="AD37" s="2196"/>
    </row>
    <row r="38" spans="1:30" ht="13.15" customHeight="1">
      <c r="A38" s="549">
        <v>890</v>
      </c>
      <c r="B38" s="555" t="s">
        <v>139</v>
      </c>
      <c r="C38" s="82">
        <f>Drift!F109</f>
        <v>5426.9290000000001</v>
      </c>
      <c r="D38" s="53">
        <v>5.0460000000000003</v>
      </c>
      <c r="E38" s="53">
        <v>1435.566</v>
      </c>
      <c r="F38" s="53">
        <v>3114.0540000000001</v>
      </c>
      <c r="G38" s="53">
        <v>83.778000000000006</v>
      </c>
      <c r="H38" s="53">
        <v>420.45299999999997</v>
      </c>
      <c r="I38" s="53">
        <v>67.739000000000004</v>
      </c>
      <c r="J38" s="1189">
        <v>0</v>
      </c>
      <c r="K38" s="54">
        <v>286.50599999999997</v>
      </c>
      <c r="L38" s="184">
        <v>13.787000000000001</v>
      </c>
      <c r="M38" s="432">
        <f t="shared" si="0"/>
        <v>0</v>
      </c>
      <c r="N38" s="433">
        <f>Drift!H109</f>
        <v>2315.0509999999999</v>
      </c>
      <c r="O38" s="53">
        <v>23.384</v>
      </c>
      <c r="P38" s="53">
        <v>1506.605</v>
      </c>
      <c r="Q38" s="53">
        <v>295.94499999999999</v>
      </c>
      <c r="R38" s="53">
        <v>5.9160000000000004</v>
      </c>
      <c r="S38" s="53">
        <v>208.37899999999999</v>
      </c>
      <c r="T38" s="53">
        <v>262.178</v>
      </c>
      <c r="U38" s="53">
        <v>10.686</v>
      </c>
      <c r="V38" s="53">
        <v>1.9430000000000001</v>
      </c>
      <c r="W38" s="53">
        <v>1.6E-2</v>
      </c>
      <c r="X38" s="432">
        <f t="shared" si="1"/>
        <v>-1.0000000002037268E-3</v>
      </c>
      <c r="Y38" s="436">
        <v>151.93</v>
      </c>
      <c r="Z38" s="53">
        <v>23.390999999999998</v>
      </c>
      <c r="AA38" s="53">
        <v>346.95</v>
      </c>
      <c r="AB38" s="53">
        <v>6.5229999999999997</v>
      </c>
      <c r="AC38" s="98">
        <v>5052.4970000000003</v>
      </c>
      <c r="AD38" s="2196"/>
    </row>
    <row r="39" spans="1:30" ht="13.15" customHeight="1">
      <c r="A39" s="549">
        <v>940</v>
      </c>
      <c r="B39" s="555" t="s">
        <v>140</v>
      </c>
      <c r="C39" s="82">
        <f>SUM(Drift!F111:F112)</f>
        <v>872.25800000000004</v>
      </c>
      <c r="D39" s="53">
        <v>9.7469999999999999</v>
      </c>
      <c r="E39" s="53">
        <v>279.363</v>
      </c>
      <c r="F39" s="53">
        <v>274.99700000000001</v>
      </c>
      <c r="G39" s="53">
        <v>199.08699999999999</v>
      </c>
      <c r="H39" s="53">
        <v>17.074000000000002</v>
      </c>
      <c r="I39" s="53">
        <v>5.0439999999999996</v>
      </c>
      <c r="J39" s="1189">
        <v>0</v>
      </c>
      <c r="K39" s="54">
        <v>86.94</v>
      </c>
      <c r="L39" s="184">
        <v>5.0000000000000001E-3</v>
      </c>
      <c r="M39" s="432">
        <f t="shared" si="0"/>
        <v>1.00000000009004E-3</v>
      </c>
      <c r="N39" s="433">
        <f>SUM(Drift!H111:H112)</f>
        <v>479.56399999999996</v>
      </c>
      <c r="O39" s="53">
        <v>194.18299999999999</v>
      </c>
      <c r="P39" s="53">
        <v>103.73399999999999</v>
      </c>
      <c r="Q39" s="53">
        <v>62.024999999999999</v>
      </c>
      <c r="R39" s="53">
        <v>5.7830000000000004</v>
      </c>
      <c r="S39" s="53">
        <v>10.117000000000001</v>
      </c>
      <c r="T39" s="53">
        <v>46.575000000000003</v>
      </c>
      <c r="U39" s="53">
        <v>50.417000000000002</v>
      </c>
      <c r="V39" s="53">
        <v>6.5179999999999998</v>
      </c>
      <c r="W39" s="53">
        <v>0.21299999999999999</v>
      </c>
      <c r="X39" s="432">
        <f t="shared" si="1"/>
        <v>-9.9999999997635314E-4</v>
      </c>
      <c r="Y39" s="436">
        <v>768.13</v>
      </c>
      <c r="Z39" s="53">
        <v>28</v>
      </c>
      <c r="AA39" s="53">
        <v>1658.2570000000001</v>
      </c>
      <c r="AB39" s="53">
        <v>73.215999999999994</v>
      </c>
      <c r="AC39" s="98">
        <v>1010.009</v>
      </c>
      <c r="AD39" s="2196"/>
    </row>
    <row r="40" spans="1:30" ht="13.15" customHeight="1">
      <c r="A40" s="581" t="s">
        <v>278</v>
      </c>
      <c r="B40" s="1032" t="s">
        <v>33</v>
      </c>
      <c r="C40" s="407">
        <f>SUM(C9:C31,C33,C35:C39)</f>
        <v>150191.68799999999</v>
      </c>
      <c r="D40" s="361">
        <f>SUM(D9:D31,D33,D35:D39)</f>
        <v>17325.833999999995</v>
      </c>
      <c r="E40" s="361">
        <f t="shared" ref="E40:L40" si="2">SUM(E9:E31,E33,E35:E39)</f>
        <v>4393.9400000000005</v>
      </c>
      <c r="F40" s="361">
        <f t="shared" si="2"/>
        <v>100326.90100000003</v>
      </c>
      <c r="G40" s="361">
        <f t="shared" si="2"/>
        <v>13854.595000000001</v>
      </c>
      <c r="H40" s="361">
        <f t="shared" si="2"/>
        <v>2400.0250000000001</v>
      </c>
      <c r="I40" s="361">
        <f t="shared" si="2"/>
        <v>2676.4690000000001</v>
      </c>
      <c r="J40" s="1870">
        <f t="shared" si="2"/>
        <v>0</v>
      </c>
      <c r="K40" s="361">
        <f t="shared" si="2"/>
        <v>9163.1719999999987</v>
      </c>
      <c r="L40" s="361">
        <f t="shared" si="2"/>
        <v>50.75200000000001</v>
      </c>
      <c r="M40" s="364">
        <f>SUM(M9:M31,M33,M35:M39)</f>
        <v>3.2116531656356528E-12</v>
      </c>
      <c r="N40" s="434">
        <f>SUM(N9:N31,N33,N35:N39)</f>
        <v>30011.105</v>
      </c>
      <c r="O40" s="361">
        <f>SUM(O9:O31,O33,O35:O39)</f>
        <v>5542.9219999999987</v>
      </c>
      <c r="P40" s="361">
        <f t="shared" ref="P40:W40" si="3">SUM(P9:P31,P33,P35:P39)</f>
        <v>2792.1590000000001</v>
      </c>
      <c r="Q40" s="361">
        <f t="shared" si="3"/>
        <v>2238.5840000000003</v>
      </c>
      <c r="R40" s="361">
        <f t="shared" si="3"/>
        <v>100.10600000000001</v>
      </c>
      <c r="S40" s="361">
        <f t="shared" si="3"/>
        <v>338.07100000000003</v>
      </c>
      <c r="T40" s="361">
        <f t="shared" si="3"/>
        <v>1345.269</v>
      </c>
      <c r="U40" s="361">
        <f t="shared" si="3"/>
        <v>5338.9449999999997</v>
      </c>
      <c r="V40" s="361">
        <f t="shared" si="3"/>
        <v>12302.608999999999</v>
      </c>
      <c r="W40" s="361">
        <f t="shared" si="3"/>
        <v>12.440999999999999</v>
      </c>
      <c r="X40" s="364">
        <f t="shared" ref="X40:AC40" si="4">SUM(X9:X31,X33,X35:X39)</f>
        <v>-1.0000000000918163E-3</v>
      </c>
      <c r="Y40" s="437">
        <f t="shared" si="4"/>
        <v>14266.842000000002</v>
      </c>
      <c r="Z40" s="362">
        <f t="shared" si="4"/>
        <v>455.79699999999997</v>
      </c>
      <c r="AA40" s="362">
        <f t="shared" si="4"/>
        <v>46000.578999999998</v>
      </c>
      <c r="AB40" s="362">
        <f t="shared" si="4"/>
        <v>582.85500000000002</v>
      </c>
      <c r="AC40" s="363">
        <f t="shared" si="4"/>
        <v>22932.025000000001</v>
      </c>
      <c r="AD40" s="2196"/>
    </row>
    <row r="41" spans="1:30" ht="12" customHeight="1">
      <c r="A41" s="581"/>
      <c r="B41" s="1033" t="s">
        <v>1017</v>
      </c>
      <c r="C41" s="10"/>
      <c r="D41" s="47"/>
      <c r="E41" s="47"/>
      <c r="F41" s="47"/>
      <c r="G41" s="47"/>
      <c r="H41" s="47"/>
      <c r="I41" s="47"/>
      <c r="J41" s="1649"/>
      <c r="K41" s="46"/>
      <c r="L41" s="1651"/>
      <c r="M41" s="2020"/>
      <c r="N41" s="524"/>
      <c r="O41" s="249"/>
      <c r="P41" s="249"/>
      <c r="Q41" s="249"/>
      <c r="R41" s="249"/>
      <c r="S41" s="249"/>
      <c r="T41" s="250"/>
      <c r="V41" s="250"/>
      <c r="W41" s="526"/>
      <c r="X41" s="2021" t="str">
        <f>IF(OR(ABS(X40&gt;100),(X40&lt;-100),COUNTIF(X9:X39,"&gt;100")&gt;0,COUNTIF(X9:X39,"&lt;-100")&gt;0),"Rätta differenserna i kolumn X","")</f>
        <v/>
      </c>
      <c r="Y41" s="120">
        <f>SUM('Verks int o kostn'!I27+'Verks int o kostn'!I29)</f>
        <v>14266.843999999999</v>
      </c>
      <c r="Z41" s="85">
        <f>'Verks int o kostn'!I28</f>
        <v>455.803</v>
      </c>
      <c r="AA41" s="85">
        <f>SUM('Verks int o kostn'!D17,'Verks int o kostn'!D18)</f>
        <v>46014.703000000001</v>
      </c>
      <c r="AB41" s="85">
        <f>'Verks int o kostn'!D23</f>
        <v>582.85699999999997</v>
      </c>
      <c r="AC41" s="248">
        <f>SUM('Verks int o kostn'!D14,'Verks int o kostn'!D19,'Verks int o kostn'!D20,'Verks int o kostn'!D21,'Verks int o kostn'!D22,'Verks int o kostn'!D24,'Verks int o kostn'!D25)</f>
        <v>23046.019000000004</v>
      </c>
      <c r="AD41" s="2196"/>
    </row>
    <row r="42" spans="1:30" ht="12.75" customHeight="1" thickBot="1">
      <c r="A42" s="572"/>
      <c r="B42" s="1034" t="s">
        <v>127</v>
      </c>
      <c r="C42" s="246"/>
      <c r="D42" s="126"/>
      <c r="E42" s="126"/>
      <c r="F42" s="126"/>
      <c r="G42" s="126"/>
      <c r="H42" s="126"/>
      <c r="I42" s="126"/>
      <c r="J42" s="522"/>
      <c r="K42" s="126"/>
      <c r="L42" s="523"/>
      <c r="M42" s="1294"/>
      <c r="N42" s="525"/>
      <c r="O42" s="247"/>
      <c r="P42" s="126"/>
      <c r="Q42" s="126"/>
      <c r="R42" s="126"/>
      <c r="S42" s="126"/>
      <c r="T42" s="127"/>
      <c r="U42" s="529"/>
      <c r="V42" s="127"/>
      <c r="W42" s="247"/>
      <c r="X42" s="527"/>
      <c r="Y42" s="408">
        <f>Y40-Y41</f>
        <v>-1.9999999967694748E-3</v>
      </c>
      <c r="Z42" s="409">
        <f>Z40-Z41</f>
        <v>-6.0000000000286491E-3</v>
      </c>
      <c r="AA42" s="410">
        <f>AA40-AA41</f>
        <v>-14.124000000003434</v>
      </c>
      <c r="AB42" s="410">
        <f>AB40-AB41</f>
        <v>-1.9999999999527063E-3</v>
      </c>
      <c r="AC42" s="411">
        <f>AC40-AC41</f>
        <v>-113.99400000000242</v>
      </c>
      <c r="AD42" s="2196"/>
    </row>
    <row r="43" spans="1:30" ht="12.75" customHeight="1">
      <c r="A43" s="2196"/>
      <c r="B43" s="2196"/>
      <c r="C43" s="2196"/>
      <c r="D43" s="2196"/>
      <c r="E43" s="2196"/>
      <c r="F43" s="2196"/>
      <c r="G43" s="2196"/>
      <c r="H43" s="2196"/>
      <c r="I43" s="2196"/>
      <c r="J43" s="2196"/>
      <c r="K43" s="2196"/>
      <c r="L43" s="2196"/>
      <c r="M43" s="2196"/>
      <c r="N43" s="2196"/>
      <c r="O43" s="2196"/>
      <c r="P43" s="2196"/>
      <c r="Q43" s="2196"/>
      <c r="R43" s="2196"/>
      <c r="S43" s="2196"/>
      <c r="T43" s="2196"/>
      <c r="U43" s="2196"/>
      <c r="V43" s="2196"/>
      <c r="W43" s="2196"/>
      <c r="X43" s="2196"/>
      <c r="Y43" s="2196"/>
      <c r="Z43" s="2196"/>
      <c r="AA43" s="2196"/>
      <c r="AB43" s="2196"/>
      <c r="AC43" s="2196"/>
      <c r="AD43" s="2196"/>
    </row>
    <row r="44" spans="1:30" ht="12.75" customHeight="1">
      <c r="A44" s="2196"/>
      <c r="B44" s="2196"/>
      <c r="C44" s="2196"/>
      <c r="D44" s="2196"/>
      <c r="E44" s="2196"/>
      <c r="F44" s="2196"/>
      <c r="G44" s="2196"/>
      <c r="H44" s="2196"/>
      <c r="I44" s="2196"/>
      <c r="J44" s="2196"/>
      <c r="K44" s="2196"/>
      <c r="L44" s="2196"/>
      <c r="M44" s="2196"/>
      <c r="N44" s="2196"/>
      <c r="O44" s="2196"/>
      <c r="P44" s="2196"/>
      <c r="Q44" s="2196"/>
      <c r="R44" s="2196"/>
      <c r="S44" s="2196"/>
      <c r="T44" s="2196"/>
      <c r="U44" s="2196"/>
      <c r="V44" s="2196"/>
      <c r="W44" s="2196"/>
      <c r="X44" s="2196"/>
      <c r="Y44" s="2196"/>
      <c r="Z44" s="2196"/>
      <c r="AA44" s="2196"/>
      <c r="AB44" s="2196"/>
      <c r="AC44" s="2196"/>
      <c r="AD44" s="2196"/>
    </row>
    <row r="45" spans="1:30" ht="12.75" customHeight="1">
      <c r="A45" s="2196"/>
      <c r="B45" s="2196"/>
      <c r="C45" s="2196"/>
      <c r="D45" s="2196"/>
      <c r="E45" s="2196"/>
      <c r="F45" s="2196"/>
      <c r="G45" s="2196"/>
      <c r="H45" s="2196"/>
      <c r="I45" s="2196"/>
      <c r="J45" s="2196"/>
      <c r="K45" s="2196"/>
      <c r="L45" s="2196"/>
      <c r="M45" s="2196"/>
      <c r="N45" s="2196"/>
      <c r="O45" s="2196"/>
      <c r="P45" s="2196"/>
      <c r="Q45" s="2196"/>
      <c r="R45" s="2196"/>
      <c r="S45" s="2196"/>
      <c r="T45" s="2196"/>
      <c r="U45" s="2196"/>
      <c r="V45" s="2196"/>
      <c r="W45" s="2196"/>
      <c r="X45" s="2196"/>
      <c r="Y45" s="2196"/>
      <c r="Z45" s="2196"/>
      <c r="AA45" s="2196"/>
      <c r="AB45" s="2196"/>
      <c r="AC45" s="2196"/>
      <c r="AD45" s="2196"/>
    </row>
    <row r="46" spans="1:30" ht="9.75" customHeight="1">
      <c r="A46" s="2196"/>
      <c r="B46" s="2196"/>
      <c r="C46" s="2196"/>
      <c r="D46" s="2196"/>
      <c r="E46" s="2196"/>
      <c r="F46" s="2196"/>
      <c r="G46" s="2196"/>
      <c r="H46" s="2196"/>
      <c r="I46" s="2196"/>
      <c r="J46" s="2196"/>
      <c r="K46" s="2196"/>
      <c r="L46" s="2196"/>
      <c r="M46" s="2196"/>
      <c r="N46" s="2196"/>
      <c r="O46" s="2196"/>
      <c r="P46" s="2196"/>
      <c r="Q46" s="2196"/>
      <c r="R46" s="2196"/>
      <c r="S46" s="2196"/>
      <c r="T46" s="2196"/>
      <c r="U46" s="2196"/>
      <c r="V46" s="2196"/>
      <c r="W46" s="2196"/>
      <c r="X46" s="2196"/>
      <c r="Y46" s="2196"/>
      <c r="Z46" s="2196"/>
      <c r="AA46" s="2196"/>
      <c r="AB46" s="2196"/>
      <c r="AC46" s="2196"/>
      <c r="AD46" s="2196"/>
    </row>
    <row r="47" spans="1:30" ht="10.5" customHeight="1">
      <c r="A47" s="2196"/>
      <c r="B47" s="2196"/>
      <c r="C47" s="2196"/>
      <c r="D47" s="2196"/>
      <c r="E47" s="2196"/>
      <c r="F47" s="2196"/>
      <c r="G47" s="2196"/>
      <c r="H47" s="2196"/>
      <c r="I47" s="2196"/>
      <c r="J47" s="2196"/>
      <c r="K47" s="2196"/>
      <c r="L47" s="2196"/>
      <c r="M47" s="2196"/>
      <c r="N47" s="2196"/>
      <c r="O47" s="2196"/>
      <c r="P47" s="2196"/>
      <c r="Q47" s="2196"/>
      <c r="R47" s="2196"/>
      <c r="S47" s="2196"/>
      <c r="T47" s="2196"/>
      <c r="U47" s="2196"/>
      <c r="V47" s="2196"/>
      <c r="W47" s="2196"/>
      <c r="X47" s="2196"/>
      <c r="Y47" s="2196"/>
      <c r="Z47" s="2196"/>
      <c r="AA47" s="2196"/>
      <c r="AB47" s="2196"/>
      <c r="AC47" s="2196"/>
      <c r="AD47" s="2196"/>
    </row>
    <row r="48" spans="1:30" ht="9.75" customHeight="1">
      <c r="A48" s="2196"/>
      <c r="B48" s="2196"/>
      <c r="C48" s="2196"/>
      <c r="D48" s="2196"/>
      <c r="E48" s="2196"/>
      <c r="F48" s="2196"/>
      <c r="G48" s="2196"/>
      <c r="H48" s="2196"/>
      <c r="I48" s="2196"/>
      <c r="J48" s="2196"/>
      <c r="K48" s="2196"/>
      <c r="L48" s="2196"/>
      <c r="M48" s="2196"/>
      <c r="N48" s="2196"/>
      <c r="O48" s="2196"/>
      <c r="P48" s="2196"/>
      <c r="Q48" s="2196"/>
      <c r="R48" s="2196"/>
      <c r="S48" s="2196"/>
      <c r="T48" s="2196"/>
      <c r="U48" s="2196"/>
      <c r="V48" s="2196"/>
      <c r="W48" s="2196"/>
      <c r="X48" s="2196"/>
      <c r="Y48" s="2196"/>
      <c r="Z48" s="2196"/>
      <c r="AA48" s="2196"/>
      <c r="AB48" s="2196"/>
      <c r="AC48" s="2196"/>
      <c r="AD48" s="2196"/>
    </row>
    <row r="49" spans="1:30" ht="12.75">
      <c r="A49" s="2196"/>
      <c r="B49" s="2196"/>
      <c r="C49" s="2196"/>
      <c r="D49" s="2196"/>
      <c r="E49" s="2196"/>
      <c r="F49" s="2196"/>
      <c r="G49" s="2196"/>
      <c r="H49" s="2196"/>
      <c r="I49" s="2196"/>
      <c r="J49" s="2196"/>
      <c r="K49" s="2196"/>
      <c r="L49" s="2196"/>
      <c r="M49" s="2196"/>
      <c r="N49" s="2196"/>
      <c r="O49" s="2196"/>
      <c r="P49" s="2196"/>
      <c r="Q49" s="2196"/>
      <c r="R49" s="2196"/>
      <c r="S49" s="2196"/>
      <c r="T49" s="2196"/>
      <c r="U49" s="2196"/>
      <c r="V49" s="2196"/>
      <c r="W49" s="2196"/>
      <c r="X49" s="2196"/>
      <c r="Y49" s="2196"/>
      <c r="Z49" s="2196"/>
      <c r="AA49" s="2196"/>
      <c r="AB49" s="2196"/>
      <c r="AC49" s="2196"/>
      <c r="AD49" s="2196"/>
    </row>
    <row r="50" spans="1:30" ht="12.75">
      <c r="A50" s="2196"/>
      <c r="B50" s="2196"/>
      <c r="C50" s="2196"/>
      <c r="D50" s="2196"/>
      <c r="E50" s="2196"/>
      <c r="F50" s="2196"/>
      <c r="G50" s="2196"/>
      <c r="H50" s="2196"/>
      <c r="I50" s="2196"/>
      <c r="J50" s="2196"/>
      <c r="K50" s="2196"/>
      <c r="L50" s="2196"/>
      <c r="M50" s="2196"/>
      <c r="N50" s="2196"/>
      <c r="O50" s="2196"/>
      <c r="P50" s="2196"/>
      <c r="Q50" s="2196"/>
      <c r="R50" s="2196"/>
      <c r="S50" s="2196"/>
      <c r="T50" s="2196"/>
      <c r="U50" s="2196"/>
      <c r="V50" s="2196"/>
      <c r="W50" s="2196"/>
      <c r="X50" s="2196"/>
      <c r="Y50" s="2196"/>
      <c r="Z50" s="2196"/>
      <c r="AA50" s="2196"/>
      <c r="AB50" s="2196"/>
      <c r="AC50" s="2196"/>
      <c r="AD50" s="2196"/>
    </row>
    <row r="51" spans="1:30" ht="12" customHeight="1">
      <c r="A51" s="2196"/>
      <c r="B51" s="2196"/>
      <c r="C51" s="2196"/>
      <c r="D51" s="2196"/>
      <c r="E51" s="2196"/>
      <c r="F51" s="2196"/>
      <c r="G51" s="2196"/>
      <c r="H51" s="2196"/>
      <c r="I51" s="2196"/>
      <c r="J51" s="2196"/>
      <c r="K51" s="2196"/>
      <c r="L51" s="2196"/>
      <c r="M51" s="2196"/>
      <c r="N51" s="2196"/>
      <c r="O51" s="2196"/>
      <c r="P51" s="2196"/>
      <c r="Q51" s="2196"/>
      <c r="R51" s="2196"/>
      <c r="S51" s="2196"/>
      <c r="T51" s="2196"/>
      <c r="U51" s="2196"/>
      <c r="V51" s="2196"/>
      <c r="W51" s="2196"/>
      <c r="X51" s="2196"/>
      <c r="Y51" s="2196"/>
      <c r="Z51" s="2196"/>
      <c r="AA51" s="2196"/>
      <c r="AB51" s="2196"/>
      <c r="AC51" s="2196"/>
      <c r="AD51" s="2196"/>
    </row>
    <row r="52" spans="1:30" ht="12.75">
      <c r="A52" s="2196"/>
      <c r="B52" s="2196"/>
      <c r="C52" s="2196"/>
      <c r="D52" s="2196"/>
      <c r="E52" s="2196"/>
      <c r="F52" s="2196"/>
      <c r="G52" s="2196"/>
      <c r="H52" s="2196"/>
      <c r="I52" s="2196"/>
      <c r="J52" s="2196"/>
      <c r="K52" s="2196"/>
      <c r="L52" s="2196"/>
      <c r="M52" s="2196"/>
      <c r="N52" s="2196"/>
      <c r="O52" s="2196"/>
      <c r="P52" s="2196"/>
      <c r="Q52" s="2196"/>
      <c r="R52" s="2196"/>
      <c r="S52" s="2196"/>
      <c r="T52" s="2196"/>
      <c r="U52" s="2196"/>
      <c r="V52" s="2196"/>
      <c r="W52" s="2196"/>
      <c r="X52" s="2196"/>
      <c r="Y52" s="2196"/>
      <c r="Z52" s="2196"/>
      <c r="AA52" s="2196"/>
      <c r="AB52" s="2196"/>
      <c r="AC52" s="2196"/>
      <c r="AD52" s="2196"/>
    </row>
    <row r="53" spans="1:30" ht="12.75">
      <c r="A53" s="2196"/>
      <c r="B53" s="2196"/>
      <c r="C53" s="2196"/>
      <c r="D53" s="2196"/>
      <c r="E53" s="2196"/>
      <c r="F53" s="2196"/>
      <c r="G53" s="2196"/>
      <c r="H53" s="2196"/>
      <c r="I53" s="2196"/>
      <c r="J53" s="2196"/>
      <c r="K53" s="2196"/>
      <c r="L53" s="2196"/>
      <c r="M53" s="2196"/>
      <c r="N53" s="2196"/>
      <c r="O53" s="2196"/>
      <c r="P53" s="2196"/>
      <c r="Q53" s="2196"/>
      <c r="R53" s="2196"/>
      <c r="S53" s="2196"/>
      <c r="T53" s="2196"/>
      <c r="U53" s="2196"/>
      <c r="V53" s="2196"/>
      <c r="W53" s="2196"/>
      <c r="X53" s="2196"/>
      <c r="Y53" s="2196"/>
      <c r="Z53" s="2196"/>
      <c r="AA53" s="2196"/>
      <c r="AB53" s="2196"/>
      <c r="AC53" s="2196"/>
      <c r="AD53" s="2196"/>
    </row>
    <row r="54" spans="1:30" ht="12.75">
      <c r="A54" s="2196"/>
      <c r="B54" s="2196"/>
      <c r="C54" s="2196"/>
      <c r="D54" s="2196"/>
      <c r="E54" s="2196"/>
      <c r="F54" s="2196"/>
      <c r="G54" s="2196"/>
      <c r="H54" s="2196"/>
      <c r="I54" s="2196"/>
      <c r="J54" s="2196"/>
      <c r="K54" s="2196"/>
      <c r="L54" s="2196"/>
      <c r="M54" s="2196"/>
      <c r="N54" s="2196"/>
      <c r="O54" s="2196"/>
      <c r="P54" s="2196"/>
      <c r="Q54" s="2196"/>
      <c r="R54" s="2196"/>
      <c r="S54" s="2196"/>
      <c r="T54" s="2196"/>
      <c r="U54" s="2196"/>
      <c r="V54" s="2196"/>
      <c r="W54" s="2196"/>
      <c r="X54" s="2196"/>
      <c r="Y54" s="2196"/>
      <c r="Z54" s="2196"/>
      <c r="AA54" s="2196"/>
      <c r="AB54" s="2196"/>
      <c r="AC54" s="2196"/>
      <c r="AD54" s="2196"/>
    </row>
    <row r="55" spans="1:30" ht="12.75">
      <c r="A55" s="2196"/>
      <c r="B55" s="2196"/>
      <c r="C55" s="2196"/>
      <c r="D55" s="2196"/>
      <c r="E55" s="2196"/>
      <c r="F55" s="2196"/>
      <c r="G55" s="2196"/>
      <c r="H55" s="2196"/>
      <c r="I55" s="2196"/>
      <c r="J55" s="2196"/>
      <c r="K55" s="2196"/>
      <c r="L55" s="2196"/>
      <c r="M55" s="2196"/>
      <c r="N55" s="2196"/>
      <c r="O55" s="2196"/>
      <c r="P55" s="2196"/>
      <c r="Q55" s="2196"/>
      <c r="R55" s="2196"/>
      <c r="S55" s="2196"/>
      <c r="T55" s="2196"/>
      <c r="U55" s="2196"/>
      <c r="V55" s="2196"/>
      <c r="W55" s="2196"/>
      <c r="X55" s="2196"/>
      <c r="Y55" s="2196"/>
      <c r="Z55" s="2196"/>
      <c r="AA55" s="2196"/>
      <c r="AB55" s="2196"/>
      <c r="AC55" s="2196"/>
      <c r="AD55" s="2196"/>
    </row>
  </sheetData>
  <sheetProtection algorithmName="SHA-512" hashValue="vEcjZaU933n8GbjVSMbV8ItvX4ghqnMAtXEbGzX/ULe6RqUE9nqwBgXHyMJzXA5wzICLqVLIPy5ycoFCB4p/Fg==" saltValue="ODVqNhEj5wLC6FIxLoh7NA==" spinCount="100000" sheet="1" objects="1" scenarios="1"/>
  <customSheetViews>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alignWithMargins="0">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oddHeader>&amp;L&amp;8Statistiska Centralbyrån
Offentlig ekonomi&amp;R&amp;P</oddHeader>
      </headerFooter>
    </customSheetView>
  </customSheetViews>
  <phoneticPr fontId="88" type="noConversion"/>
  <conditionalFormatting sqref="D32:L32 D34:L34 O34:W34 O32:W32 Y32:AC32 Y34:AC34">
    <cfRule type="cellIs" dxfId="71" priority="40" stopIfTrue="1" operator="lessThan">
      <formula>-500</formula>
    </cfRule>
    <cfRule type="cellIs" dxfId="70" priority="41" stopIfTrue="1" operator="greaterThan">
      <formula>D31</formula>
    </cfRule>
  </conditionalFormatting>
  <conditionalFormatting sqref="M9:M26 M30:M40 X9:X40">
    <cfRule type="cellIs" dxfId="69" priority="27" stopIfTrue="1" operator="notBetween">
      <formula>-500</formula>
      <formula>500</formula>
    </cfRule>
  </conditionalFormatting>
  <conditionalFormatting sqref="M27:M29">
    <cfRule type="cellIs" dxfId="68" priority="11" stopIfTrue="1" operator="notBetween">
      <formula>-10</formula>
      <formula>10</formula>
    </cfRule>
  </conditionalFormatting>
  <conditionalFormatting sqref="D9:L39 Y9:AC39 O9:W39">
    <cfRule type="cellIs" dxfId="67" priority="9" stopIfTrue="1" operator="lessThan">
      <formula>-500</formula>
    </cfRule>
  </conditionalFormatting>
  <conditionalFormatting sqref="J9:J39">
    <cfRule type="cellIs" dxfId="66" priority="8" stopIfTrue="1" operator="greaterThan">
      <formula>1</formula>
    </cfRule>
  </conditionalFormatting>
  <conditionalFormatting sqref="U31">
    <cfRule type="cellIs" dxfId="65" priority="7" stopIfTrue="1" operator="greaterThan">
      <formula>1</formula>
    </cfRule>
  </conditionalFormatting>
  <conditionalFormatting sqref="U33">
    <cfRule type="cellIs" dxfId="64" priority="6" stopIfTrue="1" operator="greaterThan">
      <formula>1</formula>
    </cfRule>
  </conditionalFormatting>
  <dataValidations count="1">
    <dataValidation type="decimal" operator="lessThan" allowBlank="1" showInputMessage="1" showErrorMessage="1" error="Beloppet ska vara i 1000 tal kr" sqref="D9:L39 O9:W39 Y9:AC39"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04"/>
  <sheetViews>
    <sheetView showGridLines="0" zoomScaleNormal="100" workbookViewId="0">
      <pane xSplit="2" ySplit="7" topLeftCell="C74" activePane="bottomRight" state="frozen"/>
      <selection sqref="A1:F1"/>
      <selection pane="topRight" sqref="A1:F1"/>
      <selection pane="bottomLeft" sqref="A1:F1"/>
      <selection pane="bottomRight" sqref="A1:F1"/>
    </sheetView>
  </sheetViews>
  <sheetFormatPr defaultColWidth="0" defaultRowHeight="0" customHeight="1" zeroHeight="1"/>
  <cols>
    <col min="1" max="1" width="4" style="260" customWidth="1"/>
    <col min="2" max="2" width="27.28515625" style="208" customWidth="1"/>
    <col min="3" max="3" width="10.28515625" style="208" customWidth="1"/>
    <col min="4" max="5" width="10.42578125" style="208" customWidth="1"/>
    <col min="6" max="6" width="9.5703125" style="208" customWidth="1"/>
    <col min="7" max="7" width="8.42578125" style="208" customWidth="1"/>
    <col min="8" max="8" width="8.42578125" style="261" hidden="1" customWidth="1"/>
    <col min="9" max="9" width="25.5703125" style="208" customWidth="1"/>
    <col min="10" max="10" width="6.85546875" style="208" customWidth="1"/>
    <col min="11" max="11" width="1.42578125" style="209" customWidth="1"/>
    <col min="12" max="12" width="0.7109375" style="209" customWidth="1"/>
    <col min="13" max="13" width="12.7109375" style="169" customWidth="1"/>
    <col min="14" max="15" width="1" style="169" customWidth="1"/>
    <col min="16" max="16" width="1" style="262" customWidth="1"/>
    <col min="17" max="17" width="59.7109375" style="4" customWidth="1"/>
    <col min="18" max="23" width="8.42578125" style="168" customWidth="1"/>
    <col min="24" max="24" width="8.42578125" style="169" customWidth="1"/>
    <col min="25" max="26" width="9.28515625" style="168" customWidth="1"/>
    <col min="27" max="16384" width="0" style="168" hidden="1"/>
  </cols>
  <sheetData>
    <row r="1" spans="1:256" ht="21.75">
      <c r="A1" s="76" t="str">
        <f>"Specificering pedagogisk verksamhet "&amp;År&amp;", miljoner kr"</f>
        <v>Specificering pedagogisk verksamhet 2022, miljoner kr</v>
      </c>
      <c r="B1" s="77"/>
      <c r="C1" s="77"/>
      <c r="D1" s="77"/>
      <c r="E1" s="167"/>
      <c r="F1" s="167"/>
      <c r="G1" s="167"/>
      <c r="H1" s="251"/>
      <c r="I1" s="514" t="s">
        <v>453</v>
      </c>
      <c r="J1" s="511" t="str">
        <f>Information!A2</f>
        <v>RIKSTOTAL</v>
      </c>
      <c r="K1" s="192"/>
      <c r="L1" s="192"/>
      <c r="M1" s="1236"/>
      <c r="N1" s="167"/>
      <c r="O1" s="76"/>
      <c r="P1" s="138"/>
      <c r="Q1" s="167"/>
      <c r="R1" s="2196"/>
      <c r="S1" s="2196"/>
      <c r="T1" s="2196"/>
      <c r="U1" s="2196"/>
      <c r="V1" s="2196"/>
      <c r="W1" s="2196"/>
      <c r="X1" s="2196"/>
      <c r="Y1" s="2196"/>
      <c r="Z1" s="2196"/>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7.25" customHeight="1">
      <c r="A2" s="2196"/>
      <c r="B2" s="2196"/>
      <c r="C2" s="2196"/>
      <c r="D2" s="2196"/>
      <c r="E2" s="2196"/>
      <c r="F2" s="2196"/>
      <c r="G2" s="2196"/>
      <c r="H2" s="2196"/>
      <c r="I2" s="2196"/>
      <c r="J2" s="2196"/>
      <c r="K2" s="2196"/>
      <c r="L2" s="2196"/>
      <c r="M2" s="2196"/>
      <c r="N2" s="2196"/>
      <c r="O2" s="2196"/>
      <c r="P2" s="2196"/>
      <c r="Q2" s="2196"/>
      <c r="R2" s="2196"/>
      <c r="S2" s="2196"/>
      <c r="T2" s="2196"/>
      <c r="U2" s="2196"/>
      <c r="V2" s="2196"/>
      <c r="W2" s="2196"/>
      <c r="X2" s="2196"/>
      <c r="Y2" s="2196"/>
      <c r="Z2" s="2196"/>
    </row>
    <row r="3" spans="1:256" ht="17.25" customHeight="1" thickBot="1">
      <c r="A3" s="2196"/>
      <c r="B3" s="2196"/>
      <c r="C3" s="2196"/>
      <c r="D3" s="2196"/>
      <c r="E3" s="2196"/>
      <c r="F3" s="2196"/>
      <c r="G3" s="2196"/>
      <c r="H3" s="2196"/>
      <c r="I3" s="2196"/>
      <c r="J3" s="2196"/>
      <c r="K3" s="2196"/>
      <c r="L3" s="2196"/>
      <c r="M3" s="2196"/>
      <c r="N3" s="2196"/>
      <c r="O3" s="2196"/>
      <c r="P3" s="2196"/>
      <c r="Q3" s="2196"/>
      <c r="R3" s="2196"/>
      <c r="S3" s="2196"/>
      <c r="T3" s="2196"/>
      <c r="U3" s="2196"/>
      <c r="V3" s="2196"/>
      <c r="W3" s="2196"/>
      <c r="X3" s="2196"/>
      <c r="Y3" s="2196"/>
      <c r="Z3" s="2196"/>
    </row>
    <row r="4" spans="1:256" ht="11.25" customHeight="1">
      <c r="A4" s="1291" t="s">
        <v>615</v>
      </c>
      <c r="B4" s="1290" t="s">
        <v>452</v>
      </c>
      <c r="C4" s="1035" t="s">
        <v>141</v>
      </c>
      <c r="D4" s="1286"/>
      <c r="E4" s="776" t="s">
        <v>141</v>
      </c>
      <c r="F4" s="1286"/>
      <c r="G4" s="1285"/>
      <c r="H4" s="252" t="s">
        <v>573</v>
      </c>
      <c r="I4" s="2577" t="s">
        <v>1023</v>
      </c>
      <c r="J4" s="2578"/>
      <c r="K4" s="2578"/>
      <c r="L4" s="2578"/>
      <c r="M4" s="2568" t="s">
        <v>910</v>
      </c>
      <c r="N4" s="2196"/>
      <c r="O4" s="2196"/>
      <c r="P4" s="2196"/>
      <c r="Q4" s="2566" t="s">
        <v>58</v>
      </c>
      <c r="R4" s="2196"/>
      <c r="S4" s="2196"/>
      <c r="T4" s="2196"/>
      <c r="U4" s="2196"/>
      <c r="V4" s="2196"/>
      <c r="W4" s="2196"/>
      <c r="X4" s="2196"/>
      <c r="Y4" s="2196"/>
      <c r="Z4" s="2196"/>
    </row>
    <row r="5" spans="1:256" ht="12.75" customHeight="1">
      <c r="A5" s="1292" t="s">
        <v>618</v>
      </c>
      <c r="B5" s="819"/>
      <c r="C5" s="1036" t="s">
        <v>42</v>
      </c>
      <c r="D5" s="2571" t="s">
        <v>792</v>
      </c>
      <c r="E5" s="779" t="s">
        <v>148</v>
      </c>
      <c r="F5" s="2571" t="s">
        <v>1085</v>
      </c>
      <c r="G5" s="2574" t="s">
        <v>1221</v>
      </c>
      <c r="H5" s="148"/>
      <c r="I5" s="2579"/>
      <c r="J5" s="2580"/>
      <c r="K5" s="2580"/>
      <c r="L5" s="2581"/>
      <c r="M5" s="2569"/>
      <c r="N5" s="2196"/>
      <c r="O5" s="2196"/>
      <c r="P5" s="2196"/>
      <c r="Q5" s="2567"/>
      <c r="R5" s="2196"/>
      <c r="S5" s="2196"/>
      <c r="T5" s="2196"/>
      <c r="U5" s="2196"/>
      <c r="V5" s="2196"/>
      <c r="W5" s="2196"/>
      <c r="X5" s="2196"/>
      <c r="Y5" s="2196"/>
      <c r="Z5" s="2196"/>
    </row>
    <row r="6" spans="1:256" ht="36.75" customHeight="1">
      <c r="A6" s="1037"/>
      <c r="B6" s="819"/>
      <c r="C6" s="1036"/>
      <c r="D6" s="2572"/>
      <c r="E6" s="553"/>
      <c r="F6" s="2572"/>
      <c r="G6" s="2575"/>
      <c r="H6" s="148"/>
      <c r="I6" s="1362"/>
      <c r="J6" s="1373"/>
      <c r="K6" s="1373"/>
      <c r="L6" s="2353"/>
      <c r="M6" s="2570"/>
      <c r="N6" s="2196"/>
      <c r="O6" s="2196"/>
      <c r="P6" s="2196"/>
      <c r="Q6" s="2567"/>
      <c r="R6" s="2196"/>
      <c r="S6" s="2196"/>
      <c r="T6" s="2196"/>
      <c r="U6" s="2196"/>
      <c r="V6" s="2196"/>
      <c r="W6" s="2196"/>
      <c r="X6" s="2196"/>
      <c r="Y6" s="2196"/>
      <c r="Z6" s="2196"/>
      <c r="IV6" s="2565"/>
    </row>
    <row r="7" spans="1:256" ht="65.25" customHeight="1" thickBot="1">
      <c r="A7" s="1027"/>
      <c r="B7" s="819"/>
      <c r="C7" s="1029"/>
      <c r="D7" s="2573"/>
      <c r="E7" s="553"/>
      <c r="F7" s="2573"/>
      <c r="G7" s="2576"/>
      <c r="H7" s="148"/>
      <c r="I7" s="1374"/>
      <c r="J7" s="819"/>
      <c r="K7" s="1375"/>
      <c r="L7" s="1371"/>
      <c r="M7" s="2362" t="str">
        <f>"År "&amp;År</f>
        <v>År 2022</v>
      </c>
      <c r="N7" s="2196"/>
      <c r="O7" s="2196"/>
      <c r="P7" s="2196"/>
      <c r="Q7" s="2567"/>
      <c r="R7" s="2196"/>
      <c r="S7" s="2196"/>
      <c r="T7" s="2196"/>
      <c r="U7" s="2196"/>
      <c r="V7" s="2196"/>
      <c r="W7" s="2196"/>
      <c r="X7" s="2196"/>
      <c r="Y7" s="2196"/>
      <c r="Z7" s="2196"/>
      <c r="IV7" s="2565"/>
    </row>
    <row r="8" spans="1:256" ht="12.75">
      <c r="A8" s="1058" t="s">
        <v>390</v>
      </c>
      <c r="B8" s="1059" t="s">
        <v>534</v>
      </c>
      <c r="C8" s="120">
        <f>Drift!P47</f>
        <v>96849.082999999984</v>
      </c>
      <c r="D8" s="121">
        <f>SUM(Motpart!D13:L13)</f>
        <v>17780.738999999998</v>
      </c>
      <c r="E8" s="121">
        <f>Drift!W47</f>
        <v>22144.303</v>
      </c>
      <c r="F8" s="121">
        <f>Motpart!Y13</f>
        <v>441.07299999999998</v>
      </c>
      <c r="G8" s="128">
        <f>Drift!V47</f>
        <v>9871.5390000000007</v>
      </c>
      <c r="H8" s="149"/>
      <c r="I8" s="1018" t="s">
        <v>827</v>
      </c>
      <c r="J8" s="1468">
        <v>592729</v>
      </c>
      <c r="K8" s="1366"/>
      <c r="L8" s="1366"/>
      <c r="M8" s="2363">
        <f>(C8-F8-G8)*1000000/J8</f>
        <v>145996.68819983496</v>
      </c>
      <c r="N8" s="2196"/>
      <c r="O8" s="2196"/>
      <c r="P8" s="2196"/>
      <c r="Q8" s="2375" t="s">
        <v>833</v>
      </c>
      <c r="R8" s="2196"/>
      <c r="S8" s="2196"/>
      <c r="T8" s="2196"/>
      <c r="U8" s="2196"/>
      <c r="V8" s="2196"/>
      <c r="W8" s="2196"/>
      <c r="X8" s="2196"/>
      <c r="Y8" s="2196"/>
      <c r="Z8" s="2196"/>
    </row>
    <row r="9" spans="1:256" s="1217" customFormat="1" ht="12.75">
      <c r="A9" s="1060" t="s">
        <v>315</v>
      </c>
      <c r="B9" s="1061" t="s">
        <v>361</v>
      </c>
      <c r="C9" s="360">
        <f>C8-G8-D8</f>
        <v>69196.804999999978</v>
      </c>
      <c r="D9" s="1038"/>
      <c r="E9" s="1044"/>
      <c r="F9" s="1044"/>
      <c r="G9" s="1050"/>
      <c r="H9" s="150">
        <v>850</v>
      </c>
      <c r="I9" s="1363"/>
      <c r="J9" s="1364"/>
      <c r="K9" s="1365"/>
      <c r="L9" s="1365"/>
      <c r="M9" s="2364">
        <f>C9*1000000/J8</f>
        <v>116742.73571902166</v>
      </c>
      <c r="N9" s="2196"/>
      <c r="O9" s="2196"/>
      <c r="P9" s="2196"/>
      <c r="Q9" s="2375" t="s">
        <v>834</v>
      </c>
      <c r="R9" s="2196"/>
      <c r="S9" s="2196"/>
      <c r="T9" s="2196"/>
      <c r="U9" s="2196"/>
      <c r="V9" s="2196"/>
      <c r="W9" s="2196"/>
      <c r="X9" s="2196"/>
      <c r="Y9" s="2196"/>
      <c r="Z9" s="2196"/>
    </row>
    <row r="10" spans="1:256" s="1213" customFormat="1" ht="12.75">
      <c r="A10" s="1060" t="s">
        <v>313</v>
      </c>
      <c r="B10" s="1062" t="s">
        <v>1069</v>
      </c>
      <c r="C10" s="82">
        <f>Drift!C47+Drift!D47</f>
        <v>48819.18</v>
      </c>
      <c r="D10" s="1038"/>
      <c r="E10" s="1045"/>
      <c r="F10" s="1045"/>
      <c r="G10" s="1050"/>
      <c r="H10" s="150">
        <v>851</v>
      </c>
      <c r="I10" s="1363"/>
      <c r="J10" s="1364"/>
      <c r="K10" s="1094"/>
      <c r="L10" s="1094"/>
      <c r="M10" s="2364">
        <f>IF(C10=0,0,C10*100/C9)</f>
        <v>70.551205362733171</v>
      </c>
      <c r="N10" s="2196"/>
      <c r="O10" s="2196"/>
      <c r="P10" s="2196"/>
      <c r="Q10" s="2375" t="s">
        <v>362</v>
      </c>
      <c r="R10" s="2196"/>
      <c r="S10" s="2196"/>
      <c r="T10" s="2196"/>
      <c r="U10" s="2196"/>
      <c r="V10" s="2196"/>
      <c r="W10" s="2196"/>
      <c r="X10" s="2196"/>
      <c r="Y10" s="2196"/>
      <c r="Z10" s="2196"/>
    </row>
    <row r="11" spans="1:256" s="1213" customFormat="1" ht="12.75">
      <c r="A11" s="1060" t="s">
        <v>316</v>
      </c>
      <c r="B11" s="1062" t="s">
        <v>531</v>
      </c>
      <c r="C11" s="2079">
        <v>10786.473</v>
      </c>
      <c r="D11" s="1039" t="str">
        <f>IF(C8=0,"",IF(C11&lt;=Drift!I47+Drift!J47+Drift!L47,"Kontrollera",""))</f>
        <v/>
      </c>
      <c r="E11" s="242">
        <v>107.971</v>
      </c>
      <c r="F11" s="1045"/>
      <c r="G11" s="263">
        <v>75.510000000000005</v>
      </c>
      <c r="H11" s="150"/>
      <c r="I11" s="819"/>
      <c r="J11" s="1469"/>
      <c r="K11" s="1090"/>
      <c r="L11" s="1090"/>
      <c r="M11" s="2364">
        <f>(C11-E11)*1000000/J8</f>
        <v>18015.825107258122</v>
      </c>
      <c r="N11" s="2196"/>
      <c r="O11" s="2196"/>
      <c r="P11" s="2196"/>
      <c r="Q11" s="2375" t="s">
        <v>835</v>
      </c>
      <c r="R11" s="2196"/>
      <c r="S11" s="2196"/>
      <c r="T11" s="2196"/>
      <c r="U11" s="2196"/>
      <c r="V11" s="2196"/>
      <c r="W11" s="2196"/>
      <c r="X11" s="2196"/>
      <c r="Y11" s="2196"/>
      <c r="Z11" s="2196"/>
    </row>
    <row r="12" spans="1:256" s="1213" customFormat="1" ht="12.75">
      <c r="A12" s="1060" t="s">
        <v>454</v>
      </c>
      <c r="B12" s="1062" t="s">
        <v>491</v>
      </c>
      <c r="C12" s="1042"/>
      <c r="D12" s="1040"/>
      <c r="E12" s="83">
        <f>Drift!R47</f>
        <v>5402.8050000000003</v>
      </c>
      <c r="F12" s="1046"/>
      <c r="G12" s="1232"/>
      <c r="H12" s="164" t="s">
        <v>547</v>
      </c>
      <c r="I12" s="1092"/>
      <c r="J12" s="1364"/>
      <c r="K12" s="1365"/>
      <c r="L12" s="1365"/>
      <c r="M12" s="2364">
        <f>(Motpart!G13+Motpart!K13)*1000000/J8</f>
        <v>762.49517064290762</v>
      </c>
      <c r="N12" s="2196"/>
      <c r="O12" s="2196"/>
      <c r="P12" s="2196"/>
      <c r="Q12" s="2375" t="s">
        <v>836</v>
      </c>
      <c r="R12" s="2196"/>
      <c r="S12" s="2196"/>
      <c r="T12" s="2196"/>
      <c r="U12" s="2196"/>
      <c r="V12" s="2196"/>
      <c r="W12" s="2196"/>
      <c r="X12" s="2196"/>
      <c r="Y12" s="2196"/>
      <c r="Z12" s="2196"/>
    </row>
    <row r="13" spans="1:256" s="1213" customFormat="1" ht="12.75">
      <c r="A13" s="1060" t="s">
        <v>455</v>
      </c>
      <c r="B13" s="1062" t="s">
        <v>456</v>
      </c>
      <c r="C13" s="1043"/>
      <c r="D13" s="1040"/>
      <c r="E13" s="242">
        <v>529.63599999999997</v>
      </c>
      <c r="F13" s="1046"/>
      <c r="G13" s="1232"/>
      <c r="H13" s="165" t="s">
        <v>548</v>
      </c>
      <c r="I13" s="1092"/>
      <c r="J13" s="1364"/>
      <c r="K13" s="1365"/>
      <c r="L13" s="1365"/>
      <c r="M13" s="2364">
        <f>F8*1000000/J8</f>
        <v>744.13939591280337</v>
      </c>
      <c r="N13" s="2196"/>
      <c r="O13" s="2196"/>
      <c r="P13" s="2196"/>
      <c r="Q13" s="2375" t="s">
        <v>837</v>
      </c>
      <c r="R13" s="2196"/>
      <c r="S13" s="2196"/>
      <c r="T13" s="2196"/>
      <c r="U13" s="2196"/>
      <c r="V13" s="2196"/>
      <c r="W13" s="2196"/>
      <c r="X13" s="2196"/>
      <c r="Y13" s="2196"/>
      <c r="Z13" s="2196"/>
    </row>
    <row r="14" spans="1:256" s="1213" customFormat="1" ht="12.75">
      <c r="A14" s="1063" t="s">
        <v>564</v>
      </c>
      <c r="B14" s="1064"/>
      <c r="C14" s="1043"/>
      <c r="D14" s="1041"/>
      <c r="E14" s="1049"/>
      <c r="F14" s="1047"/>
      <c r="G14" s="1232"/>
      <c r="H14" s="164" t="s">
        <v>549</v>
      </c>
      <c r="I14" s="1092"/>
      <c r="J14" s="1364"/>
      <c r="K14" s="1365"/>
      <c r="L14" s="1365"/>
      <c r="M14" s="2364">
        <f>((Motpart!D13+Motpart!E13+Motpart!F13+Motpart!J13)-((Motpart!D13+Motpart!E13+Motpart!F13+Motpart!J13)*0.06))*1000000/J8</f>
        <v>27448.401546069115</v>
      </c>
      <c r="N14" s="2196"/>
      <c r="O14" s="2196"/>
      <c r="P14" s="2196"/>
      <c r="Q14" s="2375" t="s">
        <v>838</v>
      </c>
      <c r="R14" s="2196"/>
      <c r="S14" s="2196"/>
      <c r="T14" s="2196"/>
      <c r="U14" s="2196"/>
      <c r="V14" s="2196"/>
      <c r="W14" s="2196"/>
      <c r="X14" s="2196"/>
      <c r="Y14" s="2196"/>
      <c r="Z14" s="2196"/>
    </row>
    <row r="15" spans="1:256" s="1218" customFormat="1" ht="13.5" thickBot="1">
      <c r="A15" s="1063" t="s">
        <v>311</v>
      </c>
      <c r="B15" s="1064"/>
      <c r="C15" s="1043"/>
      <c r="D15" s="1041"/>
      <c r="E15" s="1041"/>
      <c r="F15" s="1048"/>
      <c r="G15" s="1051"/>
      <c r="H15" s="151"/>
      <c r="I15" s="1372"/>
      <c r="J15" s="1470"/>
      <c r="K15" s="1091"/>
      <c r="L15" s="1091"/>
      <c r="M15" s="2365">
        <f>IF(C9=0,0,(E12-E13)*100/C9)</f>
        <v>7.0424768889257257</v>
      </c>
      <c r="N15" s="2196"/>
      <c r="O15" s="2196"/>
      <c r="P15" s="2196"/>
      <c r="Q15" s="2375" t="s">
        <v>519</v>
      </c>
      <c r="R15" s="2196"/>
      <c r="S15" s="2196"/>
      <c r="T15" s="2196"/>
      <c r="U15" s="2196"/>
      <c r="V15" s="2196"/>
      <c r="W15" s="2196"/>
      <c r="X15" s="2196"/>
      <c r="Y15" s="2196"/>
      <c r="Z15" s="2196"/>
    </row>
    <row r="16" spans="1:256" ht="12.75">
      <c r="A16" s="1065" t="s">
        <v>658</v>
      </c>
      <c r="B16" s="1066" t="s">
        <v>535</v>
      </c>
      <c r="C16" s="80">
        <f>Drift!P50</f>
        <v>24274.085000000003</v>
      </c>
      <c r="D16" s="81">
        <f>SUM(Motpart!D15:L15)</f>
        <v>2732.3740000000003</v>
      </c>
      <c r="E16" s="84">
        <f>Drift!W50</f>
        <v>7445.0770000000011</v>
      </c>
      <c r="F16" s="81">
        <f>Motpart!Y15</f>
        <v>182.791</v>
      </c>
      <c r="G16" s="129">
        <f>Drift!V50</f>
        <v>2964.8380000000002</v>
      </c>
      <c r="H16" s="148"/>
      <c r="I16" s="1018" t="s">
        <v>828</v>
      </c>
      <c r="J16" s="1468">
        <v>879735</v>
      </c>
      <c r="K16" s="1371"/>
      <c r="L16" s="1366"/>
      <c r="M16" s="2366">
        <f>(C16-G16-F16)*1000000/J16</f>
        <v>24014.56802332521</v>
      </c>
      <c r="N16" s="2196"/>
      <c r="O16" s="2196"/>
      <c r="P16" s="2196"/>
      <c r="Q16" s="2376" t="s">
        <v>875</v>
      </c>
      <c r="R16" s="2196"/>
      <c r="S16" s="2196"/>
      <c r="T16" s="2196"/>
      <c r="U16" s="2196"/>
      <c r="V16" s="2196"/>
      <c r="W16" s="2196"/>
      <c r="X16" s="2196"/>
      <c r="Y16" s="2196"/>
      <c r="Z16" s="2196"/>
    </row>
    <row r="17" spans="1:256" ht="12.75">
      <c r="A17" s="1060" t="s">
        <v>373</v>
      </c>
      <c r="B17" s="1067" t="s">
        <v>361</v>
      </c>
      <c r="C17" s="360">
        <f>C16-G16-D16</f>
        <v>18576.873000000003</v>
      </c>
      <c r="D17" s="1052"/>
      <c r="E17" s="1053"/>
      <c r="F17" s="1053"/>
      <c r="G17" s="1050"/>
      <c r="H17" s="152" t="s">
        <v>272</v>
      </c>
      <c r="I17" s="1363"/>
      <c r="J17" s="1364"/>
      <c r="K17" s="1365"/>
      <c r="L17" s="1365"/>
      <c r="M17" s="2364">
        <f>C17*1000000/J16</f>
        <v>21116.441883067066</v>
      </c>
      <c r="N17" s="2196"/>
      <c r="O17" s="2196"/>
      <c r="P17" s="2196"/>
      <c r="Q17" s="2375" t="s">
        <v>876</v>
      </c>
      <c r="R17" s="2196"/>
      <c r="S17" s="2196"/>
      <c r="T17" s="2196"/>
      <c r="U17" s="2196"/>
      <c r="V17" s="2196"/>
      <c r="W17" s="2196"/>
      <c r="X17" s="2196"/>
      <c r="Y17" s="2196"/>
      <c r="Z17" s="2196"/>
    </row>
    <row r="18" spans="1:256" ht="12.75">
      <c r="A18" s="1060" t="s">
        <v>374</v>
      </c>
      <c r="B18" s="2013" t="s">
        <v>1070</v>
      </c>
      <c r="C18" s="85">
        <f>Drift!C50+Drift!D50</f>
        <v>12831.749</v>
      </c>
      <c r="D18" s="1052"/>
      <c r="E18" s="1045"/>
      <c r="F18" s="1045"/>
      <c r="G18" s="1050"/>
      <c r="H18" s="150" t="s">
        <v>575</v>
      </c>
      <c r="I18" s="1363"/>
      <c r="J18" s="1364"/>
      <c r="K18" s="1094"/>
      <c r="L18" s="1094"/>
      <c r="M18" s="2364">
        <f>IF(C18=0,0,(C18*100/C17))</f>
        <v>69.073783300343379</v>
      </c>
      <c r="N18" s="2196"/>
      <c r="O18" s="2196"/>
      <c r="P18" s="2196"/>
      <c r="Q18" s="2375" t="s">
        <v>368</v>
      </c>
      <c r="R18" s="2196"/>
      <c r="S18" s="2196"/>
      <c r="T18" s="2196"/>
      <c r="U18" s="2196"/>
      <c r="V18" s="2196"/>
      <c r="W18" s="2196"/>
      <c r="X18" s="2196"/>
      <c r="Y18" s="2196"/>
      <c r="Z18" s="2196"/>
    </row>
    <row r="19" spans="1:256" ht="12.75">
      <c r="A19" s="1060" t="s">
        <v>375</v>
      </c>
      <c r="B19" s="1062" t="s">
        <v>531</v>
      </c>
      <c r="C19" s="2079">
        <v>3223.4879999999998</v>
      </c>
      <c r="D19" s="1052" t="str">
        <f>IF(C16=0,"",IF(C19&lt;=Drift!I50+Drift!J50+Drift!L50,"Kontrollera",""))</f>
        <v/>
      </c>
      <c r="E19" s="242">
        <v>20.870999999999999</v>
      </c>
      <c r="F19" s="1047"/>
      <c r="G19" s="263">
        <v>15.268000000000001</v>
      </c>
      <c r="H19" s="148"/>
      <c r="I19" s="1363"/>
      <c r="J19" s="1469"/>
      <c r="K19" s="1090"/>
      <c r="L19" s="1090"/>
      <c r="M19" s="2367">
        <f>(C19-E19)*1000000/J16</f>
        <v>3640.4337669866491</v>
      </c>
      <c r="N19" s="2196"/>
      <c r="O19" s="2196"/>
      <c r="P19" s="2196"/>
      <c r="Q19" s="2375" t="s">
        <v>877</v>
      </c>
      <c r="R19" s="2196"/>
      <c r="S19" s="2196"/>
      <c r="T19" s="2196"/>
      <c r="U19" s="2196"/>
      <c r="V19" s="2196"/>
      <c r="W19" s="2196"/>
      <c r="X19" s="2196"/>
      <c r="Y19" s="2196"/>
      <c r="Z19" s="2196"/>
    </row>
    <row r="20" spans="1:256" ht="12.75">
      <c r="A20" s="1060" t="s">
        <v>550</v>
      </c>
      <c r="B20" s="1062" t="s">
        <v>491</v>
      </c>
      <c r="C20" s="1042"/>
      <c r="D20" s="1040"/>
      <c r="E20" s="85">
        <f>Drift!R50</f>
        <v>3324.5030000000002</v>
      </c>
      <c r="F20" s="1046"/>
      <c r="G20" s="1232"/>
      <c r="H20" s="420" t="s">
        <v>576</v>
      </c>
      <c r="I20" s="1092"/>
      <c r="J20" s="1364"/>
      <c r="K20" s="1365"/>
      <c r="L20" s="1365"/>
      <c r="M20" s="2364">
        <f>IF(D16=0,0,(Motpart!G15+Motpart!K15)*1000000/J16)</f>
        <v>203.67156018573775</v>
      </c>
      <c r="N20" s="2196"/>
      <c r="O20" s="2196"/>
      <c r="P20" s="2196"/>
      <c r="Q20" s="2375" t="s">
        <v>878</v>
      </c>
      <c r="R20" s="2196"/>
      <c r="S20" s="2196"/>
      <c r="T20" s="2196"/>
      <c r="U20" s="2196"/>
      <c r="V20" s="2196"/>
      <c r="W20" s="2196"/>
      <c r="X20" s="2196"/>
      <c r="Y20" s="2196"/>
      <c r="Z20" s="2196"/>
    </row>
    <row r="21" spans="1:256" ht="12.75">
      <c r="A21" s="1060" t="s">
        <v>551</v>
      </c>
      <c r="B21" s="1062" t="s">
        <v>456</v>
      </c>
      <c r="C21" s="1043"/>
      <c r="D21" s="1040"/>
      <c r="E21" s="242">
        <v>150.52799999999999</v>
      </c>
      <c r="F21" s="1046"/>
      <c r="G21" s="1232"/>
      <c r="H21" s="420" t="s">
        <v>577</v>
      </c>
      <c r="I21" s="1092"/>
      <c r="J21" s="1364"/>
      <c r="K21" s="1365"/>
      <c r="L21" s="1365"/>
      <c r="M21" s="2364">
        <f>IF(F16=0,0,(F16*1000000/J16))</f>
        <v>207.77961545238054</v>
      </c>
      <c r="N21" s="2196"/>
      <c r="O21" s="2196"/>
      <c r="P21" s="2196"/>
      <c r="Q21" s="2375" t="s">
        <v>879</v>
      </c>
      <c r="R21" s="2196"/>
      <c r="S21" s="2196"/>
      <c r="T21" s="2196"/>
      <c r="U21" s="2196"/>
      <c r="V21" s="2196"/>
      <c r="W21" s="2196"/>
      <c r="X21" s="2196"/>
      <c r="Y21" s="2196"/>
      <c r="Z21" s="2196"/>
      <c r="IV21" s="253"/>
    </row>
    <row r="22" spans="1:256" ht="12.75">
      <c r="A22" s="1063" t="s">
        <v>563</v>
      </c>
      <c r="B22" s="1068"/>
      <c r="C22" s="1043"/>
      <c r="D22" s="1041"/>
      <c r="E22" s="1049"/>
      <c r="F22" s="1047"/>
      <c r="G22" s="1232"/>
      <c r="H22" s="420" t="s">
        <v>578</v>
      </c>
      <c r="I22" s="1092"/>
      <c r="J22" s="1364"/>
      <c r="K22" s="1365"/>
      <c r="L22" s="1365"/>
      <c r="M22" s="2364">
        <f>IF(D16=0,0,((Motpart!D15+Motpart!E15+Motpart!F15+Motpart!I15+Motpart!J15)-((Motpart!D15+Motpart!E15+Motpart!F15+Motpart!J15)*0.06))*1000000/J16)</f>
        <v>2728.5390032225619</v>
      </c>
      <c r="N22" s="2196"/>
      <c r="O22" s="2196"/>
      <c r="P22" s="2196"/>
      <c r="Q22" s="2375" t="s">
        <v>880</v>
      </c>
      <c r="R22" s="2196"/>
      <c r="S22" s="2196"/>
      <c r="T22" s="2196"/>
      <c r="U22" s="2196"/>
      <c r="V22" s="2196"/>
      <c r="W22" s="2196"/>
      <c r="X22" s="2196"/>
      <c r="Y22" s="2196"/>
      <c r="Z22" s="2196"/>
      <c r="IV22" s="253"/>
    </row>
    <row r="23" spans="1:256" ht="13.5" thickBot="1">
      <c r="A23" s="1063" t="s">
        <v>552</v>
      </c>
      <c r="B23" s="1068"/>
      <c r="C23" s="1043"/>
      <c r="D23" s="1041"/>
      <c r="E23" s="1041"/>
      <c r="F23" s="1041"/>
      <c r="G23" s="1051"/>
      <c r="H23" s="421"/>
      <c r="I23" s="647"/>
      <c r="J23" s="1470"/>
      <c r="K23" s="1091"/>
      <c r="L23" s="1091"/>
      <c r="M23" s="2368">
        <f>IF(E20=0,0,(E20-E21)*100/C17)</f>
        <v>17.085625767049169</v>
      </c>
      <c r="N23" s="2196"/>
      <c r="O23" s="2196"/>
      <c r="P23" s="2196"/>
      <c r="Q23" s="2377" t="s">
        <v>520</v>
      </c>
      <c r="R23" s="2196"/>
      <c r="S23" s="2196"/>
      <c r="T23" s="2196"/>
      <c r="U23" s="2196"/>
      <c r="V23" s="2196"/>
      <c r="W23" s="2196"/>
      <c r="X23" s="2196"/>
      <c r="Y23" s="2196"/>
      <c r="Z23" s="2196"/>
      <c r="IV23" s="253"/>
    </row>
    <row r="24" spans="1:256" ht="12.75">
      <c r="A24" s="1065" t="s">
        <v>379</v>
      </c>
      <c r="B24" s="1069" t="s">
        <v>536</v>
      </c>
      <c r="C24" s="80">
        <f>Drift!P53</f>
        <v>9882.8870000000006</v>
      </c>
      <c r="D24" s="81">
        <f>SUM(Motpart!D17:L17)</f>
        <v>1230.7240000000002</v>
      </c>
      <c r="E24" s="81">
        <f>Drift!W53</f>
        <v>1829.123</v>
      </c>
      <c r="F24" s="81">
        <f>Motpart!Y17</f>
        <v>56.177999999999997</v>
      </c>
      <c r="G24" s="129">
        <f>Drift!V53</f>
        <v>1297.5440000000001</v>
      </c>
      <c r="H24" s="164"/>
      <c r="I24" s="1018" t="s">
        <v>829</v>
      </c>
      <c r="J24" s="1468">
        <v>125706</v>
      </c>
      <c r="K24" s="1368"/>
      <c r="L24" s="1366"/>
      <c r="M24" s="2366">
        <f>(C24-G24-F24)*1000000/J24</f>
        <v>67850.102620399994</v>
      </c>
      <c r="N24" s="2196"/>
      <c r="O24" s="2196"/>
      <c r="P24" s="2196"/>
      <c r="Q24" s="2375" t="s">
        <v>869</v>
      </c>
      <c r="R24" s="2196"/>
      <c r="S24" s="2196"/>
      <c r="T24" s="2196"/>
      <c r="U24" s="2196"/>
      <c r="V24" s="2196"/>
      <c r="W24" s="2196"/>
      <c r="X24" s="2196"/>
      <c r="Y24" s="2196"/>
      <c r="Z24" s="2196"/>
    </row>
    <row r="25" spans="1:256" ht="12.75">
      <c r="A25" s="1060" t="s">
        <v>376</v>
      </c>
      <c r="B25" s="1070" t="s">
        <v>361</v>
      </c>
      <c r="C25" s="360">
        <f>C24-G24-D24</f>
        <v>7354.6190000000006</v>
      </c>
      <c r="D25" s="1052"/>
      <c r="E25" s="1053"/>
      <c r="F25" s="1053"/>
      <c r="G25" s="1050"/>
      <c r="H25" s="420" t="s">
        <v>579</v>
      </c>
      <c r="I25" s="1092"/>
      <c r="J25" s="1364"/>
      <c r="K25" s="1365"/>
      <c r="L25" s="1365"/>
      <c r="M25" s="2364">
        <f>C25*1000000/J24</f>
        <v>58506.507247068563</v>
      </c>
      <c r="N25" s="2196"/>
      <c r="O25" s="2196"/>
      <c r="P25" s="2196"/>
      <c r="Q25" s="2375" t="s">
        <v>870</v>
      </c>
      <c r="R25" s="2196"/>
      <c r="S25" s="2196"/>
      <c r="T25" s="2196"/>
      <c r="U25" s="2196"/>
      <c r="V25" s="2196"/>
      <c r="W25" s="2196"/>
      <c r="X25" s="2196"/>
      <c r="Y25" s="2196"/>
      <c r="Z25" s="2196"/>
    </row>
    <row r="26" spans="1:256" ht="12.75">
      <c r="A26" s="1060" t="s">
        <v>377</v>
      </c>
      <c r="B26" s="2014" t="s">
        <v>1070</v>
      </c>
      <c r="C26" s="85">
        <f>Drift!C53+Drift!D53</f>
        <v>4694.1350000000002</v>
      </c>
      <c r="D26" s="1052"/>
      <c r="E26" s="1045"/>
      <c r="F26" s="1045"/>
      <c r="G26" s="1050"/>
      <c r="H26" s="164" t="s">
        <v>379</v>
      </c>
      <c r="I26" s="1092"/>
      <c r="J26" s="1364"/>
      <c r="K26" s="1094"/>
      <c r="L26" s="1094"/>
      <c r="M26" s="2365">
        <f>IF(C26=0,0,C26*100/C25)</f>
        <v>63.825672002859697</v>
      </c>
      <c r="N26" s="2196"/>
      <c r="O26" s="2196"/>
      <c r="P26" s="2196"/>
      <c r="Q26" s="2375" t="s">
        <v>369</v>
      </c>
      <c r="R26" s="2196"/>
      <c r="S26" s="2196"/>
      <c r="T26" s="2196"/>
      <c r="U26" s="2196"/>
      <c r="V26" s="2196"/>
      <c r="W26" s="2196"/>
      <c r="X26" s="2196"/>
      <c r="Y26" s="2196"/>
      <c r="Z26" s="2196"/>
    </row>
    <row r="27" spans="1:256" ht="12.75">
      <c r="A27" s="1063" t="s">
        <v>378</v>
      </c>
      <c r="B27" s="1062" t="s">
        <v>531</v>
      </c>
      <c r="C27" s="2079">
        <v>1621.625</v>
      </c>
      <c r="D27" s="1052" t="str">
        <f>IF(C24=0,"",IF(C27&lt;=Drift!I53+Drift!J53+Drift!L53,"Kontrollera",""))</f>
        <v/>
      </c>
      <c r="E27" s="242">
        <v>16.381</v>
      </c>
      <c r="F27" s="1047"/>
      <c r="G27" s="263">
        <v>12.625999999999999</v>
      </c>
      <c r="H27" s="420"/>
      <c r="I27" s="1092"/>
      <c r="J27" s="1184"/>
      <c r="K27" s="1090"/>
      <c r="L27" s="1090"/>
      <c r="M27" s="2364">
        <f>(C27-E27)*1000000/J24</f>
        <v>12769.828011391661</v>
      </c>
      <c r="N27" s="2196"/>
      <c r="O27" s="2196"/>
      <c r="P27" s="2196"/>
      <c r="Q27" s="2375" t="s">
        <v>871</v>
      </c>
      <c r="R27" s="2196"/>
      <c r="S27" s="2196"/>
      <c r="T27" s="2196"/>
      <c r="U27" s="2196"/>
      <c r="V27" s="2196"/>
      <c r="W27" s="2196"/>
      <c r="X27" s="2196"/>
      <c r="Y27" s="2196"/>
      <c r="Z27" s="2196"/>
    </row>
    <row r="28" spans="1:256" ht="12.75">
      <c r="A28" s="1063" t="s">
        <v>553</v>
      </c>
      <c r="B28" s="1071"/>
      <c r="C28" s="1052"/>
      <c r="D28" s="1052"/>
      <c r="E28" s="1052"/>
      <c r="F28" s="1047"/>
      <c r="G28" s="1232"/>
      <c r="H28" s="164" t="s">
        <v>580</v>
      </c>
      <c r="I28" s="1092"/>
      <c r="J28" s="1364"/>
      <c r="K28" s="1365"/>
      <c r="L28" s="1365"/>
      <c r="M28" s="2365">
        <f>(Motpart!G17+Motpart!K17)*1000000/J24</f>
        <v>419.91631266606208</v>
      </c>
      <c r="N28" s="2196"/>
      <c r="O28" s="2196"/>
      <c r="P28" s="2196"/>
      <c r="Q28" s="2375" t="s">
        <v>872</v>
      </c>
      <c r="R28" s="2196"/>
      <c r="S28" s="2196"/>
      <c r="T28" s="2196"/>
      <c r="U28" s="2196"/>
      <c r="V28" s="2196"/>
      <c r="W28" s="2196"/>
      <c r="X28" s="2196"/>
      <c r="Y28" s="2196"/>
      <c r="Z28" s="2196"/>
    </row>
    <row r="29" spans="1:256" ht="12.75">
      <c r="A29" s="1063" t="s">
        <v>554</v>
      </c>
      <c r="B29" s="1072"/>
      <c r="C29" s="1052"/>
      <c r="D29" s="1052"/>
      <c r="E29" s="1052"/>
      <c r="F29" s="1047"/>
      <c r="G29" s="1232"/>
      <c r="H29" s="419" t="s">
        <v>581</v>
      </c>
      <c r="I29" s="1092"/>
      <c r="J29" s="1364"/>
      <c r="K29" s="1365"/>
      <c r="L29" s="1365"/>
      <c r="M29" s="2369">
        <f>F24*1000000/J24</f>
        <v>446.89990931220467</v>
      </c>
      <c r="N29" s="2196"/>
      <c r="O29" s="2196"/>
      <c r="P29" s="2196"/>
      <c r="Q29" s="2375" t="s">
        <v>873</v>
      </c>
      <c r="R29" s="2196"/>
      <c r="S29" s="2196"/>
      <c r="T29" s="2196"/>
      <c r="U29" s="2196"/>
      <c r="V29" s="2196"/>
      <c r="W29" s="2196"/>
      <c r="X29" s="2196"/>
      <c r="Y29" s="2196"/>
      <c r="Z29" s="2196"/>
    </row>
    <row r="30" spans="1:256" ht="13.5" thickBot="1">
      <c r="A30" s="1063" t="s">
        <v>562</v>
      </c>
      <c r="B30" s="1073"/>
      <c r="C30" s="1052"/>
      <c r="D30" s="1052"/>
      <c r="E30" s="1052"/>
      <c r="F30" s="1047"/>
      <c r="G30" s="1233"/>
      <c r="H30" s="422" t="s">
        <v>582</v>
      </c>
      <c r="I30" s="647"/>
      <c r="J30" s="1369"/>
      <c r="K30" s="1370"/>
      <c r="L30" s="1370"/>
      <c r="M30" s="2370">
        <f>(Motpart!D17+Motpart!E17+Motpart!F17+Motpart!I17+Motpart!J17-(Motpart!D17+Motpart!E17+Motpart!F17+Motpart!J17)*0.06)*1000000/J24</f>
        <v>8804.0069686411152</v>
      </c>
      <c r="N30" s="2196"/>
      <c r="O30" s="2196"/>
      <c r="P30" s="2196"/>
      <c r="Q30" s="2377" t="s">
        <v>874</v>
      </c>
      <c r="R30" s="2196"/>
      <c r="S30" s="2196"/>
      <c r="T30" s="2196"/>
      <c r="U30" s="2196"/>
      <c r="V30" s="2196"/>
      <c r="W30" s="2196"/>
      <c r="X30" s="2196"/>
      <c r="Y30" s="2196"/>
      <c r="Z30" s="2196"/>
    </row>
    <row r="31" spans="1:256" ht="12.75">
      <c r="A31" s="1065" t="s">
        <v>391</v>
      </c>
      <c r="B31" s="1074" t="s">
        <v>537</v>
      </c>
      <c r="C31" s="80">
        <f>Drift!P54</f>
        <v>160491.78600000002</v>
      </c>
      <c r="D31" s="81">
        <f>SUM(Motpart!D18:L18)</f>
        <v>21727.260999999999</v>
      </c>
      <c r="E31" s="81">
        <f>Drift!W54</f>
        <v>31591.277999999998</v>
      </c>
      <c r="F31" s="81">
        <f>Motpart!Y18</f>
        <v>1524.9739999999999</v>
      </c>
      <c r="G31" s="129">
        <f>Drift!V54</f>
        <v>16771.046999999999</v>
      </c>
      <c r="H31" s="423"/>
      <c r="I31" s="1018" t="s">
        <v>830</v>
      </c>
      <c r="J31" s="1468">
        <v>1129029</v>
      </c>
      <c r="K31" s="1366"/>
      <c r="L31" s="1366"/>
      <c r="M31" s="2371">
        <f>SUM(M32:M34,M36:M38)</f>
        <v>104081.54883532666</v>
      </c>
      <c r="N31" s="2196"/>
      <c r="O31" s="2196"/>
      <c r="P31" s="2196"/>
      <c r="Q31" s="2375" t="s">
        <v>857</v>
      </c>
      <c r="R31" s="2196"/>
      <c r="S31" s="2196"/>
      <c r="T31" s="2196"/>
      <c r="U31" s="2196"/>
      <c r="V31" s="2196"/>
      <c r="W31" s="2196"/>
      <c r="X31" s="2196"/>
      <c r="Y31" s="2196"/>
      <c r="Z31" s="2196"/>
    </row>
    <row r="32" spans="1:256" ht="12.75">
      <c r="A32" s="1060" t="s">
        <v>380</v>
      </c>
      <c r="B32" s="1075" t="s">
        <v>500</v>
      </c>
      <c r="C32" s="264">
        <v>71044.576000000001</v>
      </c>
      <c r="D32" s="1052"/>
      <c r="E32" s="242">
        <v>5751.3069999999998</v>
      </c>
      <c r="F32" s="1053"/>
      <c r="G32" s="263">
        <v>5569.4629999999997</v>
      </c>
      <c r="H32" s="150" t="s">
        <v>583</v>
      </c>
      <c r="I32" s="1920"/>
      <c r="J32" s="1921"/>
      <c r="K32" s="1921"/>
      <c r="L32" s="2354"/>
      <c r="M32" s="2364">
        <f>(C32-E32)*1000000/J31</f>
        <v>57831.347999032798</v>
      </c>
      <c r="N32" s="2196"/>
      <c r="O32" s="2196"/>
      <c r="P32" s="2196"/>
      <c r="Q32" s="2375" t="s">
        <v>858</v>
      </c>
      <c r="R32" s="2196"/>
      <c r="S32" s="2196"/>
      <c r="T32" s="2196"/>
      <c r="U32" s="2196"/>
      <c r="V32" s="2196"/>
      <c r="W32" s="2196"/>
      <c r="X32" s="2196"/>
      <c r="Y32" s="2196"/>
      <c r="Z32" s="2196"/>
    </row>
    <row r="33" spans="1:26" ht="12.75">
      <c r="A33" s="1060" t="s">
        <v>381</v>
      </c>
      <c r="B33" s="1075" t="s">
        <v>820</v>
      </c>
      <c r="C33" s="264">
        <v>5499.1970000000001</v>
      </c>
      <c r="D33" s="1052"/>
      <c r="E33" s="242">
        <v>238.74600000000001</v>
      </c>
      <c r="F33" s="1045"/>
      <c r="G33" s="263">
        <v>181.535</v>
      </c>
      <c r="H33" s="150" t="s">
        <v>584</v>
      </c>
      <c r="I33" s="1363"/>
      <c r="J33" s="1364"/>
      <c r="K33" s="1094"/>
      <c r="L33" s="1094"/>
      <c r="M33" s="2364">
        <f>(C33-E33)*1000000/J31</f>
        <v>4659.2700453221305</v>
      </c>
      <c r="N33" s="2196"/>
      <c r="O33" s="2196"/>
      <c r="P33" s="2196"/>
      <c r="Q33" s="2375" t="s">
        <v>859</v>
      </c>
      <c r="R33" s="2196"/>
      <c r="S33" s="2196"/>
      <c r="T33" s="2196"/>
      <c r="U33" s="2196"/>
      <c r="V33" s="2196"/>
      <c r="W33" s="2196"/>
      <c r="X33" s="2196"/>
      <c r="Y33" s="2196"/>
      <c r="Z33" s="2196"/>
    </row>
    <row r="34" spans="1:26" ht="12.75">
      <c r="A34" s="1060" t="s">
        <v>382</v>
      </c>
      <c r="B34" s="1075" t="s">
        <v>518</v>
      </c>
      <c r="C34" s="264">
        <v>7381.7070000000003</v>
      </c>
      <c r="D34" s="1052"/>
      <c r="E34" s="242">
        <v>811.649</v>
      </c>
      <c r="F34" s="1045"/>
      <c r="G34" s="263">
        <v>680.95600000000002</v>
      </c>
      <c r="H34" s="150"/>
      <c r="I34" s="1363"/>
      <c r="J34" s="1184"/>
      <c r="K34" s="1090"/>
      <c r="L34" s="1090"/>
      <c r="M34" s="2364">
        <f>(C34-E34)*1000000/J31</f>
        <v>5819.2110211518038</v>
      </c>
      <c r="N34" s="2196"/>
      <c r="O34" s="2196"/>
      <c r="P34" s="2196"/>
      <c r="Q34" s="2375" t="s">
        <v>860</v>
      </c>
      <c r="R34" s="2196"/>
      <c r="S34" s="2196"/>
      <c r="T34" s="2196"/>
      <c r="U34" s="2196"/>
      <c r="V34" s="2196"/>
      <c r="W34" s="2196"/>
      <c r="X34" s="2196"/>
      <c r="Y34" s="2196"/>
      <c r="Z34" s="2196"/>
    </row>
    <row r="35" spans="1:26" ht="12.75">
      <c r="A35" s="1060" t="s">
        <v>383</v>
      </c>
      <c r="B35" s="1075" t="s">
        <v>498</v>
      </c>
      <c r="C35" s="264">
        <v>3985.9569999999999</v>
      </c>
      <c r="D35" s="1052" t="str">
        <f>IF(C31=0,"",IF(OR(C35=0,C35=""),"Kontrollera",""))</f>
        <v/>
      </c>
      <c r="E35" s="242">
        <v>28.398</v>
      </c>
      <c r="F35" s="1045"/>
      <c r="G35" s="263">
        <v>14.204000000000001</v>
      </c>
      <c r="H35" s="150" t="s">
        <v>585</v>
      </c>
      <c r="I35" s="819"/>
      <c r="J35" s="1364"/>
      <c r="K35" s="1365"/>
      <c r="L35" s="1365"/>
      <c r="M35" s="2364">
        <f>(C35-E35)*1000000/J31</f>
        <v>3505.2766580840698</v>
      </c>
      <c r="N35" s="2196"/>
      <c r="O35" s="2196"/>
      <c r="P35" s="2196"/>
      <c r="Q35" s="2375" t="s">
        <v>861</v>
      </c>
      <c r="R35" s="2196"/>
      <c r="S35" s="2196"/>
      <c r="T35" s="2196"/>
      <c r="U35" s="2196"/>
      <c r="V35" s="2196"/>
      <c r="W35" s="2196"/>
      <c r="X35" s="2196"/>
      <c r="Y35" s="2196"/>
      <c r="Z35" s="2196"/>
    </row>
    <row r="36" spans="1:26" ht="15" customHeight="1">
      <c r="A36" s="1060" t="s">
        <v>384</v>
      </c>
      <c r="B36" s="1076" t="s">
        <v>739</v>
      </c>
      <c r="C36" s="264">
        <v>4327.0510000000004</v>
      </c>
      <c r="D36" s="1052"/>
      <c r="E36" s="242">
        <v>216.71199999999999</v>
      </c>
      <c r="F36" s="1044"/>
      <c r="G36" s="263">
        <v>153.101</v>
      </c>
      <c r="H36" s="150" t="s">
        <v>586</v>
      </c>
      <c r="I36" s="1927"/>
      <c r="J36" s="1364"/>
      <c r="K36" s="1365"/>
      <c r="L36" s="1365"/>
      <c r="M36" s="2364">
        <f>(C36-E36)*1000000/J31</f>
        <v>3640.5964771498338</v>
      </c>
      <c r="N36" s="2196"/>
      <c r="O36" s="2196"/>
      <c r="P36" s="2196"/>
      <c r="Q36" s="2375" t="s">
        <v>862</v>
      </c>
      <c r="R36" s="2196"/>
      <c r="S36" s="2196"/>
      <c r="T36" s="2196"/>
      <c r="U36" s="2196"/>
      <c r="V36" s="2196"/>
      <c r="W36" s="2196"/>
      <c r="X36" s="2196"/>
      <c r="Y36" s="2196"/>
      <c r="Z36" s="2196"/>
    </row>
    <row r="37" spans="1:26" s="200" customFormat="1" ht="12.75">
      <c r="A37" s="1060" t="s">
        <v>237</v>
      </c>
      <c r="B37" s="1077" t="s">
        <v>532</v>
      </c>
      <c r="C37" s="264">
        <v>20245.263999999999</v>
      </c>
      <c r="D37" s="1052" t="str">
        <f>IF(C31=0,"",IF(C37&lt;=Drift!I54+Drift!J54+Drift!L54,"Kontrollera",""))</f>
        <v/>
      </c>
      <c r="E37" s="242">
        <v>575.827</v>
      </c>
      <c r="F37" s="972"/>
      <c r="G37" s="263">
        <v>498.55</v>
      </c>
      <c r="H37" s="165" t="s">
        <v>587</v>
      </c>
      <c r="I37" s="1928"/>
      <c r="J37" s="1364"/>
      <c r="K37" s="1365"/>
      <c r="L37" s="1365"/>
      <c r="M37" s="2364">
        <f>(C37-E37)*1000000/J31</f>
        <v>17421.551616477518</v>
      </c>
      <c r="N37" s="2196"/>
      <c r="O37" s="2196"/>
      <c r="P37" s="2196"/>
      <c r="Q37" s="2375" t="s">
        <v>863</v>
      </c>
      <c r="R37" s="2196"/>
      <c r="S37" s="2196"/>
      <c r="T37" s="2196"/>
      <c r="U37" s="2196"/>
      <c r="V37" s="2196"/>
      <c r="W37" s="2196"/>
      <c r="X37" s="2196"/>
      <c r="Y37" s="2196"/>
      <c r="Z37" s="2196"/>
    </row>
    <row r="38" spans="1:26" s="200" customFormat="1" ht="12.75" customHeight="1">
      <c r="A38" s="1060" t="s">
        <v>385</v>
      </c>
      <c r="B38" s="1075" t="s">
        <v>451</v>
      </c>
      <c r="C38" s="264">
        <v>21424.683000000001</v>
      </c>
      <c r="D38" s="1052"/>
      <c r="E38" s="242">
        <v>21258.069</v>
      </c>
      <c r="F38" s="972"/>
      <c r="G38" s="263">
        <v>9673.2389999999996</v>
      </c>
      <c r="H38" s="150"/>
      <c r="I38" s="2582"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1924"/>
      <c r="K38" s="1924"/>
      <c r="L38" s="2355"/>
      <c r="M38" s="2364">
        <f>((C38+C39-G38)*1000000/J31)</f>
        <v>14709.571676192554</v>
      </c>
      <c r="N38" s="2196"/>
      <c r="O38" s="2196"/>
      <c r="P38" s="2196"/>
      <c r="Q38" s="2375" t="s">
        <v>864</v>
      </c>
      <c r="R38" s="2196"/>
      <c r="S38" s="2196"/>
      <c r="T38" s="2196"/>
      <c r="U38" s="2196"/>
      <c r="V38" s="2196"/>
      <c r="W38" s="2196"/>
      <c r="X38" s="2196"/>
      <c r="Y38" s="2196"/>
      <c r="Z38" s="2196"/>
    </row>
    <row r="39" spans="1:26" s="200" customFormat="1" ht="12.75">
      <c r="A39" s="1060" t="s">
        <v>386</v>
      </c>
      <c r="B39" s="1078" t="s">
        <v>499</v>
      </c>
      <c r="C39" s="264">
        <v>4856.0889999999999</v>
      </c>
      <c r="D39" s="2119"/>
      <c r="E39" s="974"/>
      <c r="F39" s="974"/>
      <c r="G39" s="1054"/>
      <c r="H39" s="164"/>
      <c r="I39" s="2583"/>
      <c r="J39" s="1925"/>
      <c r="K39" s="1925"/>
      <c r="L39" s="2356"/>
      <c r="M39" s="2365">
        <f>(M31*J31/1000000+D31-F31-(Motpart!D18+Motpart!E18+Motpart!F18+Motpart!J18)*0.06)*1000000/J31+M35</f>
        <v>124430.2293740905</v>
      </c>
      <c r="N39" s="2196"/>
      <c r="O39" s="2196"/>
      <c r="P39" s="2196"/>
      <c r="Q39" s="2375" t="s">
        <v>865</v>
      </c>
      <c r="R39" s="2196"/>
      <c r="S39" s="2196"/>
      <c r="T39" s="2196"/>
      <c r="U39" s="2196"/>
      <c r="V39" s="2196"/>
      <c r="W39" s="2196"/>
      <c r="X39" s="2196"/>
      <c r="Y39" s="2196"/>
      <c r="Z39" s="2196"/>
    </row>
    <row r="40" spans="1:26" ht="12.75">
      <c r="A40" s="1079" t="s">
        <v>555</v>
      </c>
      <c r="B40" s="1080" t="s">
        <v>127</v>
      </c>
      <c r="C40" s="1229">
        <f>(C31-SUM(C32:C39)-D31)*-1</f>
        <v>-1.0000000183936208E-3</v>
      </c>
      <c r="D40" s="1041"/>
      <c r="E40" s="1230">
        <f>(E31-SUM(E32:E38)-F31-SUM(Motpart!D18+Motpart!E18+Motpart!F18+Motpart!J18)*0.06)*-1</f>
        <v>-4.3999999979860149E-4</v>
      </c>
      <c r="F40" s="1041"/>
      <c r="G40" s="1231">
        <f>(G31-SUM(G32:G38))*-1</f>
        <v>1.0000000002037268E-3</v>
      </c>
      <c r="H40" s="152"/>
      <c r="I40" s="2583"/>
      <c r="J40" s="1925"/>
      <c r="K40" s="1925"/>
      <c r="L40" s="2356"/>
      <c r="M40" s="2364">
        <f>(Motpart!G18+Motpart!K18)*1000000/J31</f>
        <v>1361.0660133619242</v>
      </c>
      <c r="N40" s="2196"/>
      <c r="O40" s="2196"/>
      <c r="P40" s="2196"/>
      <c r="Q40" s="2375" t="s">
        <v>866</v>
      </c>
      <c r="R40" s="2196"/>
      <c r="S40" s="2196"/>
      <c r="T40" s="2196"/>
      <c r="U40" s="2196"/>
      <c r="V40" s="2196"/>
      <c r="W40" s="2196"/>
      <c r="X40" s="2196"/>
      <c r="Y40" s="2196"/>
      <c r="Z40" s="2196"/>
    </row>
    <row r="41" spans="1:26" ht="12.75">
      <c r="A41" s="1079" t="s">
        <v>556</v>
      </c>
      <c r="B41" s="1080"/>
      <c r="C41" s="1043"/>
      <c r="D41" s="1041"/>
      <c r="E41" s="1041"/>
      <c r="F41" s="1041"/>
      <c r="G41" s="1051"/>
      <c r="H41" s="152"/>
      <c r="I41" s="2583"/>
      <c r="J41" s="1925"/>
      <c r="K41" s="1925"/>
      <c r="L41" s="2356"/>
      <c r="M41" s="2365">
        <f>F31*1000000/J31</f>
        <v>1350.6951548631612</v>
      </c>
      <c r="N41" s="2196"/>
      <c r="O41" s="2196"/>
      <c r="P41" s="2196"/>
      <c r="Q41" s="2375" t="s">
        <v>867</v>
      </c>
      <c r="R41" s="2196"/>
      <c r="S41" s="2196"/>
      <c r="T41" s="2196"/>
      <c r="U41" s="2196"/>
      <c r="V41" s="2196"/>
      <c r="W41" s="2196"/>
      <c r="X41" s="2196"/>
      <c r="Y41" s="2196"/>
      <c r="Z41" s="2196"/>
    </row>
    <row r="42" spans="1:26" ht="12.75">
      <c r="A42" s="1060" t="s">
        <v>557</v>
      </c>
      <c r="B42" s="1078"/>
      <c r="C42" s="1043"/>
      <c r="D42" s="1041"/>
      <c r="E42" s="1041"/>
      <c r="F42" s="1041"/>
      <c r="G42" s="1051"/>
      <c r="H42" s="152"/>
      <c r="I42" s="2583"/>
      <c r="J42" s="1926"/>
      <c r="K42" s="1926"/>
      <c r="L42" s="2357"/>
      <c r="M42" s="2369">
        <f>((Motpart!D18+Motpart!E18+Motpart!F18+Motpart!J18-(Motpart!D18+Motpart!E18+Motpart!F18+Motpart!J18)*0.06))*1000000/J31</f>
        <v>16451.597292895043</v>
      </c>
      <c r="N42" s="2196"/>
      <c r="O42" s="2196"/>
      <c r="P42" s="2196"/>
      <c r="Q42" s="2375" t="s">
        <v>868</v>
      </c>
      <c r="R42" s="2196"/>
      <c r="S42" s="2196"/>
      <c r="T42" s="2196"/>
      <c r="U42" s="2196"/>
      <c r="V42" s="2196"/>
      <c r="W42" s="2196"/>
      <c r="X42" s="2196"/>
      <c r="Y42" s="2196"/>
      <c r="Z42" s="2196"/>
    </row>
    <row r="43" spans="1:26" ht="13.5" thickBot="1">
      <c r="A43" s="1081"/>
      <c r="B43" s="1082"/>
      <c r="C43" s="1795" t="str">
        <f>IF(ABS(C40)&lt;100,"",IF(C31=0,"C31",IF(ABS(C40/C31)&gt;0.01,"C40")))</f>
        <v/>
      </c>
      <c r="D43" s="1796"/>
      <c r="E43" s="1793" t="str">
        <f>IF(ABS(E40)&lt;100,"",IF(E31=0,"E31",IF(ABS(E40/E31)&gt;0.01,"E40")))</f>
        <v/>
      </c>
      <c r="F43" s="1796"/>
      <c r="G43" s="1797" t="str">
        <f>IF(ABS(G40)&lt;100,"",IF(G31=0,"G31",IF(ABS(G40/G31)&gt;0.01,"G40")))</f>
        <v/>
      </c>
      <c r="H43" s="151"/>
      <c r="I43" s="1093"/>
      <c r="J43" s="1470"/>
      <c r="K43" s="1091"/>
      <c r="L43" s="1091"/>
      <c r="M43" s="2370"/>
      <c r="N43" s="2196"/>
      <c r="O43" s="2196"/>
      <c r="P43" s="2196"/>
      <c r="Q43" s="2377" t="s">
        <v>501</v>
      </c>
      <c r="R43" s="2196"/>
      <c r="S43" s="2196"/>
      <c r="T43" s="2196"/>
      <c r="U43" s="2196"/>
      <c r="V43" s="2196"/>
      <c r="W43" s="2196"/>
      <c r="X43" s="2196"/>
      <c r="Y43" s="2196"/>
      <c r="Z43" s="2196"/>
    </row>
    <row r="44" spans="1:26" ht="12.75">
      <c r="A44" s="1065" t="s">
        <v>392</v>
      </c>
      <c r="B44" s="1074" t="s">
        <v>574</v>
      </c>
      <c r="C44" s="80">
        <f>Drift!P55</f>
        <v>8428.1970000000001</v>
      </c>
      <c r="D44" s="81">
        <f>SUM(Motpart!D19:L19)</f>
        <v>697.72</v>
      </c>
      <c r="E44" s="81">
        <f>Drift!W55</f>
        <v>1323.99</v>
      </c>
      <c r="F44" s="81">
        <f>Motpart!Y19</f>
        <v>309.81299999999999</v>
      </c>
      <c r="G44" s="129">
        <f>Drift!V55</f>
        <v>817.88699999999994</v>
      </c>
      <c r="H44" s="154"/>
      <c r="I44" s="1367" t="s">
        <v>830</v>
      </c>
      <c r="J44" s="1468">
        <v>1129029</v>
      </c>
      <c r="K44" s="1368"/>
      <c r="L44" s="1366"/>
      <c r="M44" s="2365">
        <f>SUM(M45:M47,M49:M51)</f>
        <v>5429.5602681596311</v>
      </c>
      <c r="N44" s="2196"/>
      <c r="O44" s="2196"/>
      <c r="P44" s="2196"/>
      <c r="Q44" s="2375" t="s">
        <v>857</v>
      </c>
      <c r="R44" s="2196"/>
      <c r="S44" s="2196"/>
      <c r="T44" s="2196"/>
      <c r="U44" s="2196"/>
      <c r="V44" s="2196"/>
      <c r="W44" s="2196"/>
      <c r="X44" s="2196"/>
      <c r="Y44" s="2196"/>
      <c r="Z44" s="2196"/>
    </row>
    <row r="45" spans="1:26" ht="12.75">
      <c r="A45" s="1060" t="s">
        <v>387</v>
      </c>
      <c r="B45" s="1075" t="s">
        <v>500</v>
      </c>
      <c r="C45" s="264">
        <v>3672.201</v>
      </c>
      <c r="D45" s="1052"/>
      <c r="E45" s="242">
        <v>277.82499999999999</v>
      </c>
      <c r="F45" s="1045"/>
      <c r="G45" s="263">
        <v>272.95600000000002</v>
      </c>
      <c r="H45" s="148" t="s">
        <v>588</v>
      </c>
      <c r="I45" s="1363"/>
      <c r="J45" s="1364"/>
      <c r="K45" s="1365"/>
      <c r="L45" s="1365"/>
      <c r="M45" s="2369">
        <f>(C45-E45)*1000000/J44</f>
        <v>3006.4559900587142</v>
      </c>
      <c r="N45" s="2196"/>
      <c r="O45" s="2196"/>
      <c r="P45" s="2196"/>
      <c r="Q45" s="2375" t="s">
        <v>895</v>
      </c>
      <c r="R45" s="2196"/>
      <c r="S45" s="2196"/>
      <c r="T45" s="2196"/>
      <c r="U45" s="2196"/>
      <c r="V45" s="2196"/>
      <c r="W45" s="2196"/>
      <c r="X45" s="2196"/>
      <c r="Y45" s="2196"/>
      <c r="Z45" s="2196"/>
    </row>
    <row r="46" spans="1:26" ht="12.75">
      <c r="A46" s="1060" t="s">
        <v>393</v>
      </c>
      <c r="B46" s="1075" t="s">
        <v>820</v>
      </c>
      <c r="C46" s="264">
        <v>129.22800000000001</v>
      </c>
      <c r="D46" s="1052"/>
      <c r="E46" s="242">
        <v>3.12</v>
      </c>
      <c r="F46" s="1045"/>
      <c r="G46" s="263">
        <v>2.1469999999999998</v>
      </c>
      <c r="H46" s="152" t="s">
        <v>589</v>
      </c>
      <c r="I46" s="1363"/>
      <c r="J46" s="1364"/>
      <c r="K46" s="1094"/>
      <c r="L46" s="1094"/>
      <c r="M46" s="2369">
        <f>(C46-E46)*1000000/J44</f>
        <v>111.69597946554074</v>
      </c>
      <c r="N46" s="2196"/>
      <c r="O46" s="2196"/>
      <c r="P46" s="2196"/>
      <c r="Q46" s="2375" t="s">
        <v>896</v>
      </c>
      <c r="R46" s="2196"/>
      <c r="S46" s="2196"/>
      <c r="T46" s="2196"/>
      <c r="U46" s="2196"/>
      <c r="V46" s="2196"/>
      <c r="W46" s="2196"/>
      <c r="X46" s="2196"/>
      <c r="Y46" s="2196"/>
      <c r="Z46" s="2196"/>
    </row>
    <row r="47" spans="1:26" ht="12.75">
      <c r="A47" s="1060" t="s">
        <v>394</v>
      </c>
      <c r="B47" s="1075" t="s">
        <v>518</v>
      </c>
      <c r="C47" s="264">
        <v>117.81699999999999</v>
      </c>
      <c r="D47" s="1052"/>
      <c r="E47" s="242">
        <v>7.3029999999999999</v>
      </c>
      <c r="F47" s="1044"/>
      <c r="G47" s="263">
        <v>4.7300000000000004</v>
      </c>
      <c r="H47" s="152"/>
      <c r="I47" s="1363"/>
      <c r="J47" s="1469"/>
      <c r="K47" s="1090"/>
      <c r="L47" s="1090"/>
      <c r="M47" s="2369">
        <f>(C47-E47)*1000000/J44</f>
        <v>97.884111037006136</v>
      </c>
      <c r="N47" s="2196"/>
      <c r="O47" s="2196"/>
      <c r="P47" s="2196"/>
      <c r="Q47" s="2375" t="s">
        <v>897</v>
      </c>
      <c r="R47" s="2196"/>
      <c r="S47" s="2196"/>
      <c r="T47" s="2196"/>
      <c r="U47" s="2196"/>
      <c r="V47" s="2196"/>
      <c r="W47" s="2196"/>
      <c r="X47" s="2196"/>
      <c r="Y47" s="2196"/>
      <c r="Z47" s="2196"/>
    </row>
    <row r="48" spans="1:26" ht="12.75">
      <c r="A48" s="1060" t="s">
        <v>388</v>
      </c>
      <c r="B48" s="1075" t="s">
        <v>498</v>
      </c>
      <c r="C48" s="264">
        <v>775.19799999999998</v>
      </c>
      <c r="D48" s="1052" t="str">
        <f>IF(C44=0,"",IF(OR(C48=0,C48=""),"Kontrollera",""))</f>
        <v/>
      </c>
      <c r="E48" s="242">
        <v>6.923</v>
      </c>
      <c r="F48" s="972"/>
      <c r="G48" s="263">
        <v>2.8220000000000001</v>
      </c>
      <c r="H48" s="150" t="s">
        <v>590</v>
      </c>
      <c r="I48" s="1363"/>
      <c r="J48" s="1364"/>
      <c r="K48" s="1365"/>
      <c r="L48" s="1365"/>
      <c r="M48" s="2369">
        <f>(C48-E48)*1000000/J44</f>
        <v>680.47410651099312</v>
      </c>
      <c r="N48" s="2196"/>
      <c r="O48" s="2196"/>
      <c r="P48" s="2196"/>
      <c r="Q48" s="2375" t="s">
        <v>898</v>
      </c>
      <c r="R48" s="2196"/>
      <c r="S48" s="2196"/>
      <c r="T48" s="2196"/>
      <c r="U48" s="2196"/>
      <c r="V48" s="2196"/>
      <c r="W48" s="2196"/>
      <c r="X48" s="2196"/>
      <c r="Y48" s="2196"/>
      <c r="Z48" s="2196"/>
    </row>
    <row r="49" spans="1:26" ht="12.75">
      <c r="A49" s="1060" t="s">
        <v>395</v>
      </c>
      <c r="B49" s="1076" t="s">
        <v>739</v>
      </c>
      <c r="C49" s="264">
        <v>108.08199999999999</v>
      </c>
      <c r="D49" s="1052"/>
      <c r="E49" s="242">
        <v>2.7029999999999998</v>
      </c>
      <c r="F49" s="1055"/>
      <c r="G49" s="263">
        <v>1.899</v>
      </c>
      <c r="H49" s="152" t="s">
        <v>591</v>
      </c>
      <c r="I49" s="1363"/>
      <c r="J49" s="1364"/>
      <c r="K49" s="1365"/>
      <c r="L49" s="1365"/>
      <c r="M49" s="2369">
        <f>(C49-E49)*1000000/J44</f>
        <v>93.33595505518457</v>
      </c>
      <c r="N49" s="2196"/>
      <c r="O49" s="2196"/>
      <c r="P49" s="2196"/>
      <c r="Q49" s="2375" t="s">
        <v>899</v>
      </c>
      <c r="R49" s="2196"/>
      <c r="S49" s="2196"/>
      <c r="T49" s="2196"/>
      <c r="U49" s="2196"/>
      <c r="V49" s="2196"/>
      <c r="W49" s="2196"/>
      <c r="X49" s="2196"/>
      <c r="Y49" s="2196"/>
      <c r="Z49" s="2196"/>
    </row>
    <row r="50" spans="1:26" ht="12.75">
      <c r="A50" s="1060" t="s">
        <v>396</v>
      </c>
      <c r="B50" s="1077" t="s">
        <v>532</v>
      </c>
      <c r="C50" s="264">
        <v>656.27200000000005</v>
      </c>
      <c r="D50" s="1052" t="str">
        <f>IF(C44=0,"",IF(C50&lt;=Drift!I55+Drift!J55+Drift!L55,"Kontrollera",""))</f>
        <v/>
      </c>
      <c r="E50" s="242">
        <v>6.0010000000000003</v>
      </c>
      <c r="F50" s="1044"/>
      <c r="G50" s="263">
        <v>5.1390000000000002</v>
      </c>
      <c r="H50" s="150" t="s">
        <v>592</v>
      </c>
      <c r="I50" s="1363"/>
      <c r="J50" s="1364"/>
      <c r="K50" s="1365"/>
      <c r="L50" s="1365"/>
      <c r="M50" s="2369">
        <f>(C50-E50)*1000000/J44</f>
        <v>575.95597633010323</v>
      </c>
      <c r="N50" s="2196"/>
      <c r="O50" s="2196"/>
      <c r="P50" s="2196"/>
      <c r="Q50" s="2375" t="s">
        <v>900</v>
      </c>
      <c r="R50" s="2196"/>
      <c r="S50" s="2196"/>
      <c r="T50" s="2196"/>
      <c r="U50" s="2196"/>
      <c r="V50" s="2196"/>
      <c r="W50" s="2196"/>
      <c r="X50" s="2196"/>
      <c r="Y50" s="2196"/>
      <c r="Z50" s="2196"/>
    </row>
    <row r="51" spans="1:26" ht="12.75">
      <c r="A51" s="1060" t="s">
        <v>397</v>
      </c>
      <c r="B51" s="1075" t="s">
        <v>451</v>
      </c>
      <c r="C51" s="264">
        <v>2009.2950000000001</v>
      </c>
      <c r="D51" s="1289"/>
      <c r="E51" s="242">
        <v>688.66899999999998</v>
      </c>
      <c r="F51" s="1044"/>
      <c r="G51" s="263">
        <v>528.19399999999996</v>
      </c>
      <c r="H51" s="148" t="s">
        <v>593</v>
      </c>
      <c r="I51" s="2584"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1928"/>
      <c r="K51" s="1928"/>
      <c r="L51" s="2358"/>
      <c r="M51" s="2369">
        <f>(C51+C52-G51)*1000000/J44</f>
        <v>1544.2322562130823</v>
      </c>
      <c r="N51" s="2196"/>
      <c r="O51" s="2196"/>
      <c r="P51" s="2196"/>
      <c r="Q51" s="2375" t="s">
        <v>901</v>
      </c>
      <c r="R51" s="2196"/>
      <c r="S51" s="2196"/>
      <c r="T51" s="2196"/>
      <c r="U51" s="2196"/>
      <c r="V51" s="2196"/>
      <c r="W51" s="2196"/>
      <c r="X51" s="2196"/>
      <c r="Y51" s="2196"/>
      <c r="Z51" s="2196"/>
    </row>
    <row r="52" spans="1:26" ht="12.75">
      <c r="A52" s="1060" t="s">
        <v>398</v>
      </c>
      <c r="B52" s="1078" t="s">
        <v>461</v>
      </c>
      <c r="C52" s="264">
        <v>262.38200000000001</v>
      </c>
      <c r="D52" s="2120" t="str">
        <f>IF(OR(C52 &gt; SUM(Drift!N55+Drift!O55+100), C52 &lt; SUM(Drift!N55+Drift!O55-100)),"Fördelad gemensam verksamhet skiljer sig mot Driftfliken.","")</f>
        <v/>
      </c>
      <c r="E52" s="1052"/>
      <c r="F52" s="1052"/>
      <c r="G52" s="1054"/>
      <c r="H52" s="152"/>
      <c r="I52" s="2585"/>
      <c r="J52" s="1928"/>
      <c r="K52" s="1928"/>
      <c r="L52" s="2358"/>
      <c r="M52" s="2364">
        <f>((M44*J44/1000000+D44-F44-(Motpart!D19+Motpart!E19+Motpart!F19+Motpart!J19)*0.06))*1000000/J44+M48</f>
        <v>6434.4505942717151</v>
      </c>
      <c r="N52" s="2196"/>
      <c r="O52" s="2196"/>
      <c r="P52" s="2196"/>
      <c r="Q52" s="2375" t="s">
        <v>902</v>
      </c>
      <c r="R52" s="2196"/>
      <c r="S52" s="2196"/>
      <c r="T52" s="2196"/>
      <c r="U52" s="2196"/>
      <c r="V52" s="2196"/>
      <c r="W52" s="2196"/>
      <c r="X52" s="2196"/>
      <c r="Y52" s="2196"/>
      <c r="Z52" s="2196"/>
    </row>
    <row r="53" spans="1:26" ht="12.75">
      <c r="A53" s="1081" t="s">
        <v>558</v>
      </c>
      <c r="B53" s="1078" t="s">
        <v>127</v>
      </c>
      <c r="C53" s="1229">
        <f>(C44-SUM(C45:C52)-D44)*-1</f>
        <v>-1.9999999997253326E-3</v>
      </c>
      <c r="D53" s="1052"/>
      <c r="E53" s="1230">
        <f>(E44-SUM(E45:E51)-F44-SUM(Motpart!D19+Motpart!E19+Motpart!F19+Motpart!J19)*0.06)*-1</f>
        <v>-1.3200000001525325E-3</v>
      </c>
      <c r="F53" s="1052"/>
      <c r="G53" s="1231">
        <f>(G44-SUM(G45:G51))*-1</f>
        <v>0</v>
      </c>
      <c r="H53" s="152"/>
      <c r="I53" s="2585"/>
      <c r="J53" s="1928"/>
      <c r="K53" s="1928"/>
      <c r="L53" s="2358"/>
      <c r="M53" s="2365">
        <f>(Motpart!G19+Motpart!K19)*1000000/J44</f>
        <v>284.30890614855781</v>
      </c>
      <c r="N53" s="2196"/>
      <c r="O53" s="2196"/>
      <c r="P53" s="2196"/>
      <c r="Q53" s="2375" t="s">
        <v>903</v>
      </c>
      <c r="R53" s="2196"/>
      <c r="S53" s="2196"/>
      <c r="T53" s="2196"/>
      <c r="U53" s="2196"/>
      <c r="V53" s="2196"/>
      <c r="W53" s="2196"/>
      <c r="X53" s="2196"/>
      <c r="Y53" s="2196"/>
      <c r="Z53" s="2196"/>
    </row>
    <row r="54" spans="1:26" ht="12.75">
      <c r="A54" s="1081" t="s">
        <v>559</v>
      </c>
      <c r="B54" s="1078"/>
      <c r="C54" s="1052"/>
      <c r="D54" s="1052"/>
      <c r="E54" s="1052"/>
      <c r="F54" s="1052"/>
      <c r="G54" s="1054"/>
      <c r="H54" s="150"/>
      <c r="I54" s="2585"/>
      <c r="J54" s="1928"/>
      <c r="K54" s="1928"/>
      <c r="L54" s="2358"/>
      <c r="M54" s="2369">
        <f>F44*1000000/J44</f>
        <v>274.40659185902223</v>
      </c>
      <c r="N54" s="2196"/>
      <c r="O54" s="2196"/>
      <c r="P54" s="2196"/>
      <c r="Q54" s="2375" t="s">
        <v>904</v>
      </c>
      <c r="R54" s="2196"/>
      <c r="S54" s="2196"/>
      <c r="T54" s="2196"/>
      <c r="U54" s="2196"/>
      <c r="V54" s="2196"/>
      <c r="W54" s="2196"/>
      <c r="X54" s="2196"/>
      <c r="Y54" s="2196"/>
      <c r="Z54" s="2196"/>
    </row>
    <row r="55" spans="1:26" ht="12.75">
      <c r="A55" s="1081" t="s">
        <v>560</v>
      </c>
      <c r="B55" s="1083"/>
      <c r="C55" s="1052"/>
      <c r="D55" s="1052"/>
      <c r="E55" s="1052"/>
      <c r="F55" s="1052"/>
      <c r="G55" s="1054"/>
      <c r="H55" s="148"/>
      <c r="I55" s="2585"/>
      <c r="J55" s="1928"/>
      <c r="K55" s="1928"/>
      <c r="L55" s="2358"/>
      <c r="M55" s="2369">
        <f>Motpart!H19*1000000/J44</f>
        <v>1.2656893667036011</v>
      </c>
      <c r="N55" s="2196"/>
      <c r="O55" s="2196"/>
      <c r="P55" s="2196"/>
      <c r="Q55" s="2375" t="s">
        <v>1088</v>
      </c>
      <c r="R55" s="2196"/>
      <c r="S55" s="2196"/>
      <c r="T55" s="2196"/>
      <c r="U55" s="2196"/>
      <c r="V55" s="2196"/>
      <c r="W55" s="2196"/>
      <c r="X55" s="2196"/>
      <c r="Y55" s="2196"/>
      <c r="Z55" s="2196"/>
    </row>
    <row r="56" spans="1:26" ht="12.75">
      <c r="A56" s="1063" t="s">
        <v>561</v>
      </c>
      <c r="B56" s="1078"/>
      <c r="C56" s="1041"/>
      <c r="D56" s="1041"/>
      <c r="E56" s="1041"/>
      <c r="F56" s="1041"/>
      <c r="G56" s="1051"/>
      <c r="H56" s="1234"/>
      <c r="I56" s="1235"/>
      <c r="J56" s="1469"/>
      <c r="K56" s="1094"/>
      <c r="L56" s="1094"/>
      <c r="M56" s="2369">
        <f>(Motpart!D19+Motpart!E19+Motpart!F19+Motpart!J19-(Motpart!D19+Motpart!E19+Motpart!F19+Motpart!J19)*0.06)*1000000/J44</f>
        <v>300.1661781938285</v>
      </c>
      <c r="N56" s="2196"/>
      <c r="O56" s="2196"/>
      <c r="P56" s="2196"/>
      <c r="Q56" s="2375" t="s">
        <v>905</v>
      </c>
      <c r="R56" s="2196"/>
      <c r="S56" s="2196"/>
      <c r="T56" s="2196"/>
      <c r="U56" s="2196"/>
      <c r="V56" s="2196"/>
      <c r="W56" s="2196"/>
      <c r="X56" s="2196"/>
      <c r="Y56" s="2196"/>
      <c r="Z56" s="2196"/>
    </row>
    <row r="57" spans="1:26" ht="13.5" thickBot="1">
      <c r="A57" s="1081"/>
      <c r="B57" s="1084"/>
      <c r="C57" s="1793" t="str">
        <f>IF(ABS(C53)&lt;100,"",IF(C44=0,"C44",IF(ABS(C53/C44)&gt;0.01,"C53")))</f>
        <v/>
      </c>
      <c r="D57" s="1793"/>
      <c r="E57" s="1793" t="str">
        <f>IF(ABS(E53)&lt;100,"",IF(E44=0,"E44",IF(ABS(E53/E44)&gt;0.01,"E53")))</f>
        <v/>
      </c>
      <c r="F57" s="1793"/>
      <c r="G57" s="1794" t="str">
        <f>IF(ABS(G53)&lt;100,"",IF(G44=0,"G44",IF(ABS(G53/G44)&gt;0.01,"G53")))</f>
        <v/>
      </c>
      <c r="H57" s="166"/>
      <c r="I57" s="1095"/>
      <c r="J57" s="1470"/>
      <c r="K57" s="1091"/>
      <c r="L57" s="1091"/>
      <c r="M57" s="2370"/>
      <c r="N57" s="2196"/>
      <c r="O57" s="2196"/>
      <c r="P57" s="2196"/>
      <c r="Q57" s="2377" t="s">
        <v>502</v>
      </c>
      <c r="R57" s="2196"/>
      <c r="S57" s="2196"/>
      <c r="T57" s="2196"/>
      <c r="U57" s="2196"/>
      <c r="V57" s="2196"/>
      <c r="W57" s="2196"/>
      <c r="X57" s="2196"/>
      <c r="Y57" s="2196"/>
      <c r="Z57" s="2196"/>
    </row>
    <row r="58" spans="1:26" ht="12.75">
      <c r="A58" s="1065" t="s">
        <v>399</v>
      </c>
      <c r="B58" s="1074" t="s">
        <v>538</v>
      </c>
      <c r="C58" s="80">
        <f>Drift!P56</f>
        <v>61427.337000000007</v>
      </c>
      <c r="D58" s="81">
        <f>SUM(Motpart!D20:L20)</f>
        <v>23844.876999999997</v>
      </c>
      <c r="E58" s="81">
        <f>Drift!W56</f>
        <v>15369.985000000001</v>
      </c>
      <c r="F58" s="81">
        <f>Motpart!Y20</f>
        <v>7877.1819999999998</v>
      </c>
      <c r="G58" s="129">
        <f>Drift!V56</f>
        <v>4377.4430000000002</v>
      </c>
      <c r="H58" s="148"/>
      <c r="I58" s="1367" t="s">
        <v>831</v>
      </c>
      <c r="J58" s="1468">
        <v>361331</v>
      </c>
      <c r="K58" s="1366"/>
      <c r="L58" s="1366"/>
      <c r="M58" s="2371">
        <f>SUM(M59:M61,M63:M65)</f>
        <v>86886.965137228734</v>
      </c>
      <c r="N58" s="2196"/>
      <c r="O58" s="2196"/>
      <c r="P58" s="2196"/>
      <c r="Q58" s="2375" t="s">
        <v>839</v>
      </c>
      <c r="R58" s="2196"/>
      <c r="S58" s="2196"/>
      <c r="T58" s="2196"/>
      <c r="U58" s="2196"/>
      <c r="V58" s="2196"/>
      <c r="W58" s="2196"/>
      <c r="X58" s="2196"/>
      <c r="Y58" s="2196"/>
      <c r="Z58" s="2196"/>
    </row>
    <row r="59" spans="1:26" ht="12.75">
      <c r="A59" s="1060" t="s">
        <v>400</v>
      </c>
      <c r="B59" s="1075" t="s">
        <v>500</v>
      </c>
      <c r="C59" s="264">
        <v>18223.941999999999</v>
      </c>
      <c r="D59" s="1052"/>
      <c r="E59" s="242">
        <v>1939.24</v>
      </c>
      <c r="F59" s="1044"/>
      <c r="G59" s="263">
        <v>1785.9069999999999</v>
      </c>
      <c r="H59" s="152" t="s">
        <v>594</v>
      </c>
      <c r="I59" s="1363"/>
      <c r="J59" s="1364"/>
      <c r="K59" s="1365"/>
      <c r="L59" s="1365"/>
      <c r="M59" s="2369">
        <f>(C59-E59)*1000000/J58</f>
        <v>45068.654502381476</v>
      </c>
      <c r="N59" s="2196"/>
      <c r="O59" s="2196"/>
      <c r="P59" s="2196"/>
      <c r="Q59" s="2375" t="s">
        <v>840</v>
      </c>
      <c r="R59" s="2196"/>
      <c r="S59" s="2196"/>
      <c r="T59" s="2196"/>
      <c r="U59" s="2196"/>
      <c r="V59" s="2196"/>
      <c r="W59" s="2196"/>
      <c r="X59" s="2196"/>
      <c r="Y59" s="2196"/>
      <c r="Z59" s="2196"/>
    </row>
    <row r="60" spans="1:26" ht="12.75">
      <c r="A60" s="1060" t="s">
        <v>401</v>
      </c>
      <c r="B60" s="1075" t="s">
        <v>820</v>
      </c>
      <c r="C60" s="264">
        <v>2563.6669999999999</v>
      </c>
      <c r="D60" s="1052"/>
      <c r="E60" s="242">
        <v>193.71899999999999</v>
      </c>
      <c r="F60" s="1044"/>
      <c r="G60" s="263">
        <v>54.399000000000001</v>
      </c>
      <c r="H60" s="152" t="s">
        <v>595</v>
      </c>
      <c r="I60" s="1363"/>
      <c r="J60" s="1364"/>
      <c r="K60" s="1094"/>
      <c r="L60" s="1094"/>
      <c r="M60" s="2369">
        <f>(C60-E60)*1000000/J58</f>
        <v>6558.9390337391478</v>
      </c>
      <c r="N60" s="2196"/>
      <c r="O60" s="2196"/>
      <c r="P60" s="2196"/>
      <c r="Q60" s="2375" t="s">
        <v>841</v>
      </c>
      <c r="R60" s="2196"/>
      <c r="S60" s="2196"/>
      <c r="T60" s="2196"/>
      <c r="U60" s="2196"/>
      <c r="V60" s="2196"/>
      <c r="W60" s="2196"/>
      <c r="X60" s="2196"/>
      <c r="Y60" s="2196"/>
      <c r="Z60" s="2196"/>
    </row>
    <row r="61" spans="1:26" ht="12.75">
      <c r="A61" s="1060" t="s">
        <v>402</v>
      </c>
      <c r="B61" s="1075" t="s">
        <v>518</v>
      </c>
      <c r="C61" s="264">
        <v>1584.6990000000001</v>
      </c>
      <c r="D61" s="1052"/>
      <c r="E61" s="242">
        <v>187.57300000000001</v>
      </c>
      <c r="F61" s="1044"/>
      <c r="G61" s="263">
        <v>92.572000000000003</v>
      </c>
      <c r="H61" s="150"/>
      <c r="I61" s="1363"/>
      <c r="J61" s="1184"/>
      <c r="K61" s="1090"/>
      <c r="L61" s="1090"/>
      <c r="M61" s="2369">
        <f>(C61-E61)*1000000/J58</f>
        <v>3866.6098397314372</v>
      </c>
      <c r="N61" s="2196"/>
      <c r="O61" s="2196"/>
      <c r="P61" s="2196"/>
      <c r="Q61" s="2375" t="s">
        <v>842</v>
      </c>
      <c r="R61" s="2196"/>
      <c r="S61" s="2196"/>
      <c r="T61" s="2196"/>
      <c r="U61" s="2196"/>
      <c r="V61" s="2196"/>
      <c r="W61" s="2196"/>
      <c r="X61" s="2196"/>
      <c r="Y61" s="2196"/>
      <c r="Z61" s="2196"/>
    </row>
    <row r="62" spans="1:26" ht="12.75">
      <c r="A62" s="1060" t="s">
        <v>253</v>
      </c>
      <c r="B62" s="1075" t="s">
        <v>498</v>
      </c>
      <c r="C62" s="264">
        <v>1365.3989999999999</v>
      </c>
      <c r="D62" s="1052" t="str">
        <f>IF(C58=0,"",IF(OR(C62=0,C62=""),"Kontrollera",""))</f>
        <v/>
      </c>
      <c r="E62" s="242">
        <v>54.697000000000003</v>
      </c>
      <c r="F62" s="1044"/>
      <c r="G62" s="263">
        <v>3.2320000000000002</v>
      </c>
      <c r="H62" s="148" t="s">
        <v>596</v>
      </c>
      <c r="I62" s="1363"/>
      <c r="J62" s="1364"/>
      <c r="K62" s="1365"/>
      <c r="L62" s="1365"/>
      <c r="M62" s="2369">
        <f>(C62-E62)*1000000/J58</f>
        <v>3627.4274833878071</v>
      </c>
      <c r="N62" s="2196"/>
      <c r="O62" s="2196"/>
      <c r="P62" s="2196"/>
      <c r="Q62" s="2375" t="s">
        <v>843</v>
      </c>
      <c r="R62" s="2196"/>
      <c r="S62" s="2196"/>
      <c r="T62" s="2196"/>
      <c r="U62" s="2196"/>
      <c r="V62" s="2196"/>
      <c r="W62" s="2196"/>
      <c r="X62" s="2196"/>
      <c r="Y62" s="2196"/>
      <c r="Z62" s="2196"/>
    </row>
    <row r="63" spans="1:26" ht="12.75">
      <c r="A63" s="1060" t="s">
        <v>403</v>
      </c>
      <c r="B63" s="1076" t="s">
        <v>739</v>
      </c>
      <c r="C63" s="264">
        <v>896.95399999999995</v>
      </c>
      <c r="D63" s="1052"/>
      <c r="E63" s="242">
        <v>33.606000000000002</v>
      </c>
      <c r="F63" s="1044"/>
      <c r="G63" s="263">
        <v>28.094999999999999</v>
      </c>
      <c r="H63" s="152" t="s">
        <v>597</v>
      </c>
      <c r="I63" s="1363"/>
      <c r="J63" s="1364"/>
      <c r="K63" s="1365"/>
      <c r="L63" s="1365"/>
      <c r="M63" s="2369">
        <f>(C63-E63)*1000000/J58</f>
        <v>2389.3549128084774</v>
      </c>
      <c r="N63" s="2196"/>
      <c r="O63" s="2196"/>
      <c r="P63" s="2196"/>
      <c r="Q63" s="2375" t="s">
        <v>844</v>
      </c>
      <c r="R63" s="2196"/>
      <c r="S63" s="2196"/>
      <c r="T63" s="2196"/>
      <c r="U63" s="2196"/>
      <c r="V63" s="2196"/>
      <c r="W63" s="2196"/>
      <c r="X63" s="2196"/>
      <c r="Y63" s="2196"/>
      <c r="Z63" s="2196"/>
    </row>
    <row r="64" spans="1:26" ht="12.75">
      <c r="A64" s="1060" t="s">
        <v>404</v>
      </c>
      <c r="B64" s="1077" t="s">
        <v>532</v>
      </c>
      <c r="C64" s="264">
        <v>5581.29</v>
      </c>
      <c r="D64" s="1052" t="str">
        <f>IF(C58=0,"",IF(C64&lt;=Drift!I56+Drift!J56+Drift!L56,"Kontrollera",""))</f>
        <v/>
      </c>
      <c r="E64" s="242">
        <v>133.52099999999999</v>
      </c>
      <c r="F64" s="1044"/>
      <c r="G64" s="263">
        <v>78.789000000000001</v>
      </c>
      <c r="H64" s="152" t="s">
        <v>598</v>
      </c>
      <c r="I64" s="1363"/>
      <c r="J64" s="1364"/>
      <c r="K64" s="1365"/>
      <c r="L64" s="1365"/>
      <c r="M64" s="2369">
        <f>(C64-E64)*1000000/J58</f>
        <v>15076.948836385474</v>
      </c>
      <c r="N64" s="2196"/>
      <c r="O64" s="2196"/>
      <c r="P64" s="2196"/>
      <c r="Q64" s="2375" t="s">
        <v>845</v>
      </c>
      <c r="R64" s="2196"/>
      <c r="S64" s="2196"/>
      <c r="T64" s="2196"/>
      <c r="U64" s="2196"/>
      <c r="V64" s="2196"/>
      <c r="W64" s="2196"/>
      <c r="X64" s="2196"/>
      <c r="Y64" s="2196"/>
      <c r="Z64" s="2196"/>
    </row>
    <row r="65" spans="1:26" ht="12.75">
      <c r="A65" s="1060" t="s">
        <v>405</v>
      </c>
      <c r="B65" s="1085" t="s">
        <v>451</v>
      </c>
      <c r="C65" s="264">
        <v>6165.1859999999997</v>
      </c>
      <c r="D65" s="1052"/>
      <c r="E65" s="242">
        <v>4172.0569999999998</v>
      </c>
      <c r="F65" s="1044"/>
      <c r="G65" s="263">
        <v>2334.4479999999999</v>
      </c>
      <c r="H65" s="152" t="s">
        <v>599</v>
      </c>
      <c r="I65" s="2586"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1929"/>
      <c r="K65" s="1929"/>
      <c r="L65" s="2359"/>
      <c r="M65" s="2369">
        <f>(C65+C66-G65)*1000000/J58</f>
        <v>13926.458012182735</v>
      </c>
      <c r="N65" s="2196"/>
      <c r="O65" s="2196"/>
      <c r="P65" s="2196"/>
      <c r="Q65" s="2375" t="s">
        <v>846</v>
      </c>
      <c r="R65" s="2196"/>
      <c r="S65" s="2196"/>
      <c r="T65" s="2196"/>
      <c r="U65" s="2196"/>
      <c r="V65" s="2196"/>
      <c r="W65" s="2196"/>
      <c r="X65" s="2196"/>
      <c r="Y65" s="2196"/>
      <c r="Z65" s="2196"/>
    </row>
    <row r="66" spans="1:26" ht="12.75">
      <c r="A66" s="1060" t="s">
        <v>406</v>
      </c>
      <c r="B66" s="1086" t="s">
        <v>461</v>
      </c>
      <c r="C66" s="264">
        <v>1201.3230000000001</v>
      </c>
      <c r="D66" s="2119" t="str">
        <f>IF(OR(C66 &gt; SUM(Drift!N56+Drift!O56+100), C66 &lt; SUM(Drift!N56+Drift!O56-100)),"Fördelad gemensam verksamhet skiljer sig mot Driftfliken.","")</f>
        <v/>
      </c>
      <c r="E66" s="1052"/>
      <c r="F66" s="1052"/>
      <c r="G66" s="1054"/>
      <c r="H66" s="152"/>
      <c r="I66" s="2587"/>
      <c r="J66" s="1929"/>
      <c r="K66" s="1929"/>
      <c r="L66" s="2359"/>
      <c r="M66" s="2369">
        <f>(M58*J58/1000000+D58-F58-(Motpart!D20+Motpart!E20+Motpart!F20+Motpart!J20)*0.06)*1000000/J58+M62</f>
        <v>132551.48564612499</v>
      </c>
      <c r="N66" s="2196"/>
      <c r="O66" s="2196"/>
      <c r="P66" s="2196"/>
      <c r="Q66" s="2375" t="s">
        <v>847</v>
      </c>
      <c r="R66" s="2196"/>
      <c r="S66" s="2196"/>
      <c r="T66" s="2196"/>
      <c r="U66" s="2196"/>
      <c r="V66" s="2196"/>
      <c r="W66" s="2196"/>
      <c r="X66" s="2196"/>
      <c r="Y66" s="2196"/>
      <c r="Z66" s="2196"/>
    </row>
    <row r="67" spans="1:26" ht="12.75">
      <c r="A67" s="1060" t="s">
        <v>565</v>
      </c>
      <c r="B67" s="1078" t="s">
        <v>127</v>
      </c>
      <c r="C67" s="1229">
        <f>(C58-SUM(C59:C66)-D58)*-1</f>
        <v>-1.0913936421275139E-11</v>
      </c>
      <c r="D67" s="1040"/>
      <c r="E67" s="1230">
        <f>(E58-SUM(E59:E65)-F58-SUM(Motpart!D20+Motpart!E20+Motpart!F20+Motpart!J20)*0.06)*-1</f>
        <v>1.3999999976022082E-4</v>
      </c>
      <c r="F67" s="1040"/>
      <c r="G67" s="1231">
        <f>(G58-SUM(G59:G65))*-1</f>
        <v>-1.0000000002037268E-3</v>
      </c>
      <c r="H67" s="152"/>
      <c r="I67" s="2587"/>
      <c r="J67" s="1929"/>
      <c r="K67" s="1929"/>
      <c r="L67" s="2359"/>
      <c r="M67" s="2369">
        <f>(Motpart!G20+Motpart!K20)*1000000/J58</f>
        <v>28270.704700122602</v>
      </c>
      <c r="N67" s="2196"/>
      <c r="O67" s="2196"/>
      <c r="P67" s="2196"/>
      <c r="Q67" s="2375" t="s">
        <v>1087</v>
      </c>
      <c r="R67" s="2196"/>
      <c r="S67" s="2196"/>
      <c r="T67" s="2196"/>
      <c r="U67" s="2196"/>
      <c r="V67" s="2196"/>
      <c r="W67" s="2196"/>
      <c r="X67" s="2196"/>
      <c r="Y67" s="2196"/>
      <c r="Z67" s="2196"/>
    </row>
    <row r="68" spans="1:26" ht="12.75">
      <c r="A68" s="1079" t="s">
        <v>566</v>
      </c>
      <c r="B68" s="1078"/>
      <c r="C68" s="1052"/>
      <c r="D68" s="1041"/>
      <c r="E68" s="1052"/>
      <c r="F68" s="1052"/>
      <c r="G68" s="1054"/>
      <c r="H68" s="150"/>
      <c r="I68" s="2587"/>
      <c r="J68" s="1929"/>
      <c r="K68" s="1929"/>
      <c r="L68" s="2359"/>
      <c r="M68" s="2369">
        <f>F58*1000000/J58</f>
        <v>21800.459966069891</v>
      </c>
      <c r="N68" s="2196"/>
      <c r="O68" s="2196"/>
      <c r="P68" s="2196"/>
      <c r="Q68" s="2375" t="s">
        <v>1086</v>
      </c>
      <c r="R68" s="2196"/>
      <c r="S68" s="2196"/>
      <c r="T68" s="2196"/>
      <c r="U68" s="2196"/>
      <c r="V68" s="2196"/>
      <c r="W68" s="2196"/>
      <c r="X68" s="2196"/>
      <c r="Y68" s="2196"/>
      <c r="Z68" s="2196"/>
    </row>
    <row r="69" spans="1:26" ht="12.75">
      <c r="A69" s="1079" t="s">
        <v>567</v>
      </c>
      <c r="B69" s="1083"/>
      <c r="C69" s="1052"/>
      <c r="D69" s="1041"/>
      <c r="E69" s="1052"/>
      <c r="F69" s="1052"/>
      <c r="G69" s="1054"/>
      <c r="H69" s="148"/>
      <c r="I69" s="2587"/>
      <c r="J69" s="1929"/>
      <c r="K69" s="1929"/>
      <c r="L69" s="2359"/>
      <c r="M69" s="2369">
        <f>Motpart!H20*1000000/J58</f>
        <v>1368.3907552908552</v>
      </c>
      <c r="N69" s="2196"/>
      <c r="O69" s="2196"/>
      <c r="P69" s="2196"/>
      <c r="Q69" s="2375" t="s">
        <v>1089</v>
      </c>
      <c r="R69" s="2196"/>
      <c r="S69" s="2196"/>
      <c r="T69" s="2196"/>
      <c r="U69" s="2196"/>
      <c r="V69" s="2196"/>
      <c r="W69" s="2196"/>
      <c r="X69" s="2196"/>
      <c r="Y69" s="2196"/>
      <c r="Z69" s="2196"/>
    </row>
    <row r="70" spans="1:26" ht="12.75">
      <c r="A70" s="1079" t="s">
        <v>568</v>
      </c>
      <c r="B70" s="1078"/>
      <c r="C70" s="1041"/>
      <c r="D70" s="1041"/>
      <c r="E70" s="1041"/>
      <c r="F70" s="1041"/>
      <c r="G70" s="1051"/>
      <c r="H70" s="1234"/>
      <c r="I70" s="1235"/>
      <c r="J70" s="1469"/>
      <c r="K70" s="1094"/>
      <c r="L70" s="1094"/>
      <c r="M70" s="2369">
        <f>((Motpart!D20+Motpart!E20+Motpart!F20+Motpart!J20)-(Motpart!D20+Motpart!E20+Motpart!F20+Motpart!J20)*0.06)*1000000/J58</f>
        <v>33749.605929189587</v>
      </c>
      <c r="N70" s="2196"/>
      <c r="O70" s="2196"/>
      <c r="P70" s="2196"/>
      <c r="Q70" s="2375" t="s">
        <v>848</v>
      </c>
      <c r="R70" s="2196"/>
      <c r="S70" s="2196"/>
      <c r="T70" s="2196"/>
      <c r="U70" s="2196"/>
      <c r="V70" s="2196"/>
      <c r="W70" s="2196"/>
      <c r="X70" s="2196"/>
      <c r="Y70" s="2196"/>
      <c r="Z70" s="2196"/>
    </row>
    <row r="71" spans="1:26" ht="13.5" thickBot="1">
      <c r="A71" s="1087"/>
      <c r="B71" s="1088"/>
      <c r="C71" s="1789" t="str">
        <f>IF(ABS(C67)&lt;100,"",IF(C58=0,"C58",IF(ABS(C67/C58)&gt;0.01,"C67")))</f>
        <v/>
      </c>
      <c r="D71" s="1790"/>
      <c r="E71" s="1790" t="str">
        <f>IF(ABS(E67)&lt;100,"",IF(E58=0,"E58",IF(ABS(E67/E58)&gt;0.01,"E67")))</f>
        <v/>
      </c>
      <c r="F71" s="1792"/>
      <c r="G71" s="1791" t="str">
        <f>IF(ABS(G67)&lt;100,"",IF(G58=0,"G58",IF(ABS(G67/G58)&gt;0.01,"G67")))</f>
        <v/>
      </c>
      <c r="H71" s="151"/>
      <c r="I71" s="1093"/>
      <c r="J71" s="1470"/>
      <c r="K71" s="1091"/>
      <c r="L71" s="1091"/>
      <c r="M71" s="2370"/>
      <c r="N71" s="2196"/>
      <c r="O71" s="2196"/>
      <c r="P71" s="2196"/>
      <c r="Q71" s="2377" t="s">
        <v>503</v>
      </c>
      <c r="R71" s="2196"/>
      <c r="S71" s="2196"/>
      <c r="T71" s="2196"/>
      <c r="U71" s="2196"/>
      <c r="V71" s="2196"/>
      <c r="W71" s="2196"/>
      <c r="X71" s="2196"/>
      <c r="Y71" s="2196"/>
      <c r="Z71" s="2196"/>
    </row>
    <row r="72" spans="1:26" ht="12.75">
      <c r="A72" s="1065" t="s">
        <v>407</v>
      </c>
      <c r="B72" s="1074" t="s">
        <v>539</v>
      </c>
      <c r="C72" s="80">
        <f>Drift!P57</f>
        <v>4504.942</v>
      </c>
      <c r="D72" s="81">
        <f>SUM(Motpart!D21:L21)</f>
        <v>1236.5820000000001</v>
      </c>
      <c r="E72" s="81">
        <f>Drift!W57</f>
        <v>1167.538</v>
      </c>
      <c r="F72" s="81">
        <f>Motpart!Y21</f>
        <v>716.90300000000002</v>
      </c>
      <c r="G72" s="129">
        <f>Drift!V57</f>
        <v>314.96699999999998</v>
      </c>
      <c r="H72" s="148"/>
      <c r="I72" s="1377" t="s">
        <v>831</v>
      </c>
      <c r="J72" s="1468">
        <v>361331</v>
      </c>
      <c r="K72" s="1368"/>
      <c r="L72" s="1366"/>
      <c r="M72" s="2371">
        <f>SUM(M73:M75,M77:M79)</f>
        <v>7210.3445317451315</v>
      </c>
      <c r="N72" s="2196"/>
      <c r="O72" s="2196"/>
      <c r="P72" s="2196"/>
      <c r="Q72" s="2375" t="s">
        <v>839</v>
      </c>
      <c r="R72" s="2196"/>
      <c r="S72" s="2196"/>
      <c r="T72" s="2196"/>
      <c r="U72" s="2196"/>
      <c r="V72" s="2196"/>
      <c r="W72" s="2196"/>
      <c r="X72" s="2196"/>
      <c r="Y72" s="2196"/>
      <c r="Z72" s="2196"/>
    </row>
    <row r="73" spans="1:26" ht="12.75">
      <c r="A73" s="1060" t="s">
        <v>408</v>
      </c>
      <c r="B73" s="1075" t="s">
        <v>500</v>
      </c>
      <c r="C73" s="264">
        <v>1485.7360000000001</v>
      </c>
      <c r="D73" s="1052"/>
      <c r="E73" s="242">
        <v>155.49100000000001</v>
      </c>
      <c r="F73" s="1044"/>
      <c r="G73" s="263">
        <v>152.39500000000001</v>
      </c>
      <c r="H73" s="165" t="s">
        <v>600</v>
      </c>
      <c r="I73" s="819"/>
      <c r="J73" s="1364"/>
      <c r="K73" s="1365"/>
      <c r="L73" s="1365"/>
      <c r="M73" s="2369">
        <f>(C73-E73)*1000000/J72</f>
        <v>3681.5136260105</v>
      </c>
      <c r="N73" s="2196"/>
      <c r="O73" s="2196"/>
      <c r="P73" s="2196"/>
      <c r="Q73" s="2375" t="s">
        <v>840</v>
      </c>
      <c r="R73" s="2196"/>
      <c r="S73" s="2196"/>
      <c r="T73" s="2196"/>
      <c r="U73" s="2196"/>
      <c r="V73" s="2196"/>
      <c r="W73" s="2196"/>
      <c r="X73" s="2196"/>
      <c r="Y73" s="2196"/>
      <c r="Z73" s="2196"/>
    </row>
    <row r="74" spans="1:26" ht="12.75">
      <c r="A74" s="1060" t="s">
        <v>409</v>
      </c>
      <c r="B74" s="1075" t="s">
        <v>820</v>
      </c>
      <c r="C74" s="264">
        <v>86.581000000000003</v>
      </c>
      <c r="D74" s="1052"/>
      <c r="E74" s="242">
        <v>8.5820000000000007</v>
      </c>
      <c r="F74" s="1044"/>
      <c r="G74" s="263">
        <v>4.0650000000000004</v>
      </c>
      <c r="H74" s="164" t="s">
        <v>601</v>
      </c>
      <c r="I74" s="819"/>
      <c r="J74" s="1364"/>
      <c r="K74" s="1094"/>
      <c r="L74" s="1094"/>
      <c r="M74" s="2369">
        <f>(C74-E74)*1000000/J72</f>
        <v>215.86578511115846</v>
      </c>
      <c r="N74" s="2196"/>
      <c r="O74" s="2196"/>
      <c r="P74" s="2196"/>
      <c r="Q74" s="2375" t="s">
        <v>841</v>
      </c>
      <c r="R74" s="2196"/>
      <c r="S74" s="2196"/>
      <c r="T74" s="2196"/>
      <c r="U74" s="2196"/>
      <c r="V74" s="2196"/>
      <c r="W74" s="2196"/>
      <c r="X74" s="2196"/>
      <c r="Y74" s="2196"/>
      <c r="Z74" s="2196"/>
    </row>
    <row r="75" spans="1:26" ht="12.75">
      <c r="A75" s="1060" t="s">
        <v>410</v>
      </c>
      <c r="B75" s="1075" t="s">
        <v>518</v>
      </c>
      <c r="C75" s="264">
        <v>48.875999999999998</v>
      </c>
      <c r="D75" s="1052"/>
      <c r="E75" s="242">
        <v>5.56</v>
      </c>
      <c r="F75" s="1044"/>
      <c r="G75" s="263">
        <v>3.915</v>
      </c>
      <c r="H75" s="1376"/>
      <c r="I75" s="819"/>
      <c r="J75" s="1184"/>
      <c r="K75" s="1090"/>
      <c r="L75" s="1090"/>
      <c r="M75" s="2369">
        <f>(C75-E75)*1000000/J72</f>
        <v>119.87900290869035</v>
      </c>
      <c r="N75" s="2196"/>
      <c r="O75" s="2196"/>
      <c r="P75" s="2196"/>
      <c r="Q75" s="2375" t="s">
        <v>842</v>
      </c>
      <c r="R75" s="2196"/>
      <c r="S75" s="2196"/>
      <c r="T75" s="2196"/>
      <c r="U75" s="2196"/>
      <c r="V75" s="2196"/>
      <c r="W75" s="2196"/>
      <c r="X75" s="2196"/>
      <c r="Y75" s="2196"/>
      <c r="Z75" s="2196"/>
    </row>
    <row r="76" spans="1:26" ht="12.75">
      <c r="A76" s="1060" t="s">
        <v>411</v>
      </c>
      <c r="B76" s="1075" t="s">
        <v>498</v>
      </c>
      <c r="C76" s="264">
        <v>343.61700000000002</v>
      </c>
      <c r="D76" s="1052" t="str">
        <f>IF(C72=0,"",IF(OR(C76=0,C76=""),"Kontrollera",""))</f>
        <v/>
      </c>
      <c r="E76" s="242">
        <v>8.4789999999999992</v>
      </c>
      <c r="F76" s="1044"/>
      <c r="G76" s="263">
        <v>5.5119999999999996</v>
      </c>
      <c r="H76" s="1376" t="s">
        <v>602</v>
      </c>
      <c r="I76" s="819"/>
      <c r="J76" s="1364"/>
      <c r="K76" s="1365"/>
      <c r="L76" s="1365"/>
      <c r="M76" s="2369">
        <f>(C76-E76)*1000000/J72</f>
        <v>927.50967949055041</v>
      </c>
      <c r="N76" s="2196"/>
      <c r="O76" s="2196"/>
      <c r="P76" s="2196"/>
      <c r="Q76" s="2375" t="s">
        <v>843</v>
      </c>
      <c r="R76" s="2196"/>
      <c r="S76" s="2196"/>
      <c r="T76" s="2196"/>
      <c r="U76" s="2196"/>
      <c r="V76" s="2196"/>
      <c r="W76" s="2196"/>
      <c r="X76" s="2196"/>
      <c r="Y76" s="2196"/>
      <c r="Z76" s="2196"/>
    </row>
    <row r="77" spans="1:26" ht="12.75">
      <c r="A77" s="1060" t="s">
        <v>412</v>
      </c>
      <c r="B77" s="1076" t="s">
        <v>739</v>
      </c>
      <c r="C77" s="264">
        <v>61.701000000000001</v>
      </c>
      <c r="D77" s="1052"/>
      <c r="E77" s="242">
        <v>1.5589999999999999</v>
      </c>
      <c r="F77" s="1044"/>
      <c r="G77" s="263">
        <v>1.353</v>
      </c>
      <c r="H77" s="1376" t="s">
        <v>603</v>
      </c>
      <c r="I77" s="819"/>
      <c r="J77" s="1364"/>
      <c r="K77" s="1365"/>
      <c r="L77" s="1365"/>
      <c r="M77" s="2369">
        <f>(C77-E77)*1000000/J72</f>
        <v>166.44572428050733</v>
      </c>
      <c r="N77" s="2196"/>
      <c r="O77" s="2196"/>
      <c r="P77" s="2196"/>
      <c r="Q77" s="2375" t="s">
        <v>844</v>
      </c>
      <c r="R77" s="2196"/>
      <c r="S77" s="2196"/>
      <c r="T77" s="2196"/>
      <c r="U77" s="2196"/>
      <c r="V77" s="2196"/>
      <c r="W77" s="2196"/>
      <c r="X77" s="2196"/>
      <c r="Y77" s="2196"/>
      <c r="Z77" s="2196"/>
    </row>
    <row r="78" spans="1:26" ht="12.75">
      <c r="A78" s="1060" t="s">
        <v>413</v>
      </c>
      <c r="B78" s="1077" t="s">
        <v>532</v>
      </c>
      <c r="C78" s="264">
        <v>306.726</v>
      </c>
      <c r="D78" s="1052" t="str">
        <f>IF(C72=0,"",IF(C78&lt;=Drift!I57+Drift!J57+Drift!L57,"Kontrollera",""))</f>
        <v/>
      </c>
      <c r="E78" s="242">
        <v>2.6339999999999999</v>
      </c>
      <c r="F78" s="1044"/>
      <c r="G78" s="263">
        <v>2.1309999999999998</v>
      </c>
      <c r="H78" s="1376" t="s">
        <v>604</v>
      </c>
      <c r="I78" s="819"/>
      <c r="J78" s="1364"/>
      <c r="K78" s="1365"/>
      <c r="L78" s="1365"/>
      <c r="M78" s="2369">
        <f>(C78-E78)*1000000/J72</f>
        <v>841.58846044208769</v>
      </c>
      <c r="N78" s="2196"/>
      <c r="O78" s="2196"/>
      <c r="P78" s="2196"/>
      <c r="Q78" s="2375" t="s">
        <v>845</v>
      </c>
      <c r="R78" s="2196"/>
      <c r="S78" s="2196"/>
      <c r="T78" s="2196"/>
      <c r="U78" s="2196"/>
      <c r="V78" s="2196"/>
      <c r="W78" s="2196"/>
      <c r="X78" s="2196"/>
      <c r="Y78" s="2196"/>
      <c r="Z78" s="2196"/>
    </row>
    <row r="79" spans="1:26" ht="12.75">
      <c r="A79" s="1060" t="s">
        <v>414</v>
      </c>
      <c r="B79" s="1075" t="s">
        <v>451</v>
      </c>
      <c r="C79" s="264">
        <v>831.096</v>
      </c>
      <c r="D79" s="1052"/>
      <c r="E79" s="242">
        <v>251.27099999999999</v>
      </c>
      <c r="F79" s="1044"/>
      <c r="G79" s="263">
        <v>145.59700000000001</v>
      </c>
      <c r="H79" s="165" t="s">
        <v>605</v>
      </c>
      <c r="I79" s="2582"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1928"/>
      <c r="K79" s="1928"/>
      <c r="L79" s="2358"/>
      <c r="M79" s="2364">
        <f>(C79+C80-G79)*1000000/J72</f>
        <v>2185.0519329921872</v>
      </c>
      <c r="N79" s="2196"/>
      <c r="O79" s="2196"/>
      <c r="P79" s="2196"/>
      <c r="Q79" s="2375" t="s">
        <v>846</v>
      </c>
      <c r="R79" s="2196"/>
      <c r="S79" s="2196"/>
      <c r="T79" s="2196"/>
      <c r="U79" s="2196"/>
      <c r="V79" s="2196"/>
      <c r="W79" s="2196"/>
      <c r="X79" s="2196"/>
      <c r="Y79" s="2196"/>
      <c r="Z79" s="2196"/>
    </row>
    <row r="80" spans="1:26" ht="12.75">
      <c r="A80" s="1060" t="s">
        <v>415</v>
      </c>
      <c r="B80" s="1089" t="s">
        <v>461</v>
      </c>
      <c r="C80" s="264">
        <v>104.02800000000001</v>
      </c>
      <c r="D80" s="2119" t="str">
        <f>IF(OR(C80 &gt; SUM(Drift!N57+Drift!O57+100), C80 &lt; SUM(Drift!N57+Drift!O57-100)),"Fördelad gemensam verksamhet skiljer sig mot Driftfliken.","")</f>
        <v/>
      </c>
      <c r="E80" s="1052"/>
      <c r="F80" s="1052"/>
      <c r="G80" s="1054"/>
      <c r="H80" s="164"/>
      <c r="I80" s="2588"/>
      <c r="J80" s="1928"/>
      <c r="K80" s="1928"/>
      <c r="L80" s="2358"/>
      <c r="M80" s="2364">
        <f>((M72*J72/1000000+D72-F72-(Motpart!D21+Motpart!E21+Motpart!F21+Motpart!J21)*0.06))/J72*1000000+M76</f>
        <v>9528.8757399724909</v>
      </c>
      <c r="N80" s="2196"/>
      <c r="O80" s="2196"/>
      <c r="P80" s="2196"/>
      <c r="Q80" s="2375" t="s">
        <v>847</v>
      </c>
      <c r="R80" s="2196"/>
      <c r="S80" s="2196"/>
      <c r="T80" s="2196"/>
      <c r="U80" s="2196"/>
      <c r="V80" s="2196"/>
      <c r="W80" s="2196"/>
      <c r="X80" s="2196"/>
      <c r="Y80" s="2196"/>
      <c r="Z80" s="2196"/>
    </row>
    <row r="81" spans="1:26" ht="12.75">
      <c r="A81" s="1079" t="s">
        <v>569</v>
      </c>
      <c r="B81" s="1078" t="s">
        <v>127</v>
      </c>
      <c r="C81" s="1229">
        <f>(C72-SUM(C73:C80)-D72)*-1</f>
        <v>9.9999999997635314E-4</v>
      </c>
      <c r="D81" s="1040"/>
      <c r="E81" s="1230">
        <f>(E72-SUM(E73:E79)-F72-SUM(Motpart!D21+Motpart!E21+Motpart!F21+Motpart!J21)*0.06)*-1</f>
        <v>8.0000000003366267E-4</v>
      </c>
      <c r="F81" s="1040"/>
      <c r="G81" s="1231">
        <f>(G72-SUM(G73:G79))*-1</f>
        <v>1.0000000000331966E-3</v>
      </c>
      <c r="H81" s="150"/>
      <c r="I81" s="2588"/>
      <c r="J81" s="1928"/>
      <c r="K81" s="1928"/>
      <c r="L81" s="2358"/>
      <c r="M81" s="2369">
        <f>(Motpart!G21+Motpart!K21)*1000000/J72</f>
        <v>2466.4864072000469</v>
      </c>
      <c r="N81" s="2196"/>
      <c r="O81" s="2196"/>
      <c r="P81" s="2196"/>
      <c r="Q81" s="2375" t="s">
        <v>1087</v>
      </c>
      <c r="R81" s="2196"/>
      <c r="S81" s="2196"/>
      <c r="T81" s="2196"/>
      <c r="U81" s="2196"/>
      <c r="V81" s="2196"/>
      <c r="W81" s="2196"/>
      <c r="X81" s="2196"/>
      <c r="Y81" s="2196"/>
      <c r="Z81" s="2196"/>
    </row>
    <row r="82" spans="1:26" ht="12.75">
      <c r="A82" s="1079" t="s">
        <v>570</v>
      </c>
      <c r="B82" s="1078"/>
      <c r="C82" s="1052"/>
      <c r="D82" s="1041"/>
      <c r="E82" s="1052"/>
      <c r="F82" s="1052"/>
      <c r="G82" s="1054"/>
      <c r="H82" s="148"/>
      <c r="I82" s="2588"/>
      <c r="J82" s="1928"/>
      <c r="K82" s="1928"/>
      <c r="L82" s="2358"/>
      <c r="M82" s="2369">
        <f>F72*1000000/J72</f>
        <v>1984.0617051955132</v>
      </c>
      <c r="N82" s="2196"/>
      <c r="O82" s="2196"/>
      <c r="P82" s="2196"/>
      <c r="Q82" s="2375" t="s">
        <v>1086</v>
      </c>
      <c r="R82" s="2196"/>
      <c r="S82" s="2196"/>
      <c r="T82" s="2196"/>
      <c r="U82" s="2196"/>
      <c r="V82" s="2196"/>
      <c r="W82" s="2196"/>
      <c r="X82" s="2196"/>
      <c r="Y82" s="2196"/>
      <c r="Z82" s="2196"/>
    </row>
    <row r="83" spans="1:26" ht="12.75">
      <c r="A83" s="1079" t="s">
        <v>571</v>
      </c>
      <c r="B83" s="1083"/>
      <c r="C83" s="1052"/>
      <c r="D83" s="1041"/>
      <c r="E83" s="1052"/>
      <c r="F83" s="1052"/>
      <c r="G83" s="1054"/>
      <c r="H83" s="152"/>
      <c r="I83" s="2588"/>
      <c r="J83" s="1928"/>
      <c r="K83" s="1928"/>
      <c r="L83" s="2358"/>
      <c r="M83" s="2364">
        <f>Motpart!H21*1000000/J72</f>
        <v>162.26673050471729</v>
      </c>
      <c r="N83" s="2196"/>
      <c r="O83" s="2196"/>
      <c r="P83" s="2196"/>
      <c r="Q83" s="2375" t="s">
        <v>1089</v>
      </c>
      <c r="R83" s="2196"/>
      <c r="S83" s="2196"/>
      <c r="T83" s="2196"/>
      <c r="U83" s="2196"/>
      <c r="V83" s="2196"/>
      <c r="W83" s="2196"/>
      <c r="X83" s="2196"/>
      <c r="Y83" s="2196"/>
      <c r="Z83" s="2196"/>
    </row>
    <row r="84" spans="1:26" ht="12.75">
      <c r="A84" s="1060" t="s">
        <v>572</v>
      </c>
      <c r="B84" s="1078"/>
      <c r="C84" s="1041"/>
      <c r="D84" s="1041"/>
      <c r="E84" s="1041"/>
      <c r="F84" s="1041"/>
      <c r="G84" s="1051"/>
      <c r="H84" s="1234"/>
      <c r="I84" s="1235"/>
      <c r="J84" s="1469"/>
      <c r="K84" s="1094"/>
      <c r="L84" s="1094"/>
      <c r="M84" s="2364">
        <f>((Motpart!D21+Motpart!E21+Motpart!F21+Motpart!J21)-(Motpart!D21+Motpart!E21+Motpart!F21+Motpart!J21)*0.06)*1000000/J72</f>
        <v>739.68245182395106</v>
      </c>
      <c r="N84" s="2196"/>
      <c r="O84" s="2196"/>
      <c r="P84" s="2196"/>
      <c r="Q84" s="2375" t="s">
        <v>849</v>
      </c>
      <c r="R84" s="2196"/>
      <c r="S84" s="2196"/>
      <c r="T84" s="2196"/>
      <c r="U84" s="2196"/>
      <c r="V84" s="2196"/>
      <c r="W84" s="2196"/>
      <c r="X84" s="2196"/>
      <c r="Y84" s="2196"/>
      <c r="Z84" s="2196"/>
    </row>
    <row r="85" spans="1:26" ht="13.5" thickBot="1">
      <c r="A85" s="1081"/>
      <c r="B85" s="1088"/>
      <c r="C85" s="1789" t="str">
        <f>IF(ABS(C81)&lt;100,"",IF(C72=0,"C72",IF(ABS(C81/C72)&gt;0.01,"C81")))</f>
        <v/>
      </c>
      <c r="D85" s="1790"/>
      <c r="E85" s="1790" t="str">
        <f>IF(ABS(E81)&lt;100,"",IF(E72=0,"E72",IF(ABS(E81/E72)&gt;0.01,"E81")))</f>
        <v/>
      </c>
      <c r="F85" s="1790"/>
      <c r="G85" s="1791" t="str">
        <f>IF(ABS(G81)&lt;100,"",IF(G72=0,"G72",IF(ABS(G81/G72)&gt;0.01,"G81")))</f>
        <v/>
      </c>
      <c r="H85" s="151"/>
      <c r="I85" s="1093"/>
      <c r="J85" s="1470"/>
      <c r="K85" s="1091"/>
      <c r="L85" s="1094"/>
      <c r="M85" s="2365"/>
      <c r="N85" s="2196"/>
      <c r="O85" s="2196"/>
      <c r="P85" s="2196"/>
      <c r="Q85" s="2377" t="s">
        <v>504</v>
      </c>
      <c r="R85" s="2196"/>
      <c r="S85" s="2196"/>
      <c r="T85" s="2196"/>
      <c r="U85" s="2196"/>
      <c r="V85" s="2196"/>
      <c r="W85" s="2196"/>
      <c r="X85" s="2196"/>
      <c r="Y85" s="2196"/>
      <c r="Z85" s="2196"/>
    </row>
    <row r="86" spans="1:26" ht="12.75" customHeight="1">
      <c r="A86" s="1065" t="s">
        <v>416</v>
      </c>
      <c r="B86" s="1074" t="s">
        <v>541</v>
      </c>
      <c r="C86" s="163">
        <f>Drift!P60</f>
        <v>1707.095</v>
      </c>
      <c r="D86" s="81">
        <f>SUM(Motpart!D22:L22)</f>
        <v>471.24200000000002</v>
      </c>
      <c r="E86" s="162">
        <f>Drift!W60</f>
        <v>279.47899999999998</v>
      </c>
      <c r="F86" s="81">
        <f>Motpart!Y22</f>
        <v>56.472999999999999</v>
      </c>
      <c r="G86" s="130">
        <f>Drift!V60</f>
        <v>86.465999999999994</v>
      </c>
      <c r="H86" s="153"/>
      <c r="I86" s="1096" t="s">
        <v>533</v>
      </c>
      <c r="J86" s="1468">
        <v>6060438</v>
      </c>
      <c r="K86" s="1097"/>
      <c r="L86" s="1097"/>
      <c r="M86" s="2371">
        <f>SUM(M87:M91)</f>
        <v>190.05557024096279</v>
      </c>
      <c r="N86" s="2196"/>
      <c r="O86" s="2196"/>
      <c r="P86" s="2196"/>
      <c r="Q86" s="2375" t="s">
        <v>850</v>
      </c>
      <c r="R86" s="2196"/>
      <c r="S86" s="2196"/>
      <c r="T86" s="2196"/>
      <c r="U86" s="2196"/>
      <c r="V86" s="2196"/>
      <c r="W86" s="2196"/>
      <c r="X86" s="2196"/>
      <c r="Y86" s="2196"/>
      <c r="Z86" s="2196"/>
    </row>
    <row r="87" spans="1:26" ht="12.75" customHeight="1">
      <c r="A87" s="1060" t="s">
        <v>417</v>
      </c>
      <c r="B87" s="1075" t="s">
        <v>500</v>
      </c>
      <c r="C87" s="264">
        <v>652.99199999999996</v>
      </c>
      <c r="D87" s="1052"/>
      <c r="E87" s="242">
        <v>9.2050000000000001</v>
      </c>
      <c r="F87" s="1044"/>
      <c r="G87" s="263">
        <v>12.728999999999999</v>
      </c>
      <c r="H87" s="152"/>
      <c r="I87" s="1098"/>
      <c r="J87" s="1471"/>
      <c r="K87" s="1094"/>
      <c r="L87" s="1094"/>
      <c r="M87" s="2369">
        <f>(C87-E87)*1000000/J86</f>
        <v>106.22780069691331</v>
      </c>
      <c r="N87" s="2196"/>
      <c r="O87" s="2196"/>
      <c r="P87" s="2196"/>
      <c r="Q87" s="2375" t="s">
        <v>851</v>
      </c>
      <c r="R87" s="2196"/>
      <c r="S87" s="2196"/>
      <c r="T87" s="2196"/>
      <c r="U87" s="2196"/>
      <c r="V87" s="2196"/>
      <c r="W87" s="2196"/>
      <c r="X87" s="2196"/>
      <c r="Y87" s="2196"/>
      <c r="Z87" s="2196"/>
    </row>
    <row r="88" spans="1:26" ht="12.75" customHeight="1">
      <c r="A88" s="1060" t="s">
        <v>418</v>
      </c>
      <c r="B88" s="1075" t="s">
        <v>820</v>
      </c>
      <c r="C88" s="264">
        <v>34.286000000000001</v>
      </c>
      <c r="D88" s="1052"/>
      <c r="E88" s="242">
        <v>0.70199999999999996</v>
      </c>
      <c r="F88" s="1044"/>
      <c r="G88" s="263">
        <v>0.123</v>
      </c>
      <c r="H88" s="152"/>
      <c r="I88" s="1098"/>
      <c r="J88" s="1471"/>
      <c r="K88" s="1094"/>
      <c r="L88" s="1094"/>
      <c r="M88" s="2369">
        <f>(C88-E88)*1000000/J86</f>
        <v>5.5415136661739632</v>
      </c>
      <c r="N88" s="2196"/>
      <c r="O88" s="2196"/>
      <c r="P88" s="2196"/>
      <c r="Q88" s="2375" t="s">
        <v>852</v>
      </c>
      <c r="R88" s="2196"/>
      <c r="S88" s="2196"/>
      <c r="T88" s="2196"/>
      <c r="U88" s="2196"/>
      <c r="V88" s="2196"/>
      <c r="W88" s="2196"/>
      <c r="X88" s="2196"/>
      <c r="Y88" s="2196"/>
      <c r="Z88" s="2196"/>
    </row>
    <row r="89" spans="1:26" ht="15.75" customHeight="1">
      <c r="A89" s="1060" t="s">
        <v>419</v>
      </c>
      <c r="B89" s="1085" t="s">
        <v>739</v>
      </c>
      <c r="C89" s="264">
        <v>5.3689999999999998</v>
      </c>
      <c r="D89" s="1052"/>
      <c r="E89" s="242">
        <v>5.8999999999999997E-2</v>
      </c>
      <c r="F89" s="1044"/>
      <c r="G89" s="263">
        <v>0</v>
      </c>
      <c r="H89" s="152"/>
      <c r="I89" s="1099"/>
      <c r="J89" s="1472"/>
      <c r="K89" s="1100"/>
      <c r="L89" s="1100"/>
      <c r="M89" s="2369">
        <f>(C89-E89)*1000000/J86</f>
        <v>0.87617429631323673</v>
      </c>
      <c r="N89" s="2196"/>
      <c r="O89" s="2196"/>
      <c r="P89" s="2196"/>
      <c r="Q89" s="2375" t="s">
        <v>853</v>
      </c>
      <c r="R89" s="2196"/>
      <c r="S89" s="2196"/>
      <c r="T89" s="2196"/>
      <c r="U89" s="2196"/>
      <c r="V89" s="2196"/>
      <c r="W89" s="2196"/>
      <c r="X89" s="2196"/>
      <c r="Y89" s="2196"/>
      <c r="Z89" s="2196"/>
    </row>
    <row r="90" spans="1:26" ht="12.75" customHeight="1">
      <c r="A90" s="1060" t="s">
        <v>420</v>
      </c>
      <c r="B90" s="1077" t="s">
        <v>532</v>
      </c>
      <c r="C90" s="264">
        <v>175.852</v>
      </c>
      <c r="D90" s="1052" t="str">
        <f>IF(C86=0,"",IF(C90&lt;=Drift!I60+Drift!J60+Drift!L60,"Kontrollera",""))</f>
        <v/>
      </c>
      <c r="E90" s="242">
        <v>0.78300000000000003</v>
      </c>
      <c r="F90" s="1044"/>
      <c r="G90" s="263">
        <v>0.32900000000000001</v>
      </c>
      <c r="H90" s="152"/>
      <c r="I90" s="2589"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1922"/>
      <c r="K90" s="1922"/>
      <c r="L90" s="2360"/>
      <c r="M90" s="2369">
        <f>(C90-E90)*1000000/J86</f>
        <v>28.88718604166894</v>
      </c>
      <c r="N90" s="2196"/>
      <c r="O90" s="2196"/>
      <c r="P90" s="2196"/>
      <c r="Q90" s="2375" t="s">
        <v>854</v>
      </c>
      <c r="R90" s="2196"/>
      <c r="S90" s="2196"/>
      <c r="T90" s="2196"/>
      <c r="U90" s="2196"/>
      <c r="V90" s="2196"/>
      <c r="W90" s="2196"/>
      <c r="X90" s="2196"/>
      <c r="Y90" s="2196"/>
      <c r="Z90" s="2196"/>
    </row>
    <row r="91" spans="1:26" ht="12.75" customHeight="1">
      <c r="A91" s="1060" t="s">
        <v>421</v>
      </c>
      <c r="B91" s="1075" t="s">
        <v>451</v>
      </c>
      <c r="C91" s="264">
        <v>322.274</v>
      </c>
      <c r="D91" s="1052"/>
      <c r="E91" s="242">
        <v>195.32599999999999</v>
      </c>
      <c r="F91" s="1044"/>
      <c r="G91" s="263">
        <v>73.284999999999997</v>
      </c>
      <c r="H91" s="152"/>
      <c r="I91" s="2588"/>
      <c r="J91" s="1922"/>
      <c r="K91" s="1922"/>
      <c r="L91" s="2360"/>
      <c r="M91" s="2369">
        <f>(C91+C92-G91)*1000000/J86</f>
        <v>48.522895539893334</v>
      </c>
      <c r="N91" s="2196"/>
      <c r="O91" s="2196"/>
      <c r="P91" s="2196"/>
      <c r="Q91" s="2375" t="s">
        <v>855</v>
      </c>
      <c r="R91" s="2196"/>
      <c r="S91" s="2196"/>
      <c r="T91" s="2196"/>
      <c r="U91" s="2196"/>
      <c r="V91" s="2196"/>
      <c r="W91" s="2196"/>
      <c r="X91" s="2196"/>
      <c r="Y91" s="2196"/>
      <c r="Z91" s="2196"/>
    </row>
    <row r="92" spans="1:26" ht="12.75" customHeight="1">
      <c r="A92" s="1060" t="s">
        <v>422</v>
      </c>
      <c r="B92" s="1089" t="s">
        <v>499</v>
      </c>
      <c r="C92" s="264">
        <v>45.081000000000003</v>
      </c>
      <c r="D92" s="2119" t="str">
        <f>IF(OR(C92 &gt; SUM(Drift!N60+Drift!O60+100), C92 &lt; SUM(Drift!N60+Drift!O60-100)),"Fördelad gemensam verksamhet skiljer sig mot Driftfliken.","")</f>
        <v/>
      </c>
      <c r="E92" s="1052"/>
      <c r="F92" s="1052"/>
      <c r="G92" s="1054"/>
      <c r="H92" s="152"/>
      <c r="I92" s="2588"/>
      <c r="J92" s="1922"/>
      <c r="K92" s="1922"/>
      <c r="L92" s="2360"/>
      <c r="M92" s="2372"/>
      <c r="N92" s="2196"/>
      <c r="O92" s="2196"/>
      <c r="P92" s="2196"/>
      <c r="Q92" s="2378"/>
      <c r="R92" s="2196"/>
      <c r="S92" s="2196"/>
      <c r="T92" s="2196"/>
      <c r="U92" s="2196"/>
      <c r="V92" s="2196"/>
      <c r="W92" s="2196"/>
      <c r="X92" s="2196"/>
      <c r="Y92" s="2196"/>
      <c r="Z92" s="2196"/>
    </row>
    <row r="93" spans="1:26" ht="12.75" customHeight="1">
      <c r="A93" s="1060"/>
      <c r="B93" s="1089" t="s">
        <v>127</v>
      </c>
      <c r="C93" s="1229">
        <f>(C86-SUM(C87:C92)-D86)*-1</f>
        <v>1.0000000000331966E-3</v>
      </c>
      <c r="D93" s="1056"/>
      <c r="E93" s="1230">
        <f>(E86-SUM(E87:E91)-F86-SUM(Motpart!D22+Motpart!E22+Motpart!F22+Motpart!J22)*0.06)*-1</f>
        <v>4.6000000000390173E-4</v>
      </c>
      <c r="F93" s="1056"/>
      <c r="G93" s="1231">
        <f>(G86-SUM(G87:G91))*-1</f>
        <v>0</v>
      </c>
      <c r="H93" s="150"/>
      <c r="I93" s="2588"/>
      <c r="J93" s="1922"/>
      <c r="K93" s="1922"/>
      <c r="L93" s="2360"/>
      <c r="M93" s="2372"/>
      <c r="N93" s="2196"/>
      <c r="O93" s="2196"/>
      <c r="P93" s="2196"/>
      <c r="Q93" s="2375" t="s">
        <v>505</v>
      </c>
      <c r="R93" s="2196"/>
      <c r="S93" s="2196"/>
      <c r="T93" s="2196"/>
      <c r="U93" s="2196"/>
      <c r="V93" s="2196"/>
      <c r="W93" s="2196"/>
      <c r="X93" s="2196"/>
      <c r="Y93" s="2196"/>
      <c r="Z93" s="2196"/>
    </row>
    <row r="94" spans="1:26" ht="16.5" customHeight="1" thickBot="1">
      <c r="A94" s="1081"/>
      <c r="B94" s="1082"/>
      <c r="C94" s="1789" t="str">
        <f>IF(ABS(C93)&lt;100,"",IF(C86=0,"C86",IF(ABS(C93/C86)&gt;0.01,"C93")))</f>
        <v/>
      </c>
      <c r="D94" s="1790"/>
      <c r="E94" s="1790" t="str">
        <f>IF(ABS(E93)&lt;100,"",IF(E86=0,"E86",IF(ABS(E93/E86)&gt;0.01,"E93")))</f>
        <v/>
      </c>
      <c r="F94" s="1790"/>
      <c r="G94" s="1791" t="str">
        <f>IF(ABS(G93)&lt;100,"",IF(G86=0,"G86",IF(ABS(G93/G86)&gt;0.01,"G93")))</f>
        <v/>
      </c>
      <c r="H94" s="166"/>
      <c r="I94" s="2590"/>
      <c r="J94" s="1930"/>
      <c r="K94" s="1930"/>
      <c r="L94" s="1930"/>
      <c r="M94" s="2373"/>
      <c r="N94" s="2196"/>
      <c r="O94" s="2196"/>
      <c r="P94" s="2196"/>
      <c r="Q94" s="2377"/>
      <c r="R94" s="2196"/>
      <c r="S94" s="2196"/>
      <c r="T94" s="2196"/>
      <c r="U94" s="2196"/>
      <c r="V94" s="2196"/>
      <c r="W94" s="2196"/>
      <c r="X94" s="2196"/>
      <c r="Y94" s="2196"/>
      <c r="Z94" s="2196"/>
    </row>
    <row r="95" spans="1:26" ht="12.75" customHeight="1">
      <c r="A95" s="1065" t="s">
        <v>423</v>
      </c>
      <c r="B95" s="1074" t="s">
        <v>542</v>
      </c>
      <c r="C95" s="80">
        <f>Drift!P61</f>
        <v>6350.2980000000016</v>
      </c>
      <c r="D95" s="1057">
        <f>SUM(Motpart!D23:L23)</f>
        <v>2284.2289999999998</v>
      </c>
      <c r="E95" s="162">
        <f>Drift!W61</f>
        <v>3625.163</v>
      </c>
      <c r="F95" s="81">
        <f>Motpart!Y23</f>
        <v>388.12599999999998</v>
      </c>
      <c r="G95" s="130">
        <f>Drift!V61</f>
        <v>402.43799999999999</v>
      </c>
      <c r="H95" s="153"/>
      <c r="I95" s="1096" t="s">
        <v>533</v>
      </c>
      <c r="J95" s="1468">
        <v>6060438</v>
      </c>
      <c r="K95" s="1097"/>
      <c r="L95" s="1097"/>
      <c r="M95" s="2371">
        <f>SUM(M96:M100)</f>
        <v>584.78001094970364</v>
      </c>
      <c r="N95" s="2196"/>
      <c r="O95" s="2196"/>
      <c r="P95" s="2196"/>
      <c r="Q95" s="2375" t="s">
        <v>850</v>
      </c>
      <c r="R95" s="2196"/>
      <c r="S95" s="2196"/>
      <c r="T95" s="2196"/>
      <c r="U95" s="2196"/>
      <c r="V95" s="2196"/>
      <c r="W95" s="2196"/>
      <c r="X95" s="2196"/>
      <c r="Y95" s="2196"/>
      <c r="Z95" s="2196"/>
    </row>
    <row r="96" spans="1:26" ht="12.75" customHeight="1">
      <c r="A96" s="1060" t="s">
        <v>424</v>
      </c>
      <c r="B96" s="1075" t="s">
        <v>500</v>
      </c>
      <c r="C96" s="264">
        <v>1989.05</v>
      </c>
      <c r="D96" s="1052"/>
      <c r="E96" s="242">
        <v>191.95500000000001</v>
      </c>
      <c r="F96" s="1044"/>
      <c r="G96" s="263">
        <v>88.132999999999996</v>
      </c>
      <c r="H96" s="152"/>
      <c r="I96" s="1098"/>
      <c r="J96" s="1471"/>
      <c r="K96" s="1094"/>
      <c r="L96" s="1094"/>
      <c r="M96" s="2369">
        <f>(C96-E96)*1000000/J95</f>
        <v>296.52889774633451</v>
      </c>
      <c r="N96" s="2196"/>
      <c r="O96" s="2196"/>
      <c r="P96" s="2196"/>
      <c r="Q96" s="2375" t="s">
        <v>851</v>
      </c>
      <c r="R96" s="2196"/>
      <c r="S96" s="2196"/>
      <c r="T96" s="2196"/>
      <c r="U96" s="2196"/>
      <c r="V96" s="2196"/>
      <c r="W96" s="2196"/>
      <c r="X96" s="2196"/>
      <c r="Y96" s="2196"/>
      <c r="Z96" s="2196"/>
    </row>
    <row r="97" spans="1:26" ht="12.75" customHeight="1">
      <c r="A97" s="1060" t="s">
        <v>425</v>
      </c>
      <c r="B97" s="1075" t="s">
        <v>820</v>
      </c>
      <c r="C97" s="264">
        <v>156.44399999999999</v>
      </c>
      <c r="D97" s="1052"/>
      <c r="E97" s="242">
        <v>13.32</v>
      </c>
      <c r="F97" s="1044"/>
      <c r="G97" s="263">
        <v>6.8970000000000002</v>
      </c>
      <c r="H97" s="150"/>
      <c r="I97" s="1098"/>
      <c r="J97" s="1471"/>
      <c r="K97" s="1094"/>
      <c r="L97" s="1094"/>
      <c r="M97" s="2369">
        <f>(C97-E97)*1000000/J95</f>
        <v>23.616114874865481</v>
      </c>
      <c r="N97" s="2196"/>
      <c r="O97" s="2196"/>
      <c r="P97" s="2196"/>
      <c r="Q97" s="2375" t="s">
        <v>852</v>
      </c>
      <c r="R97" s="2196"/>
      <c r="S97" s="2196"/>
      <c r="T97" s="2196"/>
      <c r="U97" s="2196"/>
      <c r="V97" s="2196"/>
      <c r="W97" s="2196"/>
      <c r="X97" s="2196"/>
      <c r="Y97" s="2196"/>
      <c r="Z97" s="2196"/>
    </row>
    <row r="98" spans="1:26" ht="14.25" customHeight="1">
      <c r="A98" s="1060" t="s">
        <v>426</v>
      </c>
      <c r="B98" s="1076" t="s">
        <v>739</v>
      </c>
      <c r="C98" s="264">
        <v>8.6649999999999991</v>
      </c>
      <c r="D98" s="1052"/>
      <c r="E98" s="242">
        <v>0.501</v>
      </c>
      <c r="F98" s="1044"/>
      <c r="G98" s="263">
        <v>0</v>
      </c>
      <c r="H98" s="148"/>
      <c r="I98" s="1099"/>
      <c r="J98" s="1472"/>
      <c r="K98" s="1100"/>
      <c r="L98" s="1100"/>
      <c r="M98" s="2369">
        <f>(C98-E98)*1000000/J95</f>
        <v>1.3470973550096543</v>
      </c>
      <c r="N98" s="2196"/>
      <c r="O98" s="2196"/>
      <c r="P98" s="2196"/>
      <c r="Q98" s="2375" t="s">
        <v>853</v>
      </c>
      <c r="R98" s="2196"/>
      <c r="S98" s="2196"/>
      <c r="T98" s="2196"/>
      <c r="U98" s="2196"/>
      <c r="V98" s="2196"/>
      <c r="W98" s="2196"/>
      <c r="X98" s="2196"/>
      <c r="Y98" s="2196"/>
      <c r="Z98" s="2196"/>
    </row>
    <row r="99" spans="1:26" ht="15" customHeight="1">
      <c r="A99" s="1060" t="s">
        <v>427</v>
      </c>
      <c r="B99" s="1077" t="s">
        <v>532</v>
      </c>
      <c r="C99" s="264">
        <v>485.18099999999998</v>
      </c>
      <c r="D99" s="2149" t="str">
        <f>IF(C95=0,"",IF(C99&lt;=Drift!I61+Drift!J61+Drift!L61,"Kontrollera",""))</f>
        <v/>
      </c>
      <c r="E99" s="242">
        <v>26.231999999999999</v>
      </c>
      <c r="F99" s="1044"/>
      <c r="G99" s="263">
        <v>17.370999999999999</v>
      </c>
      <c r="H99" s="152"/>
      <c r="I99" s="2591"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1931"/>
      <c r="K99" s="1931"/>
      <c r="L99" s="2361"/>
      <c r="M99" s="2369">
        <f>(C99-E99)*1000000/J95</f>
        <v>75.728684956433838</v>
      </c>
      <c r="N99" s="2196"/>
      <c r="O99" s="2196"/>
      <c r="P99" s="2196"/>
      <c r="Q99" s="2375" t="s">
        <v>854</v>
      </c>
      <c r="R99" s="2196"/>
      <c r="S99" s="2196"/>
      <c r="T99" s="2196"/>
      <c r="U99" s="2196"/>
      <c r="V99" s="2196"/>
      <c r="W99" s="2196"/>
      <c r="X99" s="2196"/>
      <c r="Y99" s="2196"/>
      <c r="Z99" s="2196"/>
    </row>
    <row r="100" spans="1:26" ht="12.75" customHeight="1">
      <c r="A100" s="1060" t="s">
        <v>428</v>
      </c>
      <c r="B100" s="1075" t="s">
        <v>451</v>
      </c>
      <c r="C100" s="264">
        <v>1286.326</v>
      </c>
      <c r="D100" s="1052"/>
      <c r="E100" s="242">
        <v>2911.1060000000002</v>
      </c>
      <c r="F100" s="1044"/>
      <c r="G100" s="263">
        <v>290.03800000000001</v>
      </c>
      <c r="H100" s="150"/>
      <c r="I100" s="2585"/>
      <c r="J100" s="1931"/>
      <c r="K100" s="1931"/>
      <c r="L100" s="2361"/>
      <c r="M100" s="2369">
        <f>(C100+C101-G100)*1000000/J95</f>
        <v>187.55921601706015</v>
      </c>
      <c r="N100" s="2196"/>
      <c r="O100" s="2196"/>
      <c r="P100" s="2196"/>
      <c r="Q100" s="2375" t="s">
        <v>855</v>
      </c>
      <c r="R100" s="2196"/>
      <c r="S100" s="2196"/>
      <c r="T100" s="2196"/>
      <c r="U100" s="2196"/>
      <c r="V100" s="2196"/>
      <c r="W100" s="2196"/>
      <c r="X100" s="2196"/>
      <c r="Y100" s="2196"/>
      <c r="Z100" s="2196"/>
    </row>
    <row r="101" spans="1:26" ht="19.5" customHeight="1">
      <c r="A101" s="1060" t="s">
        <v>429</v>
      </c>
      <c r="B101" s="1075" t="s">
        <v>499</v>
      </c>
      <c r="C101" s="264">
        <v>140.40299999999999</v>
      </c>
      <c r="D101" s="2119" t="str">
        <f>IF(OR(C101 &gt; SUM(Drift!N61+Drift!O61+100), C101 &lt; SUM(Drift!N61+Drift!O61-100)),"Fördelad gemensam verksamhet skiljer sig mot Driftfliken.","")</f>
        <v/>
      </c>
      <c r="E101" s="1052"/>
      <c r="F101" s="1052"/>
      <c r="G101" s="1054"/>
      <c r="H101" s="150"/>
      <c r="I101" s="2585"/>
      <c r="J101" s="1931"/>
      <c r="K101" s="1931"/>
      <c r="L101" s="2361"/>
      <c r="M101" s="2372">
        <f>(((M95*J95/1000000)+D95-F95+((M86*J86/1000000)+D86-F86)))/(J86)*1000000</f>
        <v>1156.1400347631641</v>
      </c>
      <c r="N101" s="2196"/>
      <c r="O101" s="2196"/>
      <c r="P101" s="2196"/>
      <c r="Q101" s="2375" t="s">
        <v>856</v>
      </c>
      <c r="R101" s="2196"/>
      <c r="S101" s="2196"/>
      <c r="T101" s="2196"/>
      <c r="U101" s="2196"/>
      <c r="V101" s="2196"/>
      <c r="W101" s="2196"/>
      <c r="X101" s="2196"/>
      <c r="Y101" s="2196"/>
      <c r="Z101" s="2196"/>
    </row>
    <row r="102" spans="1:26" ht="15" customHeight="1">
      <c r="A102" s="1777"/>
      <c r="B102" s="1778" t="s">
        <v>127</v>
      </c>
      <c r="C102" s="1779">
        <f>(C95-SUM(C96:C101)-D95)*-1</f>
        <v>-1.8189894035458565E-12</v>
      </c>
      <c r="D102" s="1040"/>
      <c r="E102" s="1780">
        <f>(E95-SUM(E96:E100)-F95-SUM(Motpart!D23+Motpart!E23+Motpart!F23+Motpart!J23)*0.06)*-1</f>
        <v>-3.8000000000693035E-4</v>
      </c>
      <c r="F102" s="1040"/>
      <c r="G102" s="1781">
        <f>(G95-SUM(G96:G100))*-1</f>
        <v>1.0000000000331966E-3</v>
      </c>
      <c r="H102" s="1293"/>
      <c r="I102" s="2585"/>
      <c r="J102" s="1922"/>
      <c r="K102" s="1922"/>
      <c r="L102" s="2360"/>
      <c r="M102" s="2372"/>
      <c r="N102" s="2196"/>
      <c r="O102" s="2196"/>
      <c r="P102" s="2196"/>
      <c r="Q102" s="2375" t="s">
        <v>506</v>
      </c>
      <c r="R102" s="2196"/>
      <c r="S102" s="2196"/>
      <c r="T102" s="2196"/>
      <c r="U102" s="2196"/>
      <c r="V102" s="2196"/>
      <c r="W102" s="2196"/>
      <c r="X102" s="2196"/>
      <c r="Y102" s="2196"/>
      <c r="Z102" s="2196"/>
    </row>
    <row r="103" spans="1:26" ht="12.75" customHeight="1" thickBot="1">
      <c r="A103" s="1782"/>
      <c r="B103" s="1783"/>
      <c r="C103" s="1785" t="str">
        <f>IF(ABS(C102)&lt;100,"",IF(C95=0,"C95",IF(ABS(C102/C95)&gt;0.01,"C102")))</f>
        <v/>
      </c>
      <c r="D103" s="1786"/>
      <c r="E103" s="1787" t="str">
        <f>IF(ABS(E102)&lt;100,"",IF(E95=0,"E95",IF(ABS(E102/E95)&gt;0.01,"E102")))</f>
        <v/>
      </c>
      <c r="F103" s="1786"/>
      <c r="G103" s="1788" t="str">
        <f>IF(ABS(G102)&lt;100,"",IF(G95=0,"G95",IF(ABS(G102/G95)&gt;0.01,"G102")))</f>
        <v/>
      </c>
      <c r="H103" s="1784"/>
      <c r="I103" s="1923"/>
      <c r="J103" s="1923"/>
      <c r="K103" s="1923"/>
      <c r="L103" s="1923"/>
      <c r="M103" s="2374"/>
      <c r="N103" s="2196"/>
      <c r="O103" s="2196"/>
      <c r="P103" s="2196"/>
      <c r="Q103" s="2379"/>
      <c r="R103" s="2196"/>
      <c r="S103" s="2196"/>
      <c r="T103" s="2196"/>
      <c r="U103" s="2196"/>
      <c r="V103" s="2196"/>
      <c r="W103" s="2196"/>
      <c r="X103" s="2196"/>
      <c r="Y103" s="2196"/>
      <c r="Z103" s="2196"/>
    </row>
    <row r="104" spans="1:26" ht="13.5" thickTop="1">
      <c r="A104" s="141"/>
      <c r="B104" s="254"/>
      <c r="C104" s="255"/>
      <c r="D104" s="255"/>
      <c r="E104" s="255"/>
      <c r="F104" s="255"/>
      <c r="G104" s="255"/>
      <c r="H104" s="256"/>
      <c r="I104" s="255"/>
      <c r="J104" s="255"/>
      <c r="K104" s="255"/>
      <c r="L104" s="215"/>
      <c r="M104" s="257"/>
      <c r="N104" s="257"/>
      <c r="O104" s="257"/>
      <c r="P104" s="258"/>
      <c r="Q104" s="259"/>
      <c r="R104" s="2196"/>
      <c r="S104" s="2196"/>
      <c r="T104" s="2196"/>
      <c r="U104" s="2196"/>
      <c r="V104" s="2196"/>
      <c r="W104" s="2196"/>
      <c r="X104" s="2196"/>
      <c r="Y104" s="2196"/>
      <c r="Z104" s="2196"/>
    </row>
  </sheetData>
  <sheetProtection algorithmName="SHA-512" hashValue="yuLkR6dcdAPBlVp8euTA5EpcsJsHWNWFhY0IkKlrTxwdmVKmCEFK5+kKpW/XElo976PPrtHMbTx3sHQtYHCV7Q==" saltValue="/tpMLqejjcny8f2DXlws+Q==" spinCount="100000" sheet="1" objects="1" scenarios="1"/>
  <customSheetViews>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1"/>
      <headerFooter alignWithMargins="0"/>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3"/>
    </customSheetView>
  </customSheetViews>
  <mergeCells count="13">
    <mergeCell ref="I99:I102"/>
    <mergeCell ref="I38:I42"/>
    <mergeCell ref="I51:I55"/>
    <mergeCell ref="I65:I69"/>
    <mergeCell ref="I79:I83"/>
    <mergeCell ref="I90:I94"/>
    <mergeCell ref="IV6:IV7"/>
    <mergeCell ref="Q4:Q7"/>
    <mergeCell ref="M4:M6"/>
    <mergeCell ref="D5:D7"/>
    <mergeCell ref="F5:F7"/>
    <mergeCell ref="G5:G7"/>
    <mergeCell ref="I4:L5"/>
  </mergeCells>
  <phoneticPr fontId="88" type="noConversion"/>
  <conditionalFormatting sqref="G11 G19 G27 G32:G38 G45:G51 G59:G65">
    <cfRule type="expression" dxfId="63" priority="81" stopIfTrue="1">
      <formula>G11&gt;E11</formula>
    </cfRule>
  </conditionalFormatting>
  <conditionalFormatting sqref="G46:G51">
    <cfRule type="expression" dxfId="62" priority="70" stopIfTrue="1">
      <formula>G46&gt;E46</formula>
    </cfRule>
  </conditionalFormatting>
  <conditionalFormatting sqref="E53">
    <cfRule type="expression" dxfId="61" priority="39" stopIfTrue="1">
      <formula>ABS(E53/E43)&gt;0.03</formula>
    </cfRule>
  </conditionalFormatting>
  <conditionalFormatting sqref="G27">
    <cfRule type="expression" dxfId="60" priority="11" stopIfTrue="1">
      <formula>G27&gt;G24</formula>
    </cfRule>
    <cfRule type="expression" dxfId="59" priority="45" stopIfTrue="1">
      <formula>G27&gt;E27</formula>
    </cfRule>
  </conditionalFormatting>
  <conditionalFormatting sqref="G19">
    <cfRule type="expression" dxfId="58" priority="19" stopIfTrue="1">
      <formula>G19&gt;G16</formula>
    </cfRule>
    <cfRule type="expression" dxfId="57" priority="44" stopIfTrue="1">
      <formula>G19&gt;E19</formula>
    </cfRule>
  </conditionalFormatting>
  <conditionalFormatting sqref="C40">
    <cfRule type="expression" dxfId="56" priority="42" stopIfTrue="1">
      <formula>ABS(C40/C31)&gt;0.03</formula>
    </cfRule>
  </conditionalFormatting>
  <conditionalFormatting sqref="E40">
    <cfRule type="expression" dxfId="55" priority="41" stopIfTrue="1">
      <formula>ABS(E40/E31)&gt;0.03</formula>
    </cfRule>
  </conditionalFormatting>
  <conditionalFormatting sqref="G40">
    <cfRule type="expression" dxfId="54" priority="40" stopIfTrue="1">
      <formula>ABS(G40/G31)&gt;0.03</formula>
    </cfRule>
  </conditionalFormatting>
  <conditionalFormatting sqref="G53">
    <cfRule type="expression" dxfId="53" priority="38" stopIfTrue="1">
      <formula>ABS(G53/G43)&gt;0.03</formula>
    </cfRule>
  </conditionalFormatting>
  <conditionalFormatting sqref="C53">
    <cfRule type="expression" dxfId="52" priority="37" stopIfTrue="1">
      <formula>ABS(C53/C44)&gt;0.03</formula>
    </cfRule>
  </conditionalFormatting>
  <conditionalFormatting sqref="C67">
    <cfRule type="expression" dxfId="51" priority="36" stopIfTrue="1">
      <formula>ABS(C67/C57)&gt;0.03</formula>
    </cfRule>
  </conditionalFormatting>
  <conditionalFormatting sqref="E67">
    <cfRule type="expression" dxfId="50" priority="35" stopIfTrue="1">
      <formula>ABS(E67/E57)&gt;0.03</formula>
    </cfRule>
  </conditionalFormatting>
  <conditionalFormatting sqref="G67">
    <cfRule type="expression" dxfId="49" priority="34" stopIfTrue="1">
      <formula>ABS(G67/G57)&gt;0.03</formula>
    </cfRule>
  </conditionalFormatting>
  <conditionalFormatting sqref="C81">
    <cfRule type="expression" dxfId="48" priority="33" stopIfTrue="1">
      <formula>ABS(C81/C71)&gt;0.03</formula>
    </cfRule>
  </conditionalFormatting>
  <conditionalFormatting sqref="E81">
    <cfRule type="expression" dxfId="47" priority="32" stopIfTrue="1">
      <formula>ABS(E81/E71)&gt;0.03</formula>
    </cfRule>
  </conditionalFormatting>
  <conditionalFormatting sqref="G81">
    <cfRule type="expression" dxfId="46" priority="31" stopIfTrue="1">
      <formula>ABS(G81/G71)&gt;0.03</formula>
    </cfRule>
  </conditionalFormatting>
  <conditionalFormatting sqref="C93">
    <cfRule type="expression" dxfId="45" priority="30" stopIfTrue="1">
      <formula>ABS(C93/C85)&gt;0.03</formula>
    </cfRule>
  </conditionalFormatting>
  <conditionalFormatting sqref="E93">
    <cfRule type="expression" dxfId="44" priority="29" stopIfTrue="1">
      <formula>ABS(E93/E85)&gt;0.03</formula>
    </cfRule>
  </conditionalFormatting>
  <conditionalFormatting sqref="G93">
    <cfRule type="expression" dxfId="43" priority="28" stopIfTrue="1">
      <formula>ABS(G93/G85)&gt;0.03</formula>
    </cfRule>
  </conditionalFormatting>
  <conditionalFormatting sqref="C102:C103">
    <cfRule type="expression" dxfId="42" priority="27" stopIfTrue="1">
      <formula>ABS(C102/C94)&gt;0.03</formula>
    </cfRule>
  </conditionalFormatting>
  <conditionalFormatting sqref="E102:E103">
    <cfRule type="expression" dxfId="41" priority="26" stopIfTrue="1">
      <formula>ABS(E102/E94)&gt;0.03</formula>
    </cfRule>
  </conditionalFormatting>
  <conditionalFormatting sqref="G102:G103">
    <cfRule type="expression" dxfId="40" priority="25"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39" priority="23" stopIfTrue="1" operator="lessThan">
      <formula>-500</formula>
    </cfRule>
  </conditionalFormatting>
  <conditionalFormatting sqref="C19">
    <cfRule type="expression" dxfId="38" priority="21" stopIfTrue="1">
      <formula>C19&gt;C16</formula>
    </cfRule>
  </conditionalFormatting>
  <conditionalFormatting sqref="E19">
    <cfRule type="expression" dxfId="37" priority="20" stopIfTrue="1">
      <formula>E19&gt;E16</formula>
    </cfRule>
  </conditionalFormatting>
  <conditionalFormatting sqref="C11">
    <cfRule type="expression" dxfId="36" priority="18" stopIfTrue="1">
      <formula>C11&gt;C8</formula>
    </cfRule>
  </conditionalFormatting>
  <conditionalFormatting sqref="E11">
    <cfRule type="expression" dxfId="35" priority="17" stopIfTrue="1">
      <formula>E11&gt;E8</formula>
    </cfRule>
  </conditionalFormatting>
  <conditionalFormatting sqref="G11">
    <cfRule type="expression" dxfId="34" priority="16" stopIfTrue="1">
      <formula>G11&gt;G8</formula>
    </cfRule>
  </conditionalFormatting>
  <conditionalFormatting sqref="E13">
    <cfRule type="expression" dxfId="33" priority="15" stopIfTrue="1">
      <formula>E13&gt;E12</formula>
    </cfRule>
  </conditionalFormatting>
  <conditionalFormatting sqref="E21">
    <cfRule type="expression" dxfId="32" priority="14" stopIfTrue="1">
      <formula>E21&gt;E20</formula>
    </cfRule>
  </conditionalFormatting>
  <conditionalFormatting sqref="C27">
    <cfRule type="expression" dxfId="31" priority="13" stopIfTrue="1">
      <formula>C27&gt;C24</formula>
    </cfRule>
  </conditionalFormatting>
  <conditionalFormatting sqref="E27">
    <cfRule type="expression" dxfId="30" priority="12" stopIfTrue="1">
      <formula>E27&gt;E24</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xr:uid="{00000000-0002-0000-0800-000001000000}">
      <formula1>99999999</formula1>
    </dataValidation>
  </dataValidations>
  <pageMargins left="0.47" right="0.47" top="0.74803149606299213" bottom="0.74803149606299213" header="0.31" footer="0.31496062992125984"/>
  <pageSetup paperSize="9" scale="96" orientation="landscape" r:id="rId4"/>
  <extLst>
    <ext xmlns:x14="http://schemas.microsoft.com/office/spreadsheetml/2009/9/main" uri="{78C0D931-6437-407d-A8EE-F0AAD7539E65}">
      <x14:conditionalFormattings>
        <x14:conditionalFormatting xmlns:xm="http://schemas.microsoft.com/office/excel/2006/main">
          <x14:cfRule type="expression" priority="7"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6" id="{468A7900-2D84-423B-9B3F-94D8EAA45899}">
            <xm:f>SUM(E65-G65+100)&lt;Motpart!AA20</xm:f>
            <x14:dxf>
              <font>
                <b val="0"/>
                <i val="0"/>
                <color auto="1"/>
              </font>
              <fill>
                <patternFill>
                  <bgColor theme="9" tint="0.59996337778862885"/>
                </patternFill>
              </fill>
            </x14:dxf>
          </x14:cfRule>
          <xm:sqref>I65:I69</xm:sqref>
        </x14:conditionalFormatting>
        <x14:conditionalFormatting xmlns:xm="http://schemas.microsoft.com/office/excel/2006/main">
          <x14:cfRule type="expression" priority="5" id="{4F84AA19-49AA-46E8-9ADE-79F22FCE6F07}">
            <xm:f>SUM(E79-G79+100)&lt;Motpart!AA21</xm:f>
            <x14:dxf>
              <font>
                <b val="0"/>
                <i val="0"/>
                <color auto="1"/>
              </font>
              <fill>
                <patternFill>
                  <bgColor theme="9" tint="0.59996337778862885"/>
                </patternFill>
              </fill>
            </x14:dxf>
          </x14:cfRule>
          <xm:sqref>I79:I83</xm:sqref>
        </x14:conditionalFormatting>
        <x14:conditionalFormatting xmlns:xm="http://schemas.microsoft.com/office/excel/2006/main">
          <x14:cfRule type="expression" priority="4" id="{FE6AF082-1113-4046-BE7C-F09FCD0440EC}">
            <xm:f>SUM(E91-G91+100)&lt;Motpart!AA22</xm:f>
            <x14:dxf>
              <font>
                <b val="0"/>
                <i val="0"/>
                <color auto="1"/>
              </font>
              <fill>
                <patternFill>
                  <bgColor theme="9" tint="0.59996337778862885"/>
                </patternFill>
              </fill>
            </x14:dxf>
          </x14:cfRule>
          <xm:sqref>I90:I94</xm:sqref>
        </x14:conditionalFormatting>
        <x14:conditionalFormatting xmlns:xm="http://schemas.microsoft.com/office/excel/2006/main">
          <x14:cfRule type="expression" priority="2" id="{AA617564-E5DF-4D7E-8EA7-BE3A8CD251A2}">
            <xm:f>SUM(E100-G100+100)&lt;Motpart!AA23</xm:f>
            <x14:dxf>
              <font>
                <color auto="1"/>
              </font>
              <fill>
                <patternFill>
                  <bgColor theme="9" tint="0.59996337778862885"/>
                </patternFill>
              </fill>
            </x14:dxf>
          </x14:cfRule>
          <xm:sqref>I99:I101</xm:sqref>
        </x14:conditionalFormatting>
        <x14:conditionalFormatting xmlns:xm="http://schemas.microsoft.com/office/excel/2006/main">
          <x14:cfRule type="expression" priority="1" id="{917F4404-C110-4D85-A7BD-AEA4F7FA6FA8}">
            <xm:f>SUM(E38-G38+100)&lt;Motpart!AA18</xm:f>
            <x14:dxf>
              <fill>
                <patternFill>
                  <bgColor theme="9" tint="0.59996337778862885"/>
                </patternFill>
              </fill>
            </x14:dxf>
          </x14:cfRule>
          <xm:sqref>I38:I42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94</vt:i4>
      </vt:variant>
    </vt:vector>
  </HeadingPairs>
  <TitlesOfParts>
    <vt:vector size="105"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Köp_huvudvht</vt:lpstr>
      <vt:lpstr>LSS</vt:lpstr>
      <vt:lpstr>Pvchef</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Manager/>
  <Company>SCB - Statistikmyndigheten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 Kommun 2022</dc:title>
  <dc:subject>Räkenskapssammandrag för kommuner</dc:subject>
  <dc:creator>SCB</dc:creator>
  <dc:description>RIKSTOTAL</dc:description>
  <cp:lastModifiedBy>Glanzelius Marie ESA/BFN/OE-Ö</cp:lastModifiedBy>
  <cp:lastPrinted>2023-08-24T07:41:53Z</cp:lastPrinted>
  <dcterms:created xsi:type="dcterms:W3CDTF">2023-08-24T07:41:53Z</dcterms:created>
  <dcterms:modified xsi:type="dcterms:W3CDTF">2023-08-24T08:48:30Z</dcterms:modified>
</cp:coreProperties>
</file>