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f0549\20170428\"/>
    </mc:Choice>
  </mc:AlternateContent>
  <bookViews>
    <workbookView xWindow="0" yWindow="156" windowWidth="10632" windowHeight="6252" tabRatio="823"/>
  </bookViews>
  <sheets>
    <sheet name="Innehållsförteckning" sheetId="1" r:id="rId1"/>
    <sheet name="Tab 1a-d" sheetId="4" r:id="rId2"/>
    <sheet name="Tab 2a" sheetId="5" r:id="rId3"/>
    <sheet name="Tab 2b" sheetId="19" r:id="rId4"/>
    <sheet name="Tab 2c" sheetId="17" r:id="rId5"/>
    <sheet name="Tab 2d" sheetId="18" r:id="rId6"/>
    <sheet name="Tab 2e" sheetId="16" r:id="rId7"/>
    <sheet name="Definitioner och förklaringar" sheetId="2" r:id="rId8"/>
  </sheets>
  <calcPr calcId="162913"/>
</workbook>
</file>

<file path=xl/calcChain.xml><?xml version="1.0" encoding="utf-8"?>
<calcChain xmlns="http://schemas.openxmlformats.org/spreadsheetml/2006/main">
  <c r="G63" i="16" l="1"/>
  <c r="G62" i="16"/>
  <c r="G44" i="16"/>
  <c r="G43" i="16"/>
  <c r="G60" i="16"/>
  <c r="G59" i="16"/>
  <c r="G58" i="16"/>
  <c r="G41" i="16"/>
  <c r="G40" i="16"/>
  <c r="G39" i="16"/>
  <c r="G56" i="16"/>
  <c r="G55" i="16"/>
  <c r="G54" i="16"/>
  <c r="G37" i="16"/>
  <c r="G36" i="16"/>
  <c r="G35" i="16"/>
  <c r="G52" i="16"/>
  <c r="G51" i="16"/>
  <c r="G50" i="16"/>
  <c r="G49" i="16"/>
  <c r="G33" i="16"/>
  <c r="G32" i="16"/>
  <c r="G31" i="16"/>
  <c r="G30" i="16"/>
  <c r="G48" i="16"/>
  <c r="G47" i="16"/>
  <c r="G29" i="16"/>
  <c r="G28" i="16"/>
  <c r="G63" i="18"/>
  <c r="G62" i="18"/>
  <c r="G44" i="18"/>
  <c r="G43" i="18"/>
  <c r="G60" i="18"/>
  <c r="G59" i="18"/>
  <c r="G58" i="18"/>
  <c r="G41" i="18"/>
  <c r="G40" i="18"/>
  <c r="G39" i="18"/>
  <c r="G56" i="18"/>
  <c r="G55" i="18"/>
  <c r="G54" i="18"/>
  <c r="G37" i="18"/>
  <c r="G36" i="18"/>
  <c r="G35" i="18"/>
  <c r="G52" i="18"/>
  <c r="G51" i="18"/>
  <c r="G50" i="18"/>
  <c r="G49" i="18"/>
  <c r="G33" i="18"/>
  <c r="G32" i="18"/>
  <c r="G31" i="18"/>
  <c r="G30" i="18"/>
  <c r="G48" i="18"/>
  <c r="G47" i="18"/>
  <c r="G29" i="18"/>
  <c r="G28" i="18"/>
  <c r="G63" i="17"/>
  <c r="G62" i="17"/>
  <c r="G44" i="17"/>
  <c r="G43" i="17"/>
  <c r="G60" i="17"/>
  <c r="G59" i="17"/>
  <c r="G58" i="17"/>
  <c r="G41" i="17"/>
  <c r="G40" i="17"/>
  <c r="G39" i="17"/>
  <c r="G56" i="17"/>
  <c r="G55" i="17"/>
  <c r="G54" i="17"/>
  <c r="G37" i="17"/>
  <c r="G36" i="17"/>
  <c r="G35" i="17"/>
  <c r="G52" i="17"/>
  <c r="G51" i="17"/>
  <c r="G50" i="17"/>
  <c r="G49" i="17"/>
  <c r="G33" i="17"/>
  <c r="G32" i="17"/>
  <c r="G31" i="17"/>
  <c r="G30" i="17"/>
  <c r="G48" i="17"/>
  <c r="G47" i="17"/>
  <c r="G29" i="17"/>
  <c r="G28" i="17"/>
  <c r="G63" i="19" l="1"/>
  <c r="G62" i="19"/>
  <c r="G44" i="19"/>
  <c r="G43" i="19"/>
  <c r="G60" i="19"/>
  <c r="G59" i="19"/>
  <c r="G58" i="19"/>
  <c r="G41" i="19"/>
  <c r="G40" i="19"/>
  <c r="G39" i="19"/>
  <c r="G56" i="19"/>
  <c r="G55" i="19"/>
  <c r="G54" i="19"/>
  <c r="G37" i="19"/>
  <c r="G36" i="19"/>
  <c r="G35" i="19"/>
  <c r="G52" i="19"/>
  <c r="G51" i="19"/>
  <c r="G50" i="19"/>
  <c r="G49" i="19"/>
  <c r="G33" i="19"/>
  <c r="G32" i="19"/>
  <c r="G31" i="19"/>
  <c r="G30" i="19"/>
  <c r="G48" i="19"/>
  <c r="G47" i="19"/>
  <c r="G29" i="19"/>
  <c r="G28" i="19"/>
  <c r="G63" i="5"/>
  <c r="G62" i="5"/>
  <c r="G44" i="5"/>
  <c r="G43" i="5"/>
  <c r="G60" i="5"/>
  <c r="G59" i="5"/>
  <c r="G58" i="5"/>
  <c r="G41" i="5"/>
  <c r="G40" i="5"/>
  <c r="G39" i="5"/>
  <c r="G56" i="5"/>
  <c r="G55" i="5"/>
  <c r="G54" i="5"/>
  <c r="G37" i="5"/>
  <c r="G36" i="5"/>
  <c r="G35" i="5"/>
  <c r="G52" i="5"/>
  <c r="G51" i="5"/>
  <c r="G50" i="5"/>
  <c r="G49" i="5"/>
  <c r="G33" i="5"/>
  <c r="G32" i="5"/>
  <c r="G31" i="5"/>
  <c r="G30" i="5"/>
  <c r="G48" i="5"/>
  <c r="G47" i="5"/>
  <c r="G29" i="5"/>
  <c r="G28" i="5"/>
  <c r="B21" i="4"/>
  <c r="B51" i="4" s="1"/>
  <c r="B20" i="4"/>
  <c r="B41" i="4" s="1"/>
  <c r="F50" i="4"/>
  <c r="E50" i="4"/>
  <c r="D50" i="4"/>
  <c r="C50" i="4"/>
  <c r="B50" i="4"/>
  <c r="F49" i="4"/>
  <c r="E49" i="4"/>
  <c r="D49" i="4"/>
  <c r="C49" i="4"/>
  <c r="B49" i="4"/>
  <c r="F48" i="4"/>
  <c r="E48" i="4"/>
  <c r="D48" i="4"/>
  <c r="C48" i="4"/>
  <c r="B48" i="4"/>
  <c r="F47" i="4"/>
  <c r="E47" i="4"/>
  <c r="D47" i="4"/>
  <c r="C47" i="4"/>
  <c r="B47" i="4"/>
  <c r="F40" i="4"/>
  <c r="E40" i="4"/>
  <c r="D40" i="4"/>
  <c r="C40" i="4"/>
  <c r="B40" i="4"/>
  <c r="F39" i="4"/>
  <c r="E39" i="4"/>
  <c r="D39" i="4"/>
  <c r="C39" i="4"/>
  <c r="B39" i="4"/>
  <c r="F38" i="4"/>
  <c r="E38" i="4"/>
  <c r="D38" i="4"/>
  <c r="C38" i="4"/>
  <c r="B38" i="4"/>
  <c r="F37" i="4"/>
  <c r="E37" i="4"/>
  <c r="D37" i="4"/>
  <c r="C37" i="4"/>
  <c r="B37" i="4"/>
  <c r="F30" i="4"/>
  <c r="E30" i="4"/>
  <c r="D30" i="4"/>
  <c r="C30" i="4"/>
  <c r="B30" i="4"/>
  <c r="F29" i="4"/>
  <c r="E29" i="4"/>
  <c r="D29" i="4"/>
  <c r="C29" i="4"/>
  <c r="B29" i="4"/>
  <c r="F28" i="4"/>
  <c r="E28" i="4"/>
  <c r="D28" i="4"/>
  <c r="C28" i="4"/>
  <c r="B28" i="4"/>
  <c r="F27" i="4"/>
  <c r="E27" i="4"/>
  <c r="D27" i="4"/>
  <c r="C27" i="4"/>
  <c r="B27" i="4"/>
  <c r="F21" i="4"/>
  <c r="F51" i="4" s="1"/>
  <c r="E21" i="4"/>
  <c r="E51" i="4" s="1"/>
  <c r="D21" i="4"/>
  <c r="D51" i="4" s="1"/>
  <c r="C21" i="4"/>
  <c r="C51" i="4" s="1"/>
  <c r="F20" i="4"/>
  <c r="F41" i="4" s="1"/>
  <c r="E20" i="4"/>
  <c r="E41" i="4" s="1"/>
  <c r="D20" i="4"/>
  <c r="D41" i="4" s="1"/>
  <c r="C20" i="4"/>
  <c r="C31" i="4" s="1"/>
  <c r="F16" i="4"/>
  <c r="E16" i="4"/>
  <c r="D16" i="4"/>
  <c r="C16" i="4"/>
  <c r="B16" i="4"/>
  <c r="F13" i="4"/>
  <c r="E13" i="4"/>
  <c r="D13" i="4"/>
  <c r="C13" i="4"/>
  <c r="B13" i="4"/>
  <c r="F10" i="4"/>
  <c r="E10" i="4"/>
  <c r="D10" i="4"/>
  <c r="C10" i="4"/>
  <c r="B10" i="4"/>
  <c r="F7" i="4"/>
  <c r="E7" i="4"/>
  <c r="D7" i="4"/>
  <c r="C7" i="4"/>
  <c r="B7" i="4"/>
  <c r="F4" i="4"/>
  <c r="E4" i="4"/>
  <c r="D4" i="4"/>
  <c r="C4" i="4"/>
  <c r="B4" i="4"/>
  <c r="F19" i="4" l="1"/>
  <c r="D19" i="4"/>
  <c r="E19" i="4"/>
  <c r="C19" i="4"/>
  <c r="D31" i="4"/>
  <c r="E31" i="4"/>
  <c r="C41" i="4"/>
  <c r="B31" i="4"/>
  <c r="F31" i="4"/>
  <c r="B19" i="4"/>
  <c r="M44" i="5" l="1"/>
  <c r="G26" i="5"/>
  <c r="J45" i="5"/>
  <c r="G45" i="5"/>
  <c r="G7" i="5" s="1"/>
  <c r="D45" i="5"/>
  <c r="D7" i="5" s="1"/>
  <c r="B45" i="5"/>
  <c r="B7" i="5" s="1"/>
  <c r="J26" i="5"/>
  <c r="D26" i="5"/>
  <c r="D6" i="5" s="1"/>
  <c r="B26" i="5"/>
  <c r="B6" i="5" s="1"/>
  <c r="J6" i="5" l="1"/>
  <c r="J7" i="5"/>
  <c r="D5" i="5"/>
  <c r="B5" i="5"/>
  <c r="J5" i="5"/>
  <c r="G5" i="5"/>
  <c r="G6" i="5"/>
  <c r="M52" i="16"/>
  <c r="M51" i="16"/>
  <c r="M50" i="16"/>
  <c r="M49" i="16"/>
  <c r="M33" i="16"/>
  <c r="M48" i="16"/>
  <c r="M29" i="16"/>
  <c r="M30" i="16"/>
  <c r="M31" i="16"/>
  <c r="M32" i="16"/>
  <c r="M48" i="5" l="1"/>
  <c r="M49" i="5"/>
  <c r="M50" i="5"/>
  <c r="M51" i="5"/>
  <c r="M52" i="5"/>
  <c r="M29" i="5"/>
  <c r="M30" i="5"/>
  <c r="M31" i="5"/>
  <c r="M32" i="5"/>
  <c r="M33" i="5"/>
  <c r="B10" i="5"/>
  <c r="D10" i="5"/>
  <c r="G10" i="5"/>
  <c r="J10" i="5"/>
  <c r="B11" i="5"/>
  <c r="D11" i="5"/>
  <c r="G11" i="5"/>
  <c r="J11" i="5"/>
  <c r="B12" i="5"/>
  <c r="D12" i="5"/>
  <c r="G12" i="5"/>
  <c r="J12" i="5"/>
  <c r="B13" i="5"/>
  <c r="D13" i="5"/>
  <c r="G13" i="5"/>
  <c r="J13" i="5"/>
  <c r="B14" i="5"/>
  <c r="D14" i="5"/>
  <c r="G14" i="5"/>
  <c r="J14" i="5"/>
  <c r="J9" i="5"/>
  <c r="G9" i="5"/>
  <c r="D9" i="5"/>
  <c r="K11" i="5" l="1"/>
  <c r="E11" i="5"/>
  <c r="M13" i="5"/>
  <c r="N13" i="5" s="1"/>
  <c r="E14" i="5"/>
  <c r="M14" i="5"/>
  <c r="N14" i="5" s="1"/>
  <c r="K10" i="5"/>
  <c r="M12" i="5"/>
  <c r="N12" i="5" s="1"/>
  <c r="K13" i="5"/>
  <c r="K12" i="5"/>
  <c r="H13" i="5"/>
  <c r="E13" i="5"/>
  <c r="H11" i="5"/>
  <c r="K14" i="5"/>
  <c r="H10" i="5"/>
  <c r="H12" i="5"/>
  <c r="E12" i="5"/>
  <c r="H14" i="5"/>
  <c r="E10" i="5"/>
  <c r="N50" i="5"/>
  <c r="N51" i="5"/>
  <c r="N52" i="5"/>
  <c r="K48" i="5"/>
  <c r="K49" i="5"/>
  <c r="K50" i="5"/>
  <c r="K51" i="5"/>
  <c r="K52" i="5"/>
  <c r="H48" i="5"/>
  <c r="H49" i="5"/>
  <c r="H50" i="5"/>
  <c r="H51" i="5"/>
  <c r="H52" i="5"/>
  <c r="E48" i="5"/>
  <c r="E49" i="5"/>
  <c r="E50" i="5"/>
  <c r="E51" i="5"/>
  <c r="E52" i="5"/>
  <c r="N31" i="5"/>
  <c r="N32" i="5"/>
  <c r="N33" i="5"/>
  <c r="K29" i="5"/>
  <c r="K30" i="5"/>
  <c r="K31" i="5"/>
  <c r="K32" i="5"/>
  <c r="K33" i="5"/>
  <c r="H29" i="5"/>
  <c r="H30" i="5"/>
  <c r="H31" i="5"/>
  <c r="H32" i="5"/>
  <c r="H33" i="5"/>
  <c r="E29" i="5"/>
  <c r="E30" i="5"/>
  <c r="E31" i="5"/>
  <c r="E32" i="5"/>
  <c r="E33" i="5"/>
  <c r="D10" i="19"/>
  <c r="D11" i="19"/>
  <c r="D12" i="19"/>
  <c r="D13" i="19"/>
  <c r="D14" i="19"/>
  <c r="M29" i="19"/>
  <c r="M30" i="19"/>
  <c r="M31" i="19"/>
  <c r="M32" i="19"/>
  <c r="M33" i="19"/>
  <c r="M48" i="19"/>
  <c r="M49" i="19"/>
  <c r="M50" i="19"/>
  <c r="M51" i="19"/>
  <c r="M52" i="19"/>
  <c r="J45" i="19"/>
  <c r="D45" i="19"/>
  <c r="B45" i="19"/>
  <c r="J26" i="19"/>
  <c r="D26" i="19"/>
  <c r="B26" i="19"/>
  <c r="G45" i="19" l="1"/>
  <c r="H45" i="19" s="1"/>
  <c r="G26" i="19"/>
  <c r="H26" i="19" s="1"/>
  <c r="M29" i="18"/>
  <c r="N29" i="18" s="1"/>
  <c r="M30" i="18"/>
  <c r="N30" i="18" s="1"/>
  <c r="M31" i="18"/>
  <c r="M32" i="18"/>
  <c r="M33" i="18"/>
  <c r="N33" i="18" s="1"/>
  <c r="D10" i="18"/>
  <c r="D11" i="18"/>
  <c r="D12" i="18"/>
  <c r="D13" i="18"/>
  <c r="D14" i="18"/>
  <c r="M48" i="18"/>
  <c r="N48" i="18" s="1"/>
  <c r="M49" i="18"/>
  <c r="N49" i="18" s="1"/>
  <c r="M50" i="18"/>
  <c r="N50" i="18" s="1"/>
  <c r="M51" i="18"/>
  <c r="N51" i="18" s="1"/>
  <c r="M52" i="18"/>
  <c r="N52" i="18" s="1"/>
  <c r="J45" i="18"/>
  <c r="G45" i="18"/>
  <c r="D45" i="18"/>
  <c r="D7" i="18" s="1"/>
  <c r="B45" i="18"/>
  <c r="J26" i="18"/>
  <c r="G26" i="18"/>
  <c r="D26" i="18"/>
  <c r="D6" i="18" s="1"/>
  <c r="B26" i="18"/>
  <c r="H26" i="18" s="1"/>
  <c r="M48" i="17"/>
  <c r="N48" i="17" s="1"/>
  <c r="M49" i="17"/>
  <c r="N49" i="17" s="1"/>
  <c r="M50" i="17"/>
  <c r="N50" i="17" s="1"/>
  <c r="M51" i="17"/>
  <c r="N51" i="17" s="1"/>
  <c r="M52" i="17"/>
  <c r="N52" i="17" s="1"/>
  <c r="M29" i="17"/>
  <c r="M30" i="17"/>
  <c r="N30" i="17" s="1"/>
  <c r="M31" i="17"/>
  <c r="N31" i="17" s="1"/>
  <c r="M32" i="17"/>
  <c r="N32" i="17" s="1"/>
  <c r="M33" i="17"/>
  <c r="N33" i="17" s="1"/>
  <c r="M40" i="17"/>
  <c r="M56" i="17"/>
  <c r="N56" i="17" s="1"/>
  <c r="M37" i="17"/>
  <c r="N37" i="17" s="1"/>
  <c r="H35" i="17"/>
  <c r="J45" i="17"/>
  <c r="J7" i="17" s="1"/>
  <c r="D45" i="17"/>
  <c r="B45" i="17"/>
  <c r="B7" i="17" s="1"/>
  <c r="J26" i="17"/>
  <c r="J6" i="17" s="1"/>
  <c r="D26" i="17"/>
  <c r="D6" i="17" s="1"/>
  <c r="B26" i="17"/>
  <c r="D10" i="17"/>
  <c r="D11" i="17"/>
  <c r="D12" i="17"/>
  <c r="D13" i="17"/>
  <c r="D14" i="17"/>
  <c r="B10" i="16"/>
  <c r="B11" i="16"/>
  <c r="E11" i="16" s="1"/>
  <c r="B12" i="16"/>
  <c r="B13" i="16"/>
  <c r="B14" i="16"/>
  <c r="D10" i="16"/>
  <c r="E10" i="16" s="1"/>
  <c r="D11" i="16"/>
  <c r="D12" i="16"/>
  <c r="D13" i="16"/>
  <c r="E13" i="16" s="1"/>
  <c r="D14" i="16"/>
  <c r="J45" i="16"/>
  <c r="J7" i="16" s="1"/>
  <c r="G45" i="16"/>
  <c r="D45" i="16"/>
  <c r="B45" i="16"/>
  <c r="B7" i="16" s="1"/>
  <c r="J26" i="16"/>
  <c r="J6" i="16" s="1"/>
  <c r="G26" i="16"/>
  <c r="D26" i="16"/>
  <c r="B26" i="16"/>
  <c r="B6" i="16" s="1"/>
  <c r="M59" i="16"/>
  <c r="N59" i="16" s="1"/>
  <c r="M58" i="16"/>
  <c r="N58" i="16" s="1"/>
  <c r="M63" i="16"/>
  <c r="H43" i="16"/>
  <c r="M63" i="19"/>
  <c r="N63" i="19" s="1"/>
  <c r="K63" i="19"/>
  <c r="H63" i="19"/>
  <c r="E63" i="19"/>
  <c r="M62" i="19"/>
  <c r="K62" i="19"/>
  <c r="H62" i="19"/>
  <c r="E62" i="19"/>
  <c r="M60" i="19"/>
  <c r="N60" i="19" s="1"/>
  <c r="K60" i="19"/>
  <c r="H60" i="19"/>
  <c r="E60" i="19"/>
  <c r="M59" i="19"/>
  <c r="N59" i="19" s="1"/>
  <c r="K59" i="19"/>
  <c r="H59" i="19"/>
  <c r="E59" i="19"/>
  <c r="M58" i="19"/>
  <c r="K58" i="19"/>
  <c r="H58" i="19"/>
  <c r="E58" i="19"/>
  <c r="M56" i="19"/>
  <c r="N56" i="19" s="1"/>
  <c r="K56" i="19"/>
  <c r="H56" i="19"/>
  <c r="E56" i="19"/>
  <c r="M55" i="19"/>
  <c r="N55" i="19" s="1"/>
  <c r="K55" i="19"/>
  <c r="H55" i="19"/>
  <c r="E55" i="19"/>
  <c r="M54" i="19"/>
  <c r="N54" i="19" s="1"/>
  <c r="K54" i="19"/>
  <c r="H54" i="19"/>
  <c r="E54" i="19"/>
  <c r="N52" i="19"/>
  <c r="K52" i="19"/>
  <c r="H52" i="19"/>
  <c r="E52" i="19"/>
  <c r="N51" i="19"/>
  <c r="K51" i="19"/>
  <c r="H51" i="19"/>
  <c r="E51" i="19"/>
  <c r="N50" i="19"/>
  <c r="K50" i="19"/>
  <c r="H50" i="19"/>
  <c r="E50" i="19"/>
  <c r="M11" i="19"/>
  <c r="K49" i="19"/>
  <c r="H49" i="19"/>
  <c r="E49" i="19"/>
  <c r="N48" i="19"/>
  <c r="K48" i="19"/>
  <c r="H48" i="19"/>
  <c r="E48" i="19"/>
  <c r="M47" i="19"/>
  <c r="N47" i="19" s="1"/>
  <c r="K47" i="19"/>
  <c r="H47" i="19"/>
  <c r="E47" i="19"/>
  <c r="K45" i="19"/>
  <c r="E45" i="19"/>
  <c r="M44" i="19"/>
  <c r="N44" i="19" s="1"/>
  <c r="K44" i="19"/>
  <c r="H44" i="19"/>
  <c r="E44" i="19"/>
  <c r="M43" i="19"/>
  <c r="N43" i="19" s="1"/>
  <c r="K43" i="19"/>
  <c r="H43" i="19"/>
  <c r="E43" i="19"/>
  <c r="M41" i="19"/>
  <c r="M22" i="19" s="1"/>
  <c r="K41" i="19"/>
  <c r="H41" i="19"/>
  <c r="E41" i="19"/>
  <c r="M40" i="19"/>
  <c r="N40" i="19" s="1"/>
  <c r="K40" i="19"/>
  <c r="H40" i="19"/>
  <c r="E40" i="19"/>
  <c r="M39" i="19"/>
  <c r="N39" i="19" s="1"/>
  <c r="K39" i="19"/>
  <c r="H39" i="19"/>
  <c r="E39" i="19"/>
  <c r="M37" i="19"/>
  <c r="K37" i="19"/>
  <c r="H37" i="19"/>
  <c r="E37" i="19"/>
  <c r="M36" i="19"/>
  <c r="N36" i="19" s="1"/>
  <c r="K36" i="19"/>
  <c r="H36" i="19"/>
  <c r="E36" i="19"/>
  <c r="M35" i="19"/>
  <c r="N35" i="19" s="1"/>
  <c r="K35" i="19"/>
  <c r="H35" i="19"/>
  <c r="E35" i="19"/>
  <c r="N33" i="19"/>
  <c r="K33" i="19"/>
  <c r="H33" i="19"/>
  <c r="E33" i="19"/>
  <c r="N32" i="19"/>
  <c r="K32" i="19"/>
  <c r="H32" i="19"/>
  <c r="E32" i="19"/>
  <c r="N31" i="19"/>
  <c r="K31" i="19"/>
  <c r="H31" i="19"/>
  <c r="E31" i="19"/>
  <c r="N30" i="19"/>
  <c r="K30" i="19"/>
  <c r="H30" i="19"/>
  <c r="E30" i="19"/>
  <c r="N29" i="19"/>
  <c r="K29" i="19"/>
  <c r="H29" i="19"/>
  <c r="E29" i="19"/>
  <c r="M28" i="19"/>
  <c r="K28" i="19"/>
  <c r="H28" i="19"/>
  <c r="E28" i="19"/>
  <c r="K26" i="19"/>
  <c r="E26" i="19"/>
  <c r="J25" i="19"/>
  <c r="G25" i="19"/>
  <c r="D25" i="19"/>
  <c r="B25" i="19"/>
  <c r="J24" i="19"/>
  <c r="G24" i="19"/>
  <c r="D24" i="19"/>
  <c r="B24" i="19"/>
  <c r="J22" i="19"/>
  <c r="G22" i="19"/>
  <c r="D22" i="19"/>
  <c r="B22" i="19"/>
  <c r="J21" i="19"/>
  <c r="G21" i="19"/>
  <c r="D21" i="19"/>
  <c r="B21" i="19"/>
  <c r="J20" i="19"/>
  <c r="G20" i="19"/>
  <c r="D20" i="19"/>
  <c r="B20" i="19"/>
  <c r="J18" i="19"/>
  <c r="G18" i="19"/>
  <c r="D18" i="19"/>
  <c r="B18" i="19"/>
  <c r="J17" i="19"/>
  <c r="G17" i="19"/>
  <c r="D17" i="19"/>
  <c r="B17" i="19"/>
  <c r="J16" i="19"/>
  <c r="G16" i="19"/>
  <c r="D16" i="19"/>
  <c r="B16" i="19"/>
  <c r="M14" i="19"/>
  <c r="J14" i="19"/>
  <c r="G14" i="19"/>
  <c r="B14" i="19"/>
  <c r="M13" i="19"/>
  <c r="J13" i="19"/>
  <c r="G13" i="19"/>
  <c r="B13" i="19"/>
  <c r="E13" i="19" s="1"/>
  <c r="M12" i="19"/>
  <c r="J12" i="19"/>
  <c r="G12" i="19"/>
  <c r="B12" i="19"/>
  <c r="J11" i="19"/>
  <c r="G11" i="19"/>
  <c r="B11" i="19"/>
  <c r="M10" i="19"/>
  <c r="J10" i="19"/>
  <c r="G10" i="19"/>
  <c r="B10" i="19"/>
  <c r="E10" i="19" s="1"/>
  <c r="J9" i="19"/>
  <c r="G9" i="19"/>
  <c r="D9" i="19"/>
  <c r="B9" i="19"/>
  <c r="J7" i="19"/>
  <c r="G7" i="19"/>
  <c r="D7" i="19"/>
  <c r="B7" i="19"/>
  <c r="J6" i="19"/>
  <c r="G6" i="19"/>
  <c r="G5" i="19" s="1"/>
  <c r="D6" i="19"/>
  <c r="B6" i="19"/>
  <c r="M63" i="18"/>
  <c r="N63" i="18" s="1"/>
  <c r="K63" i="18"/>
  <c r="H63" i="18"/>
  <c r="E63" i="18"/>
  <c r="M62" i="18"/>
  <c r="N62" i="18" s="1"/>
  <c r="K62" i="18"/>
  <c r="H62" i="18"/>
  <c r="E62" i="18"/>
  <c r="M60" i="18"/>
  <c r="N60" i="18" s="1"/>
  <c r="K60" i="18"/>
  <c r="H60" i="18"/>
  <c r="E60" i="18"/>
  <c r="M59" i="18"/>
  <c r="N59" i="18" s="1"/>
  <c r="K59" i="18"/>
  <c r="H59" i="18"/>
  <c r="E59" i="18"/>
  <c r="M58" i="18"/>
  <c r="K58" i="18"/>
  <c r="H58" i="18"/>
  <c r="E58" i="18"/>
  <c r="M56" i="18"/>
  <c r="N56" i="18" s="1"/>
  <c r="K56" i="18"/>
  <c r="H56" i="18"/>
  <c r="E56" i="18"/>
  <c r="M55" i="18"/>
  <c r="N55" i="18" s="1"/>
  <c r="K55" i="18"/>
  <c r="H55" i="18"/>
  <c r="E55" i="18"/>
  <c r="M54" i="18"/>
  <c r="N54" i="18" s="1"/>
  <c r="K54" i="18"/>
  <c r="H54" i="18"/>
  <c r="E54" i="18"/>
  <c r="K52" i="18"/>
  <c r="H52" i="18"/>
  <c r="E52" i="18"/>
  <c r="K51" i="18"/>
  <c r="H51" i="18"/>
  <c r="E51" i="18"/>
  <c r="K50" i="18"/>
  <c r="H50" i="18"/>
  <c r="E50" i="18"/>
  <c r="K49" i="18"/>
  <c r="H49" i="18"/>
  <c r="E49" i="18"/>
  <c r="K48" i="18"/>
  <c r="H48" i="18"/>
  <c r="E48" i="18"/>
  <c r="M47" i="18"/>
  <c r="N47" i="18" s="1"/>
  <c r="K47" i="18"/>
  <c r="H47" i="18"/>
  <c r="E47" i="18"/>
  <c r="H45" i="18"/>
  <c r="M44" i="18"/>
  <c r="N44" i="18" s="1"/>
  <c r="K44" i="18"/>
  <c r="H44" i="18"/>
  <c r="E44" i="18"/>
  <c r="M43" i="18"/>
  <c r="N43" i="18" s="1"/>
  <c r="K43" i="18"/>
  <c r="H43" i="18"/>
  <c r="E43" i="18"/>
  <c r="M41" i="18"/>
  <c r="N41" i="18" s="1"/>
  <c r="K41" i="18"/>
  <c r="H41" i="18"/>
  <c r="E41" i="18"/>
  <c r="M40" i="18"/>
  <c r="N40" i="18" s="1"/>
  <c r="K40" i="18"/>
  <c r="H40" i="18"/>
  <c r="E40" i="18"/>
  <c r="M39" i="18"/>
  <c r="N39" i="18" s="1"/>
  <c r="K39" i="18"/>
  <c r="H39" i="18"/>
  <c r="E39" i="18"/>
  <c r="M37" i="18"/>
  <c r="N37" i="18" s="1"/>
  <c r="K37" i="18"/>
  <c r="H37" i="18"/>
  <c r="E37" i="18"/>
  <c r="M36" i="18"/>
  <c r="N36" i="18" s="1"/>
  <c r="K36" i="18"/>
  <c r="H36" i="18"/>
  <c r="E36" i="18"/>
  <c r="M35" i="18"/>
  <c r="N35" i="18" s="1"/>
  <c r="K35" i="18"/>
  <c r="H35" i="18"/>
  <c r="E35" i="18"/>
  <c r="K33" i="18"/>
  <c r="H33" i="18"/>
  <c r="E33" i="18"/>
  <c r="N32" i="18"/>
  <c r="K32" i="18"/>
  <c r="H32" i="18"/>
  <c r="E32" i="18"/>
  <c r="N31" i="18"/>
  <c r="K31" i="18"/>
  <c r="H31" i="18"/>
  <c r="E31" i="18"/>
  <c r="K30" i="18"/>
  <c r="H30" i="18"/>
  <c r="E30" i="18"/>
  <c r="K29" i="18"/>
  <c r="H29" i="18"/>
  <c r="E29" i="18"/>
  <c r="M28" i="18"/>
  <c r="N28" i="18" s="1"/>
  <c r="K28" i="18"/>
  <c r="H28" i="18"/>
  <c r="E28" i="18"/>
  <c r="J25" i="18"/>
  <c r="G25" i="18"/>
  <c r="D25" i="18"/>
  <c r="B25" i="18"/>
  <c r="J24" i="18"/>
  <c r="G24" i="18"/>
  <c r="D24" i="18"/>
  <c r="B24" i="18"/>
  <c r="J22" i="18"/>
  <c r="G22" i="18"/>
  <c r="D22" i="18"/>
  <c r="B22" i="18"/>
  <c r="J21" i="18"/>
  <c r="G21" i="18"/>
  <c r="D21" i="18"/>
  <c r="B21" i="18"/>
  <c r="J20" i="18"/>
  <c r="G20" i="18"/>
  <c r="D20" i="18"/>
  <c r="B20" i="18"/>
  <c r="J18" i="18"/>
  <c r="G18" i="18"/>
  <c r="D18" i="18"/>
  <c r="B18" i="18"/>
  <c r="J17" i="18"/>
  <c r="G17" i="18"/>
  <c r="D17" i="18"/>
  <c r="B17" i="18"/>
  <c r="J16" i="18"/>
  <c r="G16" i="18"/>
  <c r="D16" i="18"/>
  <c r="B16" i="18"/>
  <c r="J14" i="18"/>
  <c r="G14" i="18"/>
  <c r="B14" i="18"/>
  <c r="J13" i="18"/>
  <c r="G13" i="18"/>
  <c r="B13" i="18"/>
  <c r="M12" i="18"/>
  <c r="J12" i="18"/>
  <c r="G12" i="18"/>
  <c r="B12" i="18"/>
  <c r="E12" i="18" s="1"/>
  <c r="J11" i="18"/>
  <c r="G11" i="18"/>
  <c r="B11" i="18"/>
  <c r="E11" i="18" s="1"/>
  <c r="J10" i="18"/>
  <c r="G10" i="18"/>
  <c r="B10" i="18"/>
  <c r="J9" i="18"/>
  <c r="G9" i="18"/>
  <c r="D9" i="18"/>
  <c r="B9" i="18"/>
  <c r="J7" i="18"/>
  <c r="G7" i="18"/>
  <c r="J6" i="18"/>
  <c r="G6" i="18"/>
  <c r="B6" i="18"/>
  <c r="M63" i="17"/>
  <c r="N63" i="17" s="1"/>
  <c r="K63" i="17"/>
  <c r="H63" i="17"/>
  <c r="E63" i="17"/>
  <c r="M62" i="17"/>
  <c r="N62" i="17" s="1"/>
  <c r="K62" i="17"/>
  <c r="H62" i="17"/>
  <c r="E62" i="17"/>
  <c r="M60" i="17"/>
  <c r="N60" i="17" s="1"/>
  <c r="K60" i="17"/>
  <c r="H60" i="17"/>
  <c r="E60" i="17"/>
  <c r="M59" i="17"/>
  <c r="N59" i="17" s="1"/>
  <c r="K59" i="17"/>
  <c r="H59" i="17"/>
  <c r="E59" i="17"/>
  <c r="M58" i="17"/>
  <c r="N58" i="17" s="1"/>
  <c r="K58" i="17"/>
  <c r="H58" i="17"/>
  <c r="E58" i="17"/>
  <c r="K56" i="17"/>
  <c r="E56" i="17"/>
  <c r="M55" i="17"/>
  <c r="N55" i="17" s="1"/>
  <c r="K55" i="17"/>
  <c r="H55" i="17"/>
  <c r="E55" i="17"/>
  <c r="M54" i="17"/>
  <c r="N54" i="17" s="1"/>
  <c r="K54" i="17"/>
  <c r="H54" i="17"/>
  <c r="E54" i="17"/>
  <c r="K52" i="17"/>
  <c r="H52" i="17"/>
  <c r="E52" i="17"/>
  <c r="K51" i="17"/>
  <c r="H51" i="17"/>
  <c r="E51" i="17"/>
  <c r="K50" i="17"/>
  <c r="H50" i="17"/>
  <c r="E50" i="17"/>
  <c r="K49" i="17"/>
  <c r="H49" i="17"/>
  <c r="E49" i="17"/>
  <c r="K48" i="17"/>
  <c r="H48" i="17"/>
  <c r="E48" i="17"/>
  <c r="M47" i="17"/>
  <c r="N47" i="17" s="1"/>
  <c r="K47" i="17"/>
  <c r="H47" i="17"/>
  <c r="E47" i="17"/>
  <c r="M44" i="17"/>
  <c r="N44" i="17" s="1"/>
  <c r="K44" i="17"/>
  <c r="H44" i="17"/>
  <c r="E44" i="17"/>
  <c r="M43" i="17"/>
  <c r="N43" i="17" s="1"/>
  <c r="K43" i="17"/>
  <c r="H43" i="17"/>
  <c r="E43" i="17"/>
  <c r="M41" i="17"/>
  <c r="N41" i="17" s="1"/>
  <c r="K41" i="17"/>
  <c r="H41" i="17"/>
  <c r="E41" i="17"/>
  <c r="K40" i="17"/>
  <c r="E40" i="17"/>
  <c r="M39" i="17"/>
  <c r="N39" i="17" s="1"/>
  <c r="K39" i="17"/>
  <c r="H39" i="17"/>
  <c r="E39" i="17"/>
  <c r="K37" i="17"/>
  <c r="E37" i="17"/>
  <c r="M36" i="17"/>
  <c r="N36" i="17" s="1"/>
  <c r="K36" i="17"/>
  <c r="H36" i="17"/>
  <c r="E36" i="17"/>
  <c r="M35" i="17"/>
  <c r="N35" i="17" s="1"/>
  <c r="K35" i="17"/>
  <c r="E35" i="17"/>
  <c r="K33" i="17"/>
  <c r="H33" i="17"/>
  <c r="E33" i="17"/>
  <c r="K32" i="17"/>
  <c r="H32" i="17"/>
  <c r="E32" i="17"/>
  <c r="K31" i="17"/>
  <c r="H31" i="17"/>
  <c r="E31" i="17"/>
  <c r="K30" i="17"/>
  <c r="H30" i="17"/>
  <c r="E30" i="17"/>
  <c r="K29" i="17"/>
  <c r="H29" i="17"/>
  <c r="E29" i="17"/>
  <c r="M28" i="17"/>
  <c r="N28" i="17" s="1"/>
  <c r="K28" i="17"/>
  <c r="H28" i="17"/>
  <c r="E28" i="17"/>
  <c r="J25" i="17"/>
  <c r="G25" i="17"/>
  <c r="D25" i="17"/>
  <c r="B25" i="17"/>
  <c r="J24" i="17"/>
  <c r="G24" i="17"/>
  <c r="D24" i="17"/>
  <c r="B24" i="17"/>
  <c r="J22" i="17"/>
  <c r="G22" i="17"/>
  <c r="D22" i="17"/>
  <c r="B22" i="17"/>
  <c r="J21" i="17"/>
  <c r="D21" i="17"/>
  <c r="B21" i="17"/>
  <c r="J20" i="17"/>
  <c r="G20" i="17"/>
  <c r="D20" i="17"/>
  <c r="B20" i="17"/>
  <c r="J18" i="17"/>
  <c r="D18" i="17"/>
  <c r="B18" i="17"/>
  <c r="J17" i="17"/>
  <c r="G17" i="17"/>
  <c r="D17" i="17"/>
  <c r="B17" i="17"/>
  <c r="J16" i="17"/>
  <c r="G16" i="17"/>
  <c r="D16" i="17"/>
  <c r="B16" i="17"/>
  <c r="J14" i="17"/>
  <c r="G14" i="17"/>
  <c r="B14" i="17"/>
  <c r="J13" i="17"/>
  <c r="G13" i="17"/>
  <c r="B13" i="17"/>
  <c r="J12" i="17"/>
  <c r="G12" i="17"/>
  <c r="B12" i="17"/>
  <c r="J11" i="17"/>
  <c r="G11" i="17"/>
  <c r="B11" i="17"/>
  <c r="J10" i="17"/>
  <c r="G10" i="17"/>
  <c r="B10" i="17"/>
  <c r="J9" i="17"/>
  <c r="G9" i="17"/>
  <c r="D9" i="17"/>
  <c r="B9" i="17"/>
  <c r="D7" i="17"/>
  <c r="G7" i="16"/>
  <c r="G6" i="16"/>
  <c r="D7" i="16"/>
  <c r="D6" i="16"/>
  <c r="G10" i="16"/>
  <c r="G11" i="16"/>
  <c r="G12" i="16"/>
  <c r="G13" i="16"/>
  <c r="H13" i="16" s="1"/>
  <c r="G14" i="16"/>
  <c r="M12" i="16"/>
  <c r="M13" i="16"/>
  <c r="N13" i="16" s="1"/>
  <c r="M14" i="16"/>
  <c r="J12" i="16"/>
  <c r="J13" i="16"/>
  <c r="J14" i="16"/>
  <c r="N50" i="16"/>
  <c r="N51" i="16"/>
  <c r="N52" i="16"/>
  <c r="K48" i="16"/>
  <c r="K49" i="16"/>
  <c r="K50" i="16"/>
  <c r="K51" i="16"/>
  <c r="K52" i="16"/>
  <c r="H48" i="16"/>
  <c r="H49" i="16"/>
  <c r="H50" i="16"/>
  <c r="H51" i="16"/>
  <c r="H52" i="16"/>
  <c r="N31" i="16"/>
  <c r="N32" i="16"/>
  <c r="N33" i="16"/>
  <c r="K29" i="16"/>
  <c r="K30" i="16"/>
  <c r="K31" i="16"/>
  <c r="K32" i="16"/>
  <c r="K33" i="16"/>
  <c r="H29" i="16"/>
  <c r="H30" i="16"/>
  <c r="H31" i="16"/>
  <c r="H32" i="16"/>
  <c r="H33" i="16"/>
  <c r="E50" i="16"/>
  <c r="E51" i="16"/>
  <c r="E52" i="16"/>
  <c r="E31" i="16"/>
  <c r="E32" i="16"/>
  <c r="E33" i="16"/>
  <c r="K63" i="16"/>
  <c r="E63" i="16"/>
  <c r="M62" i="16"/>
  <c r="K62" i="16"/>
  <c r="H62" i="16"/>
  <c r="E62" i="16"/>
  <c r="M60" i="16"/>
  <c r="N60" i="16" s="1"/>
  <c r="K60" i="16"/>
  <c r="H60" i="16"/>
  <c r="E60" i="16"/>
  <c r="K59" i="16"/>
  <c r="E59" i="16"/>
  <c r="K58" i="16"/>
  <c r="E58" i="16"/>
  <c r="M56" i="16"/>
  <c r="N56" i="16" s="1"/>
  <c r="K56" i="16"/>
  <c r="H56" i="16"/>
  <c r="E56" i="16"/>
  <c r="M55" i="16"/>
  <c r="N55" i="16" s="1"/>
  <c r="K55" i="16"/>
  <c r="H55" i="16"/>
  <c r="E55" i="16"/>
  <c r="M54" i="16"/>
  <c r="N54" i="16" s="1"/>
  <c r="K54" i="16"/>
  <c r="H54" i="16"/>
  <c r="E54" i="16"/>
  <c r="N49" i="16"/>
  <c r="E49" i="16"/>
  <c r="N48" i="16"/>
  <c r="E48" i="16"/>
  <c r="K47" i="16"/>
  <c r="E47" i="16"/>
  <c r="H47" i="16"/>
  <c r="M44" i="16"/>
  <c r="N44" i="16" s="1"/>
  <c r="K44" i="16"/>
  <c r="H44" i="16"/>
  <c r="E44" i="16"/>
  <c r="K43" i="16"/>
  <c r="E43" i="16"/>
  <c r="M41" i="16"/>
  <c r="N41" i="16" s="1"/>
  <c r="K41" i="16"/>
  <c r="H41" i="16"/>
  <c r="E41" i="16"/>
  <c r="M40" i="16"/>
  <c r="N40" i="16" s="1"/>
  <c r="K40" i="16"/>
  <c r="H40" i="16"/>
  <c r="E40" i="16"/>
  <c r="M39" i="16"/>
  <c r="N39" i="16" s="1"/>
  <c r="K39" i="16"/>
  <c r="H39" i="16"/>
  <c r="E39" i="16"/>
  <c r="M37" i="16"/>
  <c r="N37" i="16" s="1"/>
  <c r="K37" i="16"/>
  <c r="H37" i="16"/>
  <c r="E37" i="16"/>
  <c r="M36" i="16"/>
  <c r="N36" i="16" s="1"/>
  <c r="K36" i="16"/>
  <c r="H36" i="16"/>
  <c r="E36" i="16"/>
  <c r="M35" i="16"/>
  <c r="N35" i="16" s="1"/>
  <c r="K35" i="16"/>
  <c r="H35" i="16"/>
  <c r="E35" i="16"/>
  <c r="M11" i="16"/>
  <c r="E30" i="16"/>
  <c r="M10" i="16"/>
  <c r="E29" i="16"/>
  <c r="K28" i="16"/>
  <c r="E28" i="16"/>
  <c r="H28" i="16"/>
  <c r="J25" i="16"/>
  <c r="G25" i="16"/>
  <c r="D25" i="16"/>
  <c r="B25" i="16"/>
  <c r="J24" i="16"/>
  <c r="D24" i="16"/>
  <c r="B24" i="16"/>
  <c r="J22" i="16"/>
  <c r="G22" i="16"/>
  <c r="D22" i="16"/>
  <c r="B22" i="16"/>
  <c r="J21" i="16"/>
  <c r="G21" i="16"/>
  <c r="D21" i="16"/>
  <c r="B21" i="16"/>
  <c r="J20" i="16"/>
  <c r="G20" i="16"/>
  <c r="D20" i="16"/>
  <c r="B20" i="16"/>
  <c r="J18" i="16"/>
  <c r="G18" i="16"/>
  <c r="D18" i="16"/>
  <c r="B18" i="16"/>
  <c r="J17" i="16"/>
  <c r="G17" i="16"/>
  <c r="D17" i="16"/>
  <c r="B17" i="16"/>
  <c r="J16" i="16"/>
  <c r="G16" i="16"/>
  <c r="D16" i="16"/>
  <c r="B16" i="16"/>
  <c r="J11" i="16"/>
  <c r="J10" i="16"/>
  <c r="J9" i="16"/>
  <c r="G9" i="16"/>
  <c r="D9" i="16"/>
  <c r="B9" i="16"/>
  <c r="D5" i="16"/>
  <c r="K63" i="5"/>
  <c r="K62" i="5"/>
  <c r="E63" i="5"/>
  <c r="E62" i="5"/>
  <c r="J25" i="5"/>
  <c r="J24" i="5"/>
  <c r="K44" i="5"/>
  <c r="K43" i="5"/>
  <c r="E44" i="5"/>
  <c r="E43" i="5"/>
  <c r="M63" i="5"/>
  <c r="N63" i="5" s="1"/>
  <c r="H44" i="5"/>
  <c r="M62" i="5"/>
  <c r="G24" i="5"/>
  <c r="D25" i="5"/>
  <c r="D24" i="5"/>
  <c r="B25" i="5"/>
  <c r="B24" i="5"/>
  <c r="D11" i="2"/>
  <c r="D12" i="2"/>
  <c r="D13" i="2"/>
  <c r="D14" i="2"/>
  <c r="D15" i="2"/>
  <c r="K26" i="16" l="1"/>
  <c r="E45" i="16"/>
  <c r="H45" i="16"/>
  <c r="H26" i="16"/>
  <c r="K11" i="16"/>
  <c r="E26" i="16"/>
  <c r="N11" i="16"/>
  <c r="E14" i="18"/>
  <c r="M10" i="18"/>
  <c r="E13" i="18"/>
  <c r="M14" i="18"/>
  <c r="N14" i="18" s="1"/>
  <c r="E11" i="17"/>
  <c r="M14" i="17"/>
  <c r="E7" i="17"/>
  <c r="E17" i="18"/>
  <c r="J5" i="16"/>
  <c r="E20" i="18"/>
  <c r="M13" i="18"/>
  <c r="N13" i="18" s="1"/>
  <c r="K7" i="17"/>
  <c r="D5" i="17"/>
  <c r="K13" i="17"/>
  <c r="M10" i="17"/>
  <c r="N10" i="17" s="1"/>
  <c r="E20" i="19"/>
  <c r="K20" i="19"/>
  <c r="K12" i="19"/>
  <c r="M11" i="18"/>
  <c r="N11" i="18" s="1"/>
  <c r="D5" i="18"/>
  <c r="E22" i="18"/>
  <c r="E21" i="17"/>
  <c r="N29" i="17"/>
  <c r="E18" i="17"/>
  <c r="K25" i="17"/>
  <c r="E25" i="17"/>
  <c r="K7" i="16"/>
  <c r="K45" i="16"/>
  <c r="M45" i="16"/>
  <c r="N45" i="16" s="1"/>
  <c r="E14" i="16"/>
  <c r="E6" i="19"/>
  <c r="E7" i="19"/>
  <c r="H11" i="19"/>
  <c r="K7" i="19"/>
  <c r="M45" i="5"/>
  <c r="M7" i="5" s="1"/>
  <c r="K13" i="19"/>
  <c r="K11" i="19"/>
  <c r="K14" i="19"/>
  <c r="E12" i="19"/>
  <c r="N13" i="19"/>
  <c r="N14" i="19"/>
  <c r="H13" i="19"/>
  <c r="E14" i="19"/>
  <c r="N12" i="19"/>
  <c r="E11" i="19"/>
  <c r="N11" i="19"/>
  <c r="H12" i="19"/>
  <c r="H14" i="19"/>
  <c r="M9" i="19"/>
  <c r="N9" i="19" s="1"/>
  <c r="H9" i="19"/>
  <c r="E9" i="19"/>
  <c r="H10" i="19"/>
  <c r="K9" i="19"/>
  <c r="K10" i="19"/>
  <c r="N10" i="19"/>
  <c r="H11" i="18"/>
  <c r="H12" i="18"/>
  <c r="H13" i="18"/>
  <c r="H14" i="18"/>
  <c r="K11" i="18"/>
  <c r="K12" i="18"/>
  <c r="K13" i="18"/>
  <c r="K14" i="18"/>
  <c r="N12" i="18"/>
  <c r="K10" i="18"/>
  <c r="M9" i="18"/>
  <c r="N9" i="18" s="1"/>
  <c r="E9" i="18"/>
  <c r="H9" i="18"/>
  <c r="K9" i="18"/>
  <c r="K14" i="17"/>
  <c r="K12" i="17"/>
  <c r="M12" i="17"/>
  <c r="N12" i="17" s="1"/>
  <c r="M13" i="17"/>
  <c r="N13" i="17" s="1"/>
  <c r="H13" i="17"/>
  <c r="H14" i="17"/>
  <c r="H11" i="17"/>
  <c r="E12" i="17"/>
  <c r="K11" i="17"/>
  <c r="H12" i="17"/>
  <c r="E14" i="17"/>
  <c r="M11" i="17"/>
  <c r="N11" i="17" s="1"/>
  <c r="E13" i="17"/>
  <c r="N14" i="17"/>
  <c r="M9" i="17"/>
  <c r="N9" i="17" s="1"/>
  <c r="E9" i="17"/>
  <c r="E10" i="17"/>
  <c r="K9" i="17"/>
  <c r="K10" i="17"/>
  <c r="K13" i="16"/>
  <c r="H11" i="16"/>
  <c r="E12" i="16"/>
  <c r="N29" i="16"/>
  <c r="E25" i="5"/>
  <c r="K25" i="5"/>
  <c r="N62" i="5"/>
  <c r="H24" i="5"/>
  <c r="G25" i="5"/>
  <c r="H25" i="5" s="1"/>
  <c r="H62" i="5"/>
  <c r="E24" i="5"/>
  <c r="H63" i="5"/>
  <c r="H43" i="5"/>
  <c r="M43" i="5"/>
  <c r="K24" i="5"/>
  <c r="K24" i="19"/>
  <c r="K6" i="19"/>
  <c r="H25" i="19"/>
  <c r="N62" i="19"/>
  <c r="M45" i="19"/>
  <c r="M26" i="19"/>
  <c r="H7" i="19"/>
  <c r="H6" i="19"/>
  <c r="B5" i="19"/>
  <c r="H5" i="19" s="1"/>
  <c r="E24" i="19"/>
  <c r="H24" i="19"/>
  <c r="E25" i="19"/>
  <c r="K25" i="19"/>
  <c r="H22" i="19"/>
  <c r="H21" i="19"/>
  <c r="H20" i="19"/>
  <c r="K21" i="19"/>
  <c r="K22" i="19"/>
  <c r="N22" i="19"/>
  <c r="M20" i="19"/>
  <c r="N20" i="19" s="1"/>
  <c r="E21" i="19"/>
  <c r="E22" i="19"/>
  <c r="H18" i="19"/>
  <c r="H17" i="19"/>
  <c r="M18" i="19"/>
  <c r="N18" i="19" s="1"/>
  <c r="E16" i="19"/>
  <c r="K16" i="19"/>
  <c r="K17" i="19"/>
  <c r="K18" i="19"/>
  <c r="H16" i="19"/>
  <c r="E17" i="19"/>
  <c r="E18" i="19"/>
  <c r="J5" i="18"/>
  <c r="M45" i="18"/>
  <c r="M7" i="18" s="1"/>
  <c r="M24" i="18"/>
  <c r="N24" i="18" s="1"/>
  <c r="M25" i="18"/>
  <c r="N25" i="18" s="1"/>
  <c r="E24" i="18"/>
  <c r="H24" i="18"/>
  <c r="K24" i="18"/>
  <c r="E25" i="18"/>
  <c r="M26" i="18"/>
  <c r="M22" i="18"/>
  <c r="N22" i="18" s="1"/>
  <c r="M21" i="18"/>
  <c r="N21" i="18" s="1"/>
  <c r="M20" i="18"/>
  <c r="N20" i="18" s="1"/>
  <c r="N58" i="18"/>
  <c r="H20" i="18"/>
  <c r="K21" i="18"/>
  <c r="H22" i="18"/>
  <c r="K20" i="18"/>
  <c r="E21" i="18"/>
  <c r="K22" i="18"/>
  <c r="M17" i="18"/>
  <c r="N17" i="18" s="1"/>
  <c r="M18" i="18"/>
  <c r="N18" i="18" s="1"/>
  <c r="M16" i="18"/>
  <c r="N16" i="18" s="1"/>
  <c r="K16" i="18"/>
  <c r="K18" i="18"/>
  <c r="E16" i="18"/>
  <c r="E18" i="18"/>
  <c r="H16" i="18"/>
  <c r="K17" i="18"/>
  <c r="H18" i="18"/>
  <c r="E45" i="18"/>
  <c r="B7" i="18"/>
  <c r="H7" i="18" s="1"/>
  <c r="K45" i="18"/>
  <c r="K26" i="18"/>
  <c r="H6" i="18"/>
  <c r="E26" i="18"/>
  <c r="K24" i="17"/>
  <c r="J5" i="17"/>
  <c r="G45" i="17"/>
  <c r="G26" i="17"/>
  <c r="M45" i="17"/>
  <c r="N45" i="17" s="1"/>
  <c r="M24" i="17"/>
  <c r="N24" i="17" s="1"/>
  <c r="M25" i="17"/>
  <c r="N25" i="17" s="1"/>
  <c r="H25" i="17"/>
  <c r="M26" i="17"/>
  <c r="H24" i="17"/>
  <c r="N40" i="17"/>
  <c r="M21" i="17"/>
  <c r="N21" i="17" s="1"/>
  <c r="H40" i="17"/>
  <c r="G21" i="17"/>
  <c r="H21" i="17" s="1"/>
  <c r="M22" i="17"/>
  <c r="N22" i="17" s="1"/>
  <c r="E20" i="17"/>
  <c r="M20" i="17"/>
  <c r="N20" i="17" s="1"/>
  <c r="H20" i="17"/>
  <c r="K20" i="17"/>
  <c r="E22" i="17"/>
  <c r="K21" i="17"/>
  <c r="H22" i="17"/>
  <c r="K22" i="17"/>
  <c r="H56" i="17"/>
  <c r="G18" i="17"/>
  <c r="H18" i="17" s="1"/>
  <c r="H37" i="17"/>
  <c r="E17" i="17"/>
  <c r="M17" i="17"/>
  <c r="N17" i="17" s="1"/>
  <c r="H17" i="17"/>
  <c r="M16" i="17"/>
  <c r="N16" i="17" s="1"/>
  <c r="M18" i="17"/>
  <c r="N18" i="17" s="1"/>
  <c r="H16" i="17"/>
  <c r="K18" i="17"/>
  <c r="E16" i="17"/>
  <c r="K17" i="17"/>
  <c r="K16" i="17"/>
  <c r="K45" i="17"/>
  <c r="E45" i="17"/>
  <c r="K26" i="17"/>
  <c r="B6" i="17"/>
  <c r="E6" i="17" s="1"/>
  <c r="E26" i="17"/>
  <c r="K12" i="16"/>
  <c r="K10" i="16"/>
  <c r="K14" i="16"/>
  <c r="H14" i="16"/>
  <c r="H10" i="16"/>
  <c r="G5" i="16"/>
  <c r="E7" i="16"/>
  <c r="B5" i="16"/>
  <c r="E16" i="16"/>
  <c r="E17" i="16"/>
  <c r="E18" i="16"/>
  <c r="K17" i="16"/>
  <c r="H59" i="16"/>
  <c r="H58" i="16"/>
  <c r="N63" i="16"/>
  <c r="M25" i="16"/>
  <c r="N25" i="16" s="1"/>
  <c r="H63" i="16"/>
  <c r="M43" i="16"/>
  <c r="M26" i="16" s="1"/>
  <c r="H12" i="16"/>
  <c r="K24" i="16"/>
  <c r="N30" i="16"/>
  <c r="H7" i="16"/>
  <c r="G24" i="16"/>
  <c r="H24" i="16" s="1"/>
  <c r="K25" i="16"/>
  <c r="E25" i="16"/>
  <c r="N28" i="19"/>
  <c r="N49" i="19"/>
  <c r="N58" i="19"/>
  <c r="D5" i="19"/>
  <c r="J5" i="19"/>
  <c r="M17" i="19"/>
  <c r="N17" i="19" s="1"/>
  <c r="M21" i="19"/>
  <c r="N21" i="19" s="1"/>
  <c r="M25" i="19"/>
  <c r="N25" i="19" s="1"/>
  <c r="N37" i="19"/>
  <c r="N41" i="19"/>
  <c r="M16" i="19"/>
  <c r="N16" i="19" s="1"/>
  <c r="M24" i="19"/>
  <c r="N24" i="19" s="1"/>
  <c r="G5" i="18"/>
  <c r="E6" i="18"/>
  <c r="K6" i="18"/>
  <c r="H10" i="18"/>
  <c r="N10" i="18"/>
  <c r="K25" i="18"/>
  <c r="E10" i="18"/>
  <c r="H17" i="18"/>
  <c r="H21" i="18"/>
  <c r="H25" i="18"/>
  <c r="H9" i="17"/>
  <c r="E24" i="17"/>
  <c r="H10" i="17"/>
  <c r="K6" i="16"/>
  <c r="E5" i="16"/>
  <c r="E6" i="16"/>
  <c r="H6" i="16"/>
  <c r="N12" i="16"/>
  <c r="N14" i="16"/>
  <c r="N10" i="16"/>
  <c r="M16" i="16"/>
  <c r="N16" i="16" s="1"/>
  <c r="E21" i="16"/>
  <c r="K21" i="16"/>
  <c r="K16" i="16"/>
  <c r="K20" i="16"/>
  <c r="M22" i="16"/>
  <c r="N22" i="16" s="1"/>
  <c r="M18" i="16"/>
  <c r="N18" i="16" s="1"/>
  <c r="M20" i="16"/>
  <c r="N20" i="16" s="1"/>
  <c r="M17" i="16"/>
  <c r="N17" i="16" s="1"/>
  <c r="H21" i="16"/>
  <c r="K22" i="16"/>
  <c r="E22" i="16"/>
  <c r="H17" i="16"/>
  <c r="K18" i="16"/>
  <c r="M21" i="16"/>
  <c r="N21" i="16" s="1"/>
  <c r="H25" i="16"/>
  <c r="K9" i="16"/>
  <c r="M28" i="16"/>
  <c r="M47" i="16"/>
  <c r="N47" i="16" s="1"/>
  <c r="H9" i="16"/>
  <c r="H16" i="16"/>
  <c r="H20" i="16"/>
  <c r="N62" i="16"/>
  <c r="E9" i="16"/>
  <c r="H18" i="16"/>
  <c r="E20" i="16"/>
  <c r="H22" i="16"/>
  <c r="E24" i="16"/>
  <c r="K5" i="16" l="1"/>
  <c r="H26" i="17"/>
  <c r="G7" i="17"/>
  <c r="K5" i="19"/>
  <c r="M7" i="16"/>
  <c r="N7" i="16" s="1"/>
  <c r="N43" i="16"/>
  <c r="M24" i="16"/>
  <c r="N24" i="16" s="1"/>
  <c r="N26" i="16"/>
  <c r="M6" i="16"/>
  <c r="M24" i="5"/>
  <c r="N43" i="5"/>
  <c r="N44" i="5"/>
  <c r="M25" i="5"/>
  <c r="N25" i="5" s="1"/>
  <c r="N45" i="19"/>
  <c r="M7" i="19"/>
  <c r="N7" i="19" s="1"/>
  <c r="M6" i="19"/>
  <c r="N26" i="19"/>
  <c r="E5" i="19"/>
  <c r="N45" i="18"/>
  <c r="M6" i="18"/>
  <c r="N26" i="18"/>
  <c r="N7" i="18"/>
  <c r="E7" i="18"/>
  <c r="B5" i="18"/>
  <c r="K7" i="18"/>
  <c r="H45" i="17"/>
  <c r="G6" i="17"/>
  <c r="M7" i="17"/>
  <c r="N7" i="17" s="1"/>
  <c r="N26" i="17"/>
  <c r="M6" i="17"/>
  <c r="K6" i="17"/>
  <c r="B5" i="17"/>
  <c r="H5" i="16"/>
  <c r="N28" i="16"/>
  <c r="M9" i="16"/>
  <c r="N9" i="16" s="1"/>
  <c r="H7" i="17" l="1"/>
  <c r="G5" i="17"/>
  <c r="H6" i="17"/>
  <c r="M5" i="16"/>
  <c r="N5" i="16" s="1"/>
  <c r="N6" i="16"/>
  <c r="N24" i="5"/>
  <c r="M5" i="19"/>
  <c r="N5" i="19" s="1"/>
  <c r="N6" i="19"/>
  <c r="N6" i="18"/>
  <c r="M5" i="18"/>
  <c r="N5" i="18" s="1"/>
  <c r="K5" i="18"/>
  <c r="E5" i="18"/>
  <c r="H5" i="18"/>
  <c r="M5" i="17"/>
  <c r="N5" i="17" s="1"/>
  <c r="N6" i="17"/>
  <c r="K5" i="17"/>
  <c r="E5" i="17"/>
  <c r="H5" i="17"/>
  <c r="N49" i="5"/>
  <c r="M11" i="5" l="1"/>
  <c r="N11" i="5" s="1"/>
  <c r="N30" i="5"/>
  <c r="N45" i="5" l="1"/>
  <c r="K45" i="5"/>
  <c r="H45" i="5"/>
  <c r="E45" i="5"/>
  <c r="H26" i="5"/>
  <c r="E26" i="5"/>
  <c r="K6" i="5"/>
  <c r="K5" i="5" l="1"/>
  <c r="H5" i="5"/>
  <c r="E5" i="5"/>
  <c r="K60" i="5"/>
  <c r="K59" i="5"/>
  <c r="K58" i="5"/>
  <c r="K56" i="5"/>
  <c r="K55" i="5"/>
  <c r="K54" i="5"/>
  <c r="K47" i="5"/>
  <c r="K41" i="5"/>
  <c r="K40" i="5"/>
  <c r="K39" i="5"/>
  <c r="K37" i="5"/>
  <c r="K36" i="5"/>
  <c r="K35" i="5"/>
  <c r="K28" i="5"/>
  <c r="H60" i="5"/>
  <c r="H59" i="5"/>
  <c r="H58" i="5"/>
  <c r="H56" i="5"/>
  <c r="H55" i="5"/>
  <c r="H54" i="5"/>
  <c r="H47" i="5"/>
  <c r="H41" i="5"/>
  <c r="H40" i="5"/>
  <c r="H39" i="5"/>
  <c r="H37" i="5"/>
  <c r="H36" i="5"/>
  <c r="H35" i="5"/>
  <c r="H28" i="5"/>
  <c r="E60" i="5"/>
  <c r="E59" i="5"/>
  <c r="E58" i="5"/>
  <c r="E56" i="5"/>
  <c r="E55" i="5"/>
  <c r="E54" i="5"/>
  <c r="E47" i="5"/>
  <c r="E41" i="5"/>
  <c r="E40" i="5"/>
  <c r="E39" i="5"/>
  <c r="E37" i="5"/>
  <c r="E36" i="5"/>
  <c r="E35" i="5"/>
  <c r="E28" i="5"/>
  <c r="N7" i="5"/>
  <c r="K7" i="5"/>
  <c r="H7" i="5"/>
  <c r="H6" i="5"/>
  <c r="E7" i="5"/>
  <c r="E6" i="5"/>
  <c r="J22" i="5"/>
  <c r="J21" i="5"/>
  <c r="J20" i="5"/>
  <c r="G22" i="5"/>
  <c r="G21" i="5"/>
  <c r="G20" i="5"/>
  <c r="D22" i="5"/>
  <c r="D21" i="5"/>
  <c r="D20" i="5"/>
  <c r="B21" i="5"/>
  <c r="B22" i="5"/>
  <c r="B20" i="5"/>
  <c r="M40" i="5"/>
  <c r="M41" i="5"/>
  <c r="M39" i="5"/>
  <c r="N39" i="5" s="1"/>
  <c r="M59" i="5"/>
  <c r="N59" i="5" s="1"/>
  <c r="M60" i="5"/>
  <c r="N60" i="5" s="1"/>
  <c r="M58" i="5"/>
  <c r="N58" i="5" s="1"/>
  <c r="M36" i="5"/>
  <c r="M37" i="5"/>
  <c r="N37" i="5" s="1"/>
  <c r="M35" i="5"/>
  <c r="N35" i="5" s="1"/>
  <c r="M55" i="5"/>
  <c r="N55" i="5" s="1"/>
  <c r="M56" i="5"/>
  <c r="M54" i="5"/>
  <c r="N54" i="5" s="1"/>
  <c r="J18" i="5"/>
  <c r="J17" i="5"/>
  <c r="J16" i="5"/>
  <c r="G18" i="5"/>
  <c r="G17" i="5"/>
  <c r="G16" i="5"/>
  <c r="D18" i="5"/>
  <c r="D17" i="5"/>
  <c r="D16" i="5"/>
  <c r="B17" i="5"/>
  <c r="B18" i="5"/>
  <c r="B16" i="5"/>
  <c r="M18" i="5" l="1"/>
  <c r="N18" i="5" s="1"/>
  <c r="K20" i="5"/>
  <c r="K16" i="5"/>
  <c r="M21" i="5"/>
  <c r="N21" i="5" s="1"/>
  <c r="K18" i="5"/>
  <c r="K22" i="5"/>
  <c r="H17" i="5"/>
  <c r="E21" i="5"/>
  <c r="K21" i="5"/>
  <c r="E18" i="5"/>
  <c r="H18" i="5"/>
  <c r="M22" i="5"/>
  <c r="N22" i="5" s="1"/>
  <c r="E22" i="5"/>
  <c r="H22" i="5"/>
  <c r="E16" i="5"/>
  <c r="H16" i="5"/>
  <c r="E20" i="5"/>
  <c r="H20" i="5"/>
  <c r="E17" i="5"/>
  <c r="K17" i="5"/>
  <c r="H21" i="5"/>
  <c r="M17" i="5"/>
  <c r="N17" i="5" s="1"/>
  <c r="M20" i="5"/>
  <c r="N20" i="5" s="1"/>
  <c r="N36" i="5"/>
  <c r="N40" i="5"/>
  <c r="N41" i="5"/>
  <c r="N56" i="5"/>
  <c r="M16" i="5"/>
  <c r="N16" i="5" s="1"/>
  <c r="N48" i="5" l="1"/>
  <c r="M47" i="5"/>
  <c r="N47" i="5" s="1"/>
  <c r="M10" i="5"/>
  <c r="N10" i="5" s="1"/>
  <c r="M28" i="5"/>
  <c r="N28" i="5" l="1"/>
  <c r="M9" i="5"/>
  <c r="N29" i="5"/>
  <c r="B9" i="5"/>
  <c r="H9" i="5" l="1"/>
  <c r="E9" i="5"/>
  <c r="N9" i="5"/>
  <c r="K9" i="5"/>
  <c r="K26" i="5"/>
  <c r="M26" i="5"/>
  <c r="N26" i="5" l="1"/>
  <c r="M6" i="5"/>
  <c r="N6" i="5" s="1"/>
  <c r="M5" i="5"/>
  <c r="N5" i="5" l="1"/>
</calcChain>
</file>

<file path=xl/sharedStrings.xml><?xml version="1.0" encoding="utf-8"?>
<sst xmlns="http://schemas.openxmlformats.org/spreadsheetml/2006/main" count="515" uniqueCount="121">
  <si>
    <t>Direktövergång</t>
  </si>
  <si>
    <t>Antal avgångna från grundskolan</t>
  </si>
  <si>
    <t>Övergång till gymnasieskolan höstterminen samma år</t>
  </si>
  <si>
    <t>Övergång till gymnasieskolan inom 1 år</t>
  </si>
  <si>
    <t>Antal</t>
  </si>
  <si>
    <t>Andel</t>
  </si>
  <si>
    <t>Uppgift saknas</t>
  </si>
  <si>
    <t>Elever totalt</t>
  </si>
  <si>
    <t>Svensk/utländsk bakgrund</t>
  </si>
  <si>
    <t>Elever med svensk bakgrund</t>
  </si>
  <si>
    <t>Elever med utländsk bakgrund</t>
  </si>
  <si>
    <t>Resultat i grundskolan</t>
  </si>
  <si>
    <t>Elever utan slutbetyg</t>
  </si>
  <si>
    <t>Övergång inom 1 eller 2 år</t>
  </si>
  <si>
    <t>Elever med slutbetyg som nått målen i alla ämnen eller i alla förutom i ett</t>
  </si>
  <si>
    <t>Elever med slutbetyg som ej nått målen i två eller flera ämnen</t>
  </si>
  <si>
    <t>Föräldrarnas utbildningsnivå</t>
  </si>
  <si>
    <t>Förgymnasial utbildning</t>
  </si>
  <si>
    <t>Gymnasial utbildning</t>
  </si>
  <si>
    <t>Eftergymnasial utbildning</t>
  </si>
  <si>
    <t>Antal avgångna från grundskolan totalt</t>
  </si>
  <si>
    <t>Tabell 1a. Antal avgångna från grundskolans årskurs 9 vt2007-vt2015 och deras övergång till gymnasieskolan efter kön</t>
  </si>
  <si>
    <t>Tabell 1b. Avgångna från grundskolans årskurs 9 vt2007-vt2015 och deras övergång till gymnasieskolan, totalt, procent</t>
  </si>
  <si>
    <t>Inte påbörjat gymnasieskolan inom 2 år</t>
  </si>
  <si>
    <t>Övergång till gymnasieskolan inom 2 år</t>
  </si>
  <si>
    <t>Tabell 2a. Avgångna från grundskolans årskurs 9 vt2007 och deras övergång till gymnasieskolan efter bakgrundsvariabler</t>
  </si>
  <si>
    <t>Totalt</t>
  </si>
  <si>
    <t>Ej folkbokförda aktuellt år</t>
  </si>
  <si>
    <t>Behörighet till gymnasieskolan</t>
  </si>
  <si>
    <t>Elever med behörighet</t>
  </si>
  <si>
    <t>Elever utan behörighet</t>
  </si>
  <si>
    <t xml:space="preserve">   Födda i Sverige</t>
  </si>
  <si>
    <t>Kvinnor</t>
  </si>
  <si>
    <t>Män</t>
  </si>
  <si>
    <t>Kvinnor totalt</t>
  </si>
  <si>
    <t>Män totalt</t>
  </si>
  <si>
    <t>Elever som saknar uppgift om slutbetyg</t>
  </si>
  <si>
    <t>Tabell 2b. Avgångna från grundskolans årskurs 9 vt2008 och deras övergång till gymnasieskolan efter bakgrundsvariabler</t>
  </si>
  <si>
    <t>Tabell 2c. Avgångna från grundskolans årskurs 9 vt2009 och deras övergång till gymnasieskolan efter bakgrundsvariabler</t>
  </si>
  <si>
    <t>Tabell 2d. Avgångna från grundskolans årskurs 9 vt2010 och deras övergång till gymnasieskolan efter bakgrundsvariabler</t>
  </si>
  <si>
    <t>Tabell 2e. Avgångna från grundskolans årskurs 9 vt2011 och deras övergång till gymnasieskolan efter bakgrundsvariabler</t>
  </si>
  <si>
    <t>Avgångna från grundskolan vt 2007</t>
  </si>
  <si>
    <t>Avgångna från grundskolan vt 2008</t>
  </si>
  <si>
    <t>Avgångna från grundskolan vt 2009</t>
  </si>
  <si>
    <t>Avgångna från grundskolan vt 2010</t>
  </si>
  <si>
    <t>Avgångna från grundskolan vt 2011</t>
  </si>
  <si>
    <t>Grupp</t>
  </si>
  <si>
    <t>Antal personer som ingår</t>
  </si>
  <si>
    <t>Antal personer som exkluderats</t>
  </si>
  <si>
    <t>Endast personer med fullständigt personnummer ingår i statistiken.</t>
  </si>
  <si>
    <t>Antal avgångna enligt Skolverket (SOS)</t>
  </si>
  <si>
    <t xml:space="preserve">Personer som ingår har kontrollerats för eventuellt personnummerbyte. En person som förekommer med två olika </t>
  </si>
  <si>
    <t xml:space="preserve">personnummer har bara räknats med en gång. Statistiken kan därför avvika något från den officiella statistik över </t>
  </si>
  <si>
    <t>övergång från grundskola till gymnasieskola samma år som publiceras av Skolverket.</t>
  </si>
  <si>
    <t>Övergång till gymnasieskolan höstterminen inom ett år</t>
  </si>
  <si>
    <t>Övergång till gymnasieskolan höstterminen inom två år</t>
  </si>
  <si>
    <t>Exklusive personer som inte varit folkbokförda två år efter de avgick från grundskolan</t>
  </si>
  <si>
    <t>Personnummerbyte</t>
  </si>
  <si>
    <t>Fullständiga personnummer</t>
  </si>
  <si>
    <t>Antal personer som inte ingår i kategorierna ovan.</t>
  </si>
  <si>
    <t>Inte påbörjat inom 2 år</t>
  </si>
  <si>
    <t>Invandrat efter skolstart men inte nyinvandrat</t>
  </si>
  <si>
    <t>Nyinvandrat</t>
  </si>
  <si>
    <t>Antal personer som ingår i statistiken</t>
  </si>
  <si>
    <t>Före juni 1998</t>
  </si>
  <si>
    <t>Juni 2003 eller senare</t>
  </si>
  <si>
    <t>Folkbokföringsdatum</t>
  </si>
  <si>
    <t>Före juni 1999</t>
  </si>
  <si>
    <t>Före juni 2000</t>
  </si>
  <si>
    <t>Före juni 2001</t>
  </si>
  <si>
    <t>Före juni 2002</t>
  </si>
  <si>
    <t>Juni 2004 eller senare</t>
  </si>
  <si>
    <t>Juni 2005 eller senare</t>
  </si>
  <si>
    <t>Juni 2006 eller senare</t>
  </si>
  <si>
    <t>Juni 2007 eller senare</t>
  </si>
  <si>
    <t>Juli 1998 eller senare men tidigare än juni 2003</t>
  </si>
  <si>
    <t>Juli 1999 eller senare men tidigare än juni 2004</t>
  </si>
  <si>
    <t>Juli 2000 eller senare men tidigare än juni 2005</t>
  </si>
  <si>
    <t>Juli 2001 eller senare men tidigare än juni 2006</t>
  </si>
  <si>
    <t>Juli 2002 eller senare men tidigare än juni 2007</t>
  </si>
  <si>
    <t>Invandrat före ordinarie skolstart</t>
  </si>
  <si>
    <t xml:space="preserve">Övergång till gymnasieskolan  </t>
  </si>
  <si>
    <t>DEFINITIONER OCH FÖRKLARINGAR</t>
  </si>
  <si>
    <t xml:space="preserve">Invandringsdatum beräknas utifrån folkbokföringsdatum. Eleven kan ha gått i svensk skola och varit registrerad med ett </t>
  </si>
  <si>
    <t>tillfälligt personnummer. Personer med tillfälliga personnummer har exkluderats från statistiken eftersom de inte kan följas över tid.</t>
  </si>
  <si>
    <t xml:space="preserve">Antal elever som har avslutat årskurs 9 och fått slutbetyg från det mål- och kunskapsrelaterade betygssystemet </t>
  </si>
  <si>
    <t>och som nått målen i samtliga ämnen eller i alla förutom ett ämne.</t>
  </si>
  <si>
    <t>Elever med slutbetyg som ej nått målen i två eller fler ämnen</t>
  </si>
  <si>
    <t xml:space="preserve">Antal elever som har avslutat årskurs 9 men som ej fått slutbetyg från det mål- och kunskapsrelaterade betygssystemet </t>
  </si>
  <si>
    <t>eller från andra bedömningssystem. Eleverna saknade betyg i alla ämnen.</t>
  </si>
  <si>
    <t>men som ej nått målen två eller fler ämnen. Godkända betyg i minst ett ämne.</t>
  </si>
  <si>
    <t>INNEHÅLLSFÖRTECKNING</t>
  </si>
  <si>
    <t>Tabell 1c. Avgångna från grundskolans årskurs 9 vt2007-vt2015 och deras övergång till gymnasieskolan, kvinnor, procent</t>
  </si>
  <si>
    <t>Tabell 1d. Avgångna från grundskolans årskurs 9 vt2007-vt2015 och deras övergång till gymnasieskolan, män, procent</t>
  </si>
  <si>
    <t xml:space="preserve">   Födda utomlands, invandrat före skolstart</t>
  </si>
  <si>
    <t xml:space="preserve">   Födda utomlands, invandrat efter skolstart, men inte nyinvandrad</t>
  </si>
  <si>
    <t xml:space="preserve">   Födda utomlands, nyinvandrad</t>
  </si>
  <si>
    <t>Tabell 2e. Avgångna från grundskolans årskurs 9 vt2008 och deras övergång till gymnasieskolan efter bakgrundsvariabler</t>
  </si>
  <si>
    <t>Definitioner och förklaringar</t>
  </si>
  <si>
    <t xml:space="preserve">Personer som avgått från grundskolan ett år och som har varit inskrivna på gymnasieskolan 15 oktober samma år </t>
  </si>
  <si>
    <t>(oavsett typ av program på gymnasieskolan). Exklusive personer som inte varit folkbokförda under året.</t>
  </si>
  <si>
    <t xml:space="preserve">Personer som avgått från grundskolan ett år och som har varit inskrivna på gymnasieskolan 15 oktober nästa år </t>
  </si>
  <si>
    <t>(oavsett typ av program på gymnasieskolan). Exklusive personer som inte varit folkbokförda året efter de avgick från grundskolan.</t>
  </si>
  <si>
    <t xml:space="preserve">Personer som avgått från grundskolan ett år och som har varit inskrivna på gymnasieskolan 15 oktober två år efter avgångsåret </t>
  </si>
  <si>
    <t>(oavsett typ av program på gymnasieskolan). Exklusive personer som inte varit folkbokförda två år efter de avgick från grundskolan</t>
  </si>
  <si>
    <t xml:space="preserve">Personer som avgått från grundskolan ett år har inte varit inskriven på gymnasieskolan 15 oktober samma år, ett eller två år senare. </t>
  </si>
  <si>
    <t>Födda i Sverige med minst en förälder som också är född i Sverige.</t>
  </si>
  <si>
    <t>Elever födda utomlands och elever födda i Sverige med båda föräldrarna födda utomlands.</t>
  </si>
  <si>
    <t>Minst en föräldrars högsta utbildning är genomgången folkskola/grundskola.</t>
  </si>
  <si>
    <t>Minst en förälders högsta utbildning är genomgången gymnasial utbildning.</t>
  </si>
  <si>
    <t>Minst en föräldrars högsta utbildning är eftergymnasial utbildning med minst 30 högskolepoäng.</t>
  </si>
  <si>
    <t>Båda föräldrar saknar uppgift om utbildningsnivå.</t>
  </si>
  <si>
    <t xml:space="preserve">Elever som inte har erhållit kunskapsrelaterade betyg eftersom de gått i internationella skolor eller på Waldorfskola </t>
  </si>
  <si>
    <t>samt elever som invandrat till Sverige och därför inte gått i svensk grundskola.</t>
  </si>
  <si>
    <t xml:space="preserve">För att en elev ska vara behörig till ett nationellt program i gymnasieskolan krävdes från till och med läsåret 2010/11 </t>
  </si>
  <si>
    <t xml:space="preserve">lägst betyget godkänt i ämnena svenska/svenska som andraspråk, engelska och matematik. Behörighetskraven </t>
  </si>
  <si>
    <t>behörighet enligt definitionen före 2011, även för elever som skulle påbörjat gymnasieskolan läsår 2011/12 eller senare.</t>
  </si>
  <si>
    <t>ändrades i den reformerade gymnasieskolan Gy 2011. Behörighet till gymnasieskolan avser dock här</t>
  </si>
  <si>
    <t>Population</t>
  </si>
  <si>
    <t>Populationen består av avgångna från grundskolans årskurs 9 läsåren 2006/07-2010/11.</t>
  </si>
  <si>
    <t>SCB Temarapport 2017:4 "Unga utanför? Så har det gått för 90-talister på arbetsmarknaden"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</si>
</sst>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#,##0;[Red]&quot;-&quot;#,##0"/>
    <numFmt numFmtId="165" formatCode="#,##0&quot; kr&quot;;[Red]&quot;-&quot;#,##0&quot; kr&quot;"/>
    <numFmt numFmtId="166" formatCode="0.0"/>
  </numFmts>
  <fonts count="40" x14ac:knownFonts="1">
    <font>
      <sz val="11"/>
      <color theme="1"/>
      <name val="Calibri"/>
      <family val="2"/>
      <scheme val="minor"/>
    </font>
    <font>
      <sz val="9"/>
      <name val="Helvetica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u/>
      <sz val="8.5"/>
      <color indexed="12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43" fontId="10" fillId="0" borderId="0" applyFont="0" applyFill="0" applyBorder="0" applyAlignment="0" applyProtection="0"/>
    <xf numFmtId="0" fontId="11" fillId="8" borderId="10" applyNumberFormat="0" applyFont="0" applyAlignment="0" applyProtection="0"/>
    <xf numFmtId="0" fontId="29" fillId="0" borderId="12"/>
    <xf numFmtId="0" fontId="31" fillId="33" borderId="0">
      <alignment horizontal="center"/>
    </xf>
    <xf numFmtId="0" fontId="35" fillId="34" borderId="12">
      <protection locked="0"/>
    </xf>
    <xf numFmtId="0" fontId="36" fillId="33" borderId="12">
      <alignment horizontal="left"/>
    </xf>
    <xf numFmtId="0" fontId="34" fillId="33" borderId="0">
      <alignment horizontal="left"/>
    </xf>
    <xf numFmtId="0" fontId="33" fillId="35" borderId="0">
      <alignment horizontal="right" vertical="top" textRotation="90" wrapText="1"/>
    </xf>
    <xf numFmtId="0" fontId="32" fillId="0" borderId="0" applyNumberFormat="0" applyFill="0" applyBorder="0" applyAlignment="0" applyProtection="0">
      <alignment vertical="top"/>
      <protection locked="0"/>
    </xf>
    <xf numFmtId="0" fontId="29" fillId="33" borderId="1">
      <alignment wrapText="1"/>
    </xf>
    <xf numFmtId="0" fontId="29" fillId="33" borderId="13">
      <alignment horizontal="center" wrapText="1"/>
    </xf>
    <xf numFmtId="0" fontId="10" fillId="0" borderId="0"/>
    <xf numFmtId="0" fontId="7" fillId="0" borderId="0"/>
    <xf numFmtId="0" fontId="11" fillId="0" borderId="0"/>
    <xf numFmtId="0" fontId="29" fillId="33" borderId="12"/>
    <xf numFmtId="0" fontId="30" fillId="33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1" applyFont="1"/>
    <xf numFmtId="0" fontId="6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horizontal="left" indent="1"/>
    </xf>
    <xf numFmtId="0" fontId="6" fillId="0" borderId="2" xfId="1" applyFont="1" applyBorder="1"/>
    <xf numFmtId="0" fontId="7" fillId="0" borderId="0" xfId="0" applyFont="1"/>
    <xf numFmtId="0" fontId="5" fillId="0" borderId="0" xfId="0" applyFont="1" applyBorder="1"/>
    <xf numFmtId="49" fontId="5" fillId="0" borderId="0" xfId="2" applyNumberFormat="1" applyFont="1" applyFill="1" applyBorder="1"/>
    <xf numFmtId="49" fontId="5" fillId="0" borderId="0" xfId="2" applyNumberFormat="1" applyFont="1" applyFill="1" applyBorder="1" applyAlignment="1">
      <alignment horizontal="left"/>
    </xf>
    <xf numFmtId="0" fontId="6" fillId="0" borderId="0" xfId="1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7" fillId="0" borderId="0" xfId="0" applyFont="1" applyBorder="1"/>
    <xf numFmtId="0" fontId="7" fillId="0" borderId="0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49" fontId="6" fillId="0" borderId="0" xfId="2" applyNumberFormat="1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left" indent="1"/>
    </xf>
    <xf numFmtId="0" fontId="8" fillId="0" borderId="0" xfId="1" applyFont="1"/>
    <xf numFmtId="166" fontId="6" fillId="0" borderId="0" xfId="1" applyNumberFormat="1" applyFont="1" applyBorder="1"/>
    <xf numFmtId="166" fontId="7" fillId="0" borderId="0" xfId="0" applyNumberFormat="1" applyFont="1"/>
    <xf numFmtId="166" fontId="7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/>
    <xf numFmtId="3" fontId="4" fillId="0" borderId="0" xfId="0" applyNumberFormat="1" applyFont="1" applyAlignment="1">
      <alignment horizontal="right"/>
    </xf>
    <xf numFmtId="3" fontId="6" fillId="0" borderId="0" xfId="1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3" fontId="7" fillId="0" borderId="2" xfId="0" applyNumberFormat="1" applyFont="1" applyBorder="1"/>
    <xf numFmtId="166" fontId="4" fillId="0" borderId="0" xfId="0" applyNumberFormat="1" applyFont="1"/>
    <xf numFmtId="3" fontId="5" fillId="0" borderId="0" xfId="1" applyNumberFormat="1" applyFont="1" applyBorder="1"/>
    <xf numFmtId="3" fontId="4" fillId="0" borderId="0" xfId="0" applyNumberFormat="1" applyFont="1"/>
    <xf numFmtId="3" fontId="7" fillId="0" borderId="2" xfId="0" applyNumberFormat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9" fillId="0" borderId="0" xfId="1" applyFont="1"/>
    <xf numFmtId="3" fontId="6" fillId="0" borderId="0" xfId="1" applyNumberFormat="1" applyFont="1"/>
    <xf numFmtId="3" fontId="7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8" fillId="0" borderId="0" xfId="1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3" fontId="7" fillId="0" borderId="2" xfId="0" applyNumberFormat="1" applyFont="1" applyBorder="1" applyAlignment="1"/>
    <xf numFmtId="3" fontId="7" fillId="0" borderId="0" xfId="0" applyNumberFormat="1" applyFont="1" applyBorder="1" applyAlignment="1"/>
    <xf numFmtId="3" fontId="7" fillId="0" borderId="0" xfId="0" applyNumberFormat="1" applyFont="1" applyAlignment="1"/>
    <xf numFmtId="0" fontId="5" fillId="0" borderId="0" xfId="1" applyFont="1" applyAlignment="1">
      <alignment horizontal="left" indent="1"/>
    </xf>
    <xf numFmtId="0" fontId="4" fillId="0" borderId="0" xfId="0" applyFont="1" applyAlignment="1">
      <alignment horizontal="left" indent="1"/>
    </xf>
    <xf numFmtId="49" fontId="5" fillId="0" borderId="0" xfId="2" applyNumberFormat="1" applyFont="1" applyFill="1" applyBorder="1" applyAlignment="1">
      <alignment horizontal="left" indent="1"/>
    </xf>
    <xf numFmtId="49" fontId="6" fillId="0" borderId="0" xfId="2" applyNumberFormat="1" applyFont="1" applyFill="1" applyBorder="1" applyAlignment="1">
      <alignment horizontal="left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right"/>
    </xf>
    <xf numFmtId="3" fontId="6" fillId="0" borderId="0" xfId="1" applyNumberFormat="1" applyFont="1" applyFill="1" applyBorder="1"/>
    <xf numFmtId="3" fontId="7" fillId="0" borderId="0" xfId="0" applyNumberFormat="1" applyFont="1" applyFill="1"/>
    <xf numFmtId="0" fontId="0" fillId="0" borderId="0" xfId="0" applyFont="1"/>
    <xf numFmtId="0" fontId="37" fillId="0" borderId="0" xfId="71" applyFont="1"/>
    <xf numFmtId="0" fontId="38" fillId="0" borderId="0" xfId="0" applyFont="1"/>
    <xf numFmtId="166" fontId="7" fillId="0" borderId="0" xfId="0" applyNumberFormat="1" applyFont="1" applyFill="1"/>
    <xf numFmtId="0" fontId="7" fillId="0" borderId="0" xfId="0" applyFont="1" applyFill="1"/>
    <xf numFmtId="0" fontId="7" fillId="0" borderId="14" xfId="0" applyFont="1" applyBorder="1" applyAlignment="1">
      <alignment horizontal="left" indent="1"/>
    </xf>
    <xf numFmtId="0" fontId="7" fillId="0" borderId="14" xfId="0" applyFont="1" applyBorder="1"/>
    <xf numFmtId="3" fontId="7" fillId="0" borderId="14" xfId="0" applyNumberFormat="1" applyFont="1" applyBorder="1" applyAlignment="1">
      <alignment horizontal="right"/>
    </xf>
    <xf numFmtId="3" fontId="7" fillId="0" borderId="14" xfId="0" applyNumberFormat="1" applyFont="1" applyBorder="1"/>
    <xf numFmtId="166" fontId="7" fillId="0" borderId="14" xfId="0" applyNumberFormat="1" applyFont="1" applyBorder="1"/>
    <xf numFmtId="0" fontId="7" fillId="0" borderId="0" xfId="0" applyFont="1" applyBorder="1" applyAlignment="1">
      <alignment horizontal="center"/>
    </xf>
    <xf numFmtId="1" fontId="6" fillId="0" borderId="2" xfId="1" applyNumberFormat="1" applyFont="1" applyBorder="1"/>
    <xf numFmtId="0" fontId="6" fillId="0" borderId="14" xfId="1" applyFont="1" applyBorder="1"/>
    <xf numFmtId="0" fontId="6" fillId="0" borderId="14" xfId="1" applyFont="1" applyBorder="1" applyAlignment="1">
      <alignment horizontal="left" indent="1"/>
    </xf>
    <xf numFmtId="3" fontId="6" fillId="0" borderId="14" xfId="1" applyNumberFormat="1" applyFont="1" applyBorder="1"/>
    <xf numFmtId="0" fontId="6" fillId="0" borderId="14" xfId="1" applyFont="1" applyBorder="1" applyAlignment="1">
      <alignment horizontal="left"/>
    </xf>
    <xf numFmtId="166" fontId="6" fillId="0" borderId="14" xfId="1" applyNumberFormat="1" applyFont="1" applyBorder="1"/>
    <xf numFmtId="0" fontId="37" fillId="0" borderId="0" xfId="71"/>
    <xf numFmtId="0" fontId="39" fillId="0" borderId="0" xfId="1" applyFont="1"/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72">
    <cellStyle name="20 % - Dekorfärg1" xfId="24" builtinId="30" customBuiltin="1"/>
    <cellStyle name="20 % - Dekorfärg2" xfId="28" builtinId="34" customBuiltin="1"/>
    <cellStyle name="20 % - Dekorfärg3" xfId="32" builtinId="38" customBuiltin="1"/>
    <cellStyle name="20 % - Dekorfärg4" xfId="36" builtinId="42" customBuiltin="1"/>
    <cellStyle name="20 % - Dekorfärg5" xfId="40" builtinId="46" customBuiltin="1"/>
    <cellStyle name="20 % - Dekorfärg6" xfId="44" builtinId="50" customBuiltin="1"/>
    <cellStyle name="40 % - Dekorfärg1" xfId="25" builtinId="31" customBuiltin="1"/>
    <cellStyle name="40 % - Dekorfärg2" xfId="29" builtinId="35" customBuiltin="1"/>
    <cellStyle name="40 % - Dekorfärg3" xfId="33" builtinId="39" customBuiltin="1"/>
    <cellStyle name="40 % - Dekorfärg4" xfId="37" builtinId="43" customBuiltin="1"/>
    <cellStyle name="40 % - Dekorfärg5" xfId="41" builtinId="47" customBuiltin="1"/>
    <cellStyle name="40 % - Dekorfärg6" xfId="45" builtinId="51" customBuiltin="1"/>
    <cellStyle name="60 % - Dekorfärg1" xfId="26" builtinId="32" customBuiltin="1"/>
    <cellStyle name="60 % - Dekorfärg2" xfId="30" builtinId="36" customBuiltin="1"/>
    <cellStyle name="60 % - Dekorfärg3" xfId="34" builtinId="40" customBuiltin="1"/>
    <cellStyle name="60 % - Dekorfärg4" xfId="38" builtinId="44" customBuiltin="1"/>
    <cellStyle name="60 % - Dekorfärg5" xfId="42" builtinId="48" customBuiltin="1"/>
    <cellStyle name="60 % - Dekorfärg6" xfId="46" builtinId="52" customBuiltin="1"/>
    <cellStyle name="Anteckning 2" xfId="48"/>
    <cellStyle name="Beräkning" xfId="17" builtinId="22" customBuiltin="1"/>
    <cellStyle name="Bra" xfId="12" builtinId="26" customBuiltin="1"/>
    <cellStyle name="cell" xfId="49"/>
    <cellStyle name="column" xfId="50"/>
    <cellStyle name="DataEntryCells" xfId="51"/>
    <cellStyle name="Dekorfärg1" xfId="23" builtinId="29" customBuiltin="1"/>
    <cellStyle name="Dekorfärg2" xfId="27" builtinId="33" customBuiltin="1"/>
    <cellStyle name="Dekorfärg3" xfId="31" builtinId="37" customBuiltin="1"/>
    <cellStyle name="Dekorfärg4" xfId="35" builtinId="41" customBuiltin="1"/>
    <cellStyle name="Dekorfärg5" xfId="39" builtinId="45" customBuiltin="1"/>
    <cellStyle name="Dekorfärg6" xfId="43" builtinId="49" customBuiltin="1"/>
    <cellStyle name="Dålig" xfId="13" builtinId="27" customBuiltin="1"/>
    <cellStyle name="formula" xfId="52"/>
    <cellStyle name="Förklarande text" xfId="21" builtinId="53" customBuiltin="1"/>
    <cellStyle name="gap" xfId="53"/>
    <cellStyle name="GreyBackground" xfId="54"/>
    <cellStyle name="Hyperlänk" xfId="71" builtinId="8"/>
    <cellStyle name="Hyperlänk 2" xfId="55"/>
    <cellStyle name="Indata" xfId="15" builtinId="20" customBuiltin="1"/>
    <cellStyle name="Kontrollcell" xfId="19" builtinId="23" customBuiltin="1"/>
    <cellStyle name="level1a" xfId="56"/>
    <cellStyle name="level3" xfId="57"/>
    <cellStyle name="Länkad cell" xfId="18" builtinId="24" customBuiltin="1"/>
    <cellStyle name="Neutral" xfId="14" builtinId="28" customBuiltin="1"/>
    <cellStyle name="Normal" xfId="0" builtinId="0"/>
    <cellStyle name="Normal 2" xfId="1"/>
    <cellStyle name="Normal 2 2" xfId="58"/>
    <cellStyle name="Normal 3" xfId="5"/>
    <cellStyle name="Normal 3 2" xfId="59"/>
    <cellStyle name="Normal 4" xfId="60"/>
    <cellStyle name="Normal_1.16 2" xfId="2"/>
    <cellStyle name="row" xfId="61"/>
    <cellStyle name="Rubrik" xfId="7" builtinId="15" customBuiltin="1"/>
    <cellStyle name="Rubrik 1" xfId="8" builtinId="16" customBuiltin="1"/>
    <cellStyle name="Rubrik 2" xfId="9" builtinId="17" customBuiltin="1"/>
    <cellStyle name="Rubrik 3" xfId="10" builtinId="18" customBuiltin="1"/>
    <cellStyle name="Rubrik 4" xfId="11" builtinId="19" customBuiltin="1"/>
    <cellStyle name="Summa" xfId="22" builtinId="25" customBuiltin="1"/>
    <cellStyle name="title1" xfId="62"/>
    <cellStyle name="Tusental (0)_1.16" xfId="3"/>
    <cellStyle name="Tusental 10" xfId="70"/>
    <cellStyle name="Tusental 2" xfId="6"/>
    <cellStyle name="Tusental 2 2" xfId="64"/>
    <cellStyle name="Tusental 3" xfId="47"/>
    <cellStyle name="Tusental 4" xfId="63"/>
    <cellStyle name="Tusental 5" xfId="66"/>
    <cellStyle name="Tusental 6" xfId="68"/>
    <cellStyle name="Tusental 7" xfId="65"/>
    <cellStyle name="Tusental 8" xfId="67"/>
    <cellStyle name="Tusental 9" xfId="69"/>
    <cellStyle name="Utdata" xfId="16" builtinId="21" customBuiltin="1"/>
    <cellStyle name="Valuta (0)_1.16" xfId="4"/>
    <cellStyle name="Varningstext" xfId="2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/>
  </sheetViews>
  <sheetFormatPr defaultRowHeight="14.4" x14ac:dyDescent="0.3"/>
  <sheetData>
    <row r="1" spans="1:1" ht="18" x14ac:dyDescent="0.35">
      <c r="A1" s="85" t="s">
        <v>120</v>
      </c>
    </row>
    <row r="3" spans="1:1" x14ac:dyDescent="0.3">
      <c r="A3" s="44" t="s">
        <v>91</v>
      </c>
    </row>
    <row r="4" spans="1:1" x14ac:dyDescent="0.3">
      <c r="A4" s="67"/>
    </row>
    <row r="5" spans="1:1" x14ac:dyDescent="0.3">
      <c r="A5" s="68" t="s">
        <v>21</v>
      </c>
    </row>
    <row r="6" spans="1:1" x14ac:dyDescent="0.3">
      <c r="A6" s="68" t="s">
        <v>22</v>
      </c>
    </row>
    <row r="7" spans="1:1" x14ac:dyDescent="0.3">
      <c r="A7" s="68" t="s">
        <v>92</v>
      </c>
    </row>
    <row r="8" spans="1:1" x14ac:dyDescent="0.3">
      <c r="A8" s="68" t="s">
        <v>93</v>
      </c>
    </row>
    <row r="9" spans="1:1" x14ac:dyDescent="0.3">
      <c r="A9" s="69"/>
    </row>
    <row r="10" spans="1:1" x14ac:dyDescent="0.3">
      <c r="A10" s="84" t="s">
        <v>25</v>
      </c>
    </row>
    <row r="11" spans="1:1" x14ac:dyDescent="0.3">
      <c r="A11" s="84" t="s">
        <v>37</v>
      </c>
    </row>
    <row r="12" spans="1:1" x14ac:dyDescent="0.3">
      <c r="A12" s="84" t="s">
        <v>38</v>
      </c>
    </row>
    <row r="13" spans="1:1" x14ac:dyDescent="0.3">
      <c r="A13" s="84" t="s">
        <v>39</v>
      </c>
    </row>
    <row r="14" spans="1:1" x14ac:dyDescent="0.3">
      <c r="A14" s="84" t="s">
        <v>40</v>
      </c>
    </row>
    <row r="15" spans="1:1" x14ac:dyDescent="0.3">
      <c r="A15" s="67"/>
    </row>
    <row r="16" spans="1:1" x14ac:dyDescent="0.3">
      <c r="A16" s="84" t="s">
        <v>98</v>
      </c>
    </row>
  </sheetData>
  <hyperlinks>
    <hyperlink ref="A5" location="'Tab 1a-d'!A1" display="Tabell 1a. Antal avgångna från grundskolans årskurs 9 vt2007-vt2015 och deras övergång till gymnasieskolan efter kön"/>
    <hyperlink ref="A6" location="'Tab 1a-d'!A1" display="Tabell 1b. Avgångna från grundskolans årskurs 9 vt2007-vt2015 och deras övergång till gymnasieskolan, totalt, procent"/>
    <hyperlink ref="A7" location="'Tab 1a-d'!A1" display="Tabell 1c. Avgångna från grundskolans årskurs 9 vt2007-vt2015 och deras övergång till gymnasieskolan, kvinnor, procent"/>
    <hyperlink ref="A8" location="'Tab 1a-d'!A1" display="Tabell 1d. Avgångna från grundskolans årskurs 9 vt2007-vt2015 och deras övergång till gymnasieskolan, män, procent"/>
    <hyperlink ref="A10" location="'Tab 2a'!A1" display="Tabell 2a. Avgångna från grundskolans årskurs 9 vt2007 och deras övergång till gymnasieskolan efter bakgrundsvariabler"/>
    <hyperlink ref="A11" location="'Tab 2b'!A1" display="Tabell 2b. Avgångna från grundskolans årskurs 9 vt2008 och deras övergång till gymnasieskolan efter bakgrundsvariabler"/>
    <hyperlink ref="A12" location="'Tab 2c'!A1" display="Tabell 2c. Avgångna från grundskolans årskurs 9 vt2009 och deras övergång till gymnasieskolan efter bakgrundsvariabler"/>
    <hyperlink ref="A13" location="'Tab 2d'!A1" display="Tabell 2d. Avgångna från grundskolans årskurs 9 vt2010 och deras övergång till gymnasieskolan efter bakgrundsvariabler"/>
    <hyperlink ref="A14" location="'Tab 2e'!A1" display="Tabell 2e. Avgångna från grundskolans årskurs 9 vt2011 och deras övergång till gymnasieskolan efter bakgrundsvariabler"/>
    <hyperlink ref="A16" location="'Definitioner och förklaringar'!A1" display="Definitioner och förklaringar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workbookViewId="0"/>
  </sheetViews>
  <sheetFormatPr defaultColWidth="9.109375" defaultRowHeight="13.8" x14ac:dyDescent="0.3"/>
  <cols>
    <col min="1" max="1" width="44.6640625" style="4" customWidth="1"/>
    <col min="2" max="16384" width="9.109375" style="4"/>
  </cols>
  <sheetData>
    <row r="1" spans="1:6" x14ac:dyDescent="0.3">
      <c r="A1" s="3" t="s">
        <v>21</v>
      </c>
    </row>
    <row r="2" spans="1:6" ht="14.4" thickBot="1" x14ac:dyDescent="0.35">
      <c r="A2" s="79"/>
      <c r="B2" s="79"/>
      <c r="C2" s="79"/>
      <c r="D2" s="79"/>
      <c r="E2" s="79"/>
      <c r="F2" s="79"/>
    </row>
    <row r="3" spans="1:6" ht="15" customHeight="1" x14ac:dyDescent="0.3">
      <c r="A3" s="7"/>
      <c r="B3" s="78">
        <v>2007</v>
      </c>
      <c r="C3" s="78">
        <v>2008</v>
      </c>
      <c r="D3" s="78">
        <v>2009</v>
      </c>
      <c r="E3" s="78">
        <v>2010</v>
      </c>
      <c r="F3" s="78">
        <v>2011</v>
      </c>
    </row>
    <row r="4" spans="1:6" s="3" customFormat="1" x14ac:dyDescent="0.3">
      <c r="A4" s="5" t="s">
        <v>1</v>
      </c>
      <c r="B4" s="36">
        <f>SUM(B5:B6)</f>
        <v>125464</v>
      </c>
      <c r="C4" s="36">
        <f t="shared" ref="C4:F4" si="0">SUM(C5:C6)</f>
        <v>123120</v>
      </c>
      <c r="D4" s="36">
        <f t="shared" si="0"/>
        <v>118814</v>
      </c>
      <c r="E4" s="36">
        <f t="shared" si="0"/>
        <v>114264</v>
      </c>
      <c r="F4" s="36">
        <f t="shared" si="0"/>
        <v>106878</v>
      </c>
    </row>
    <row r="5" spans="1:6" s="3" customFormat="1" x14ac:dyDescent="0.3">
      <c r="A5" s="6" t="s">
        <v>32</v>
      </c>
      <c r="B5" s="31">
        <v>60793</v>
      </c>
      <c r="C5" s="31">
        <v>60069</v>
      </c>
      <c r="D5" s="31">
        <v>58079</v>
      </c>
      <c r="E5" s="31">
        <v>55980</v>
      </c>
      <c r="F5" s="31">
        <v>51941</v>
      </c>
    </row>
    <row r="6" spans="1:6" s="3" customFormat="1" x14ac:dyDescent="0.3">
      <c r="A6" s="6" t="s">
        <v>33</v>
      </c>
      <c r="B6" s="31">
        <v>64671</v>
      </c>
      <c r="C6" s="31">
        <v>63051</v>
      </c>
      <c r="D6" s="31">
        <v>60735</v>
      </c>
      <c r="E6" s="31">
        <v>58284</v>
      </c>
      <c r="F6" s="31">
        <v>54937</v>
      </c>
    </row>
    <row r="7" spans="1:6" s="3" customFormat="1" x14ac:dyDescent="0.3">
      <c r="A7" s="39" t="s">
        <v>2</v>
      </c>
      <c r="B7" s="36">
        <f>SUM(B8:B9)</f>
        <v>123578</v>
      </c>
      <c r="C7" s="36">
        <f t="shared" ref="C7:F7" si="1">SUM(C8:C9)</f>
        <v>121336</v>
      </c>
      <c r="D7" s="36">
        <f t="shared" si="1"/>
        <v>117278</v>
      </c>
      <c r="E7" s="36">
        <f t="shared" si="1"/>
        <v>112668</v>
      </c>
      <c r="F7" s="36">
        <f t="shared" si="1"/>
        <v>105155</v>
      </c>
    </row>
    <row r="8" spans="1:6" x14ac:dyDescent="0.3">
      <c r="A8" s="6" t="s">
        <v>32</v>
      </c>
      <c r="B8" s="41">
        <v>59983</v>
      </c>
      <c r="C8" s="31">
        <v>59280</v>
      </c>
      <c r="D8" s="41">
        <v>57357</v>
      </c>
      <c r="E8" s="41">
        <v>55240</v>
      </c>
      <c r="F8" s="41">
        <v>51172</v>
      </c>
    </row>
    <row r="9" spans="1:6" x14ac:dyDescent="0.3">
      <c r="A9" s="6" t="s">
        <v>33</v>
      </c>
      <c r="B9" s="41">
        <v>63595</v>
      </c>
      <c r="C9" s="31">
        <v>62056</v>
      </c>
      <c r="D9" s="41">
        <v>59921</v>
      </c>
      <c r="E9" s="41">
        <v>57428</v>
      </c>
      <c r="F9" s="41">
        <v>53983</v>
      </c>
    </row>
    <row r="10" spans="1:6" s="3" customFormat="1" x14ac:dyDescent="0.3">
      <c r="A10" s="39" t="s">
        <v>3</v>
      </c>
      <c r="B10" s="36">
        <f t="shared" ref="B10:F10" si="2">SUM(B11:B12)</f>
        <v>921</v>
      </c>
      <c r="C10" s="36">
        <f t="shared" si="2"/>
        <v>893</v>
      </c>
      <c r="D10" s="36">
        <f t="shared" si="2"/>
        <v>784</v>
      </c>
      <c r="E10" s="36">
        <f t="shared" si="2"/>
        <v>817</v>
      </c>
      <c r="F10" s="36">
        <f t="shared" si="2"/>
        <v>1007</v>
      </c>
    </row>
    <row r="11" spans="1:6" x14ac:dyDescent="0.3">
      <c r="A11" s="6" t="s">
        <v>32</v>
      </c>
      <c r="B11" s="41">
        <v>426</v>
      </c>
      <c r="C11" s="41">
        <v>419</v>
      </c>
      <c r="D11" s="41">
        <v>397</v>
      </c>
      <c r="E11" s="41">
        <v>390</v>
      </c>
      <c r="F11" s="41">
        <v>471</v>
      </c>
    </row>
    <row r="12" spans="1:6" ht="15" customHeight="1" x14ac:dyDescent="0.3">
      <c r="A12" s="6" t="s">
        <v>33</v>
      </c>
      <c r="B12" s="41">
        <v>495</v>
      </c>
      <c r="C12" s="41">
        <v>474</v>
      </c>
      <c r="D12" s="41">
        <v>387</v>
      </c>
      <c r="E12" s="41">
        <v>427</v>
      </c>
      <c r="F12" s="41">
        <v>536</v>
      </c>
    </row>
    <row r="13" spans="1:6" s="3" customFormat="1" x14ac:dyDescent="0.3">
      <c r="A13" s="39" t="s">
        <v>24</v>
      </c>
      <c r="B13" s="36">
        <f t="shared" ref="B13:F13" si="3">SUM(B14:B15)</f>
        <v>86</v>
      </c>
      <c r="C13" s="36">
        <f t="shared" si="3"/>
        <v>85</v>
      </c>
      <c r="D13" s="36">
        <f t="shared" si="3"/>
        <v>80</v>
      </c>
      <c r="E13" s="36">
        <f t="shared" si="3"/>
        <v>85</v>
      </c>
      <c r="F13" s="36">
        <f t="shared" si="3"/>
        <v>65</v>
      </c>
    </row>
    <row r="14" spans="1:6" x14ac:dyDescent="0.3">
      <c r="A14" s="6" t="s">
        <v>32</v>
      </c>
      <c r="B14" s="41">
        <v>45</v>
      </c>
      <c r="C14" s="41">
        <v>47</v>
      </c>
      <c r="D14" s="41">
        <v>33</v>
      </c>
      <c r="E14" s="41">
        <v>43</v>
      </c>
      <c r="F14" s="41">
        <v>32</v>
      </c>
    </row>
    <row r="15" spans="1:6" x14ac:dyDescent="0.3">
      <c r="A15" s="6" t="s">
        <v>33</v>
      </c>
      <c r="B15" s="41">
        <v>41</v>
      </c>
      <c r="C15" s="41">
        <v>38</v>
      </c>
      <c r="D15" s="41">
        <v>47</v>
      </c>
      <c r="E15" s="41">
        <v>42</v>
      </c>
      <c r="F15" s="41">
        <v>33</v>
      </c>
    </row>
    <row r="16" spans="1:6" s="3" customFormat="1" x14ac:dyDescent="0.3">
      <c r="A16" s="39" t="s">
        <v>23</v>
      </c>
      <c r="B16" s="36">
        <f t="shared" ref="B16:F16" si="4">SUM(B17:B18)</f>
        <v>672</v>
      </c>
      <c r="C16" s="36">
        <f t="shared" si="4"/>
        <v>602</v>
      </c>
      <c r="D16" s="36">
        <f t="shared" si="4"/>
        <v>477</v>
      </c>
      <c r="E16" s="36">
        <f t="shared" si="4"/>
        <v>460</v>
      </c>
      <c r="F16" s="36">
        <f t="shared" si="4"/>
        <v>461</v>
      </c>
    </row>
    <row r="17" spans="1:6" x14ac:dyDescent="0.3">
      <c r="A17" s="6" t="s">
        <v>32</v>
      </c>
      <c r="B17" s="31">
        <v>242</v>
      </c>
      <c r="C17" s="41">
        <v>221</v>
      </c>
      <c r="D17" s="41">
        <v>183</v>
      </c>
      <c r="E17" s="41">
        <v>195</v>
      </c>
      <c r="F17" s="41">
        <v>175</v>
      </c>
    </row>
    <row r="18" spans="1:6" x14ac:dyDescent="0.3">
      <c r="A18" s="6" t="s">
        <v>33</v>
      </c>
      <c r="B18" s="31">
        <v>430</v>
      </c>
      <c r="C18" s="31">
        <v>381</v>
      </c>
      <c r="D18" s="31">
        <v>294</v>
      </c>
      <c r="E18" s="31">
        <v>265</v>
      </c>
      <c r="F18" s="31">
        <v>286</v>
      </c>
    </row>
    <row r="19" spans="1:6" s="40" customFormat="1" x14ac:dyDescent="0.3">
      <c r="A19" s="5" t="s">
        <v>27</v>
      </c>
      <c r="B19" s="36">
        <f t="shared" ref="B19:F19" si="5">SUM(B20:B21)</f>
        <v>207</v>
      </c>
      <c r="C19" s="36">
        <f t="shared" si="5"/>
        <v>204</v>
      </c>
      <c r="D19" s="36">
        <f t="shared" si="5"/>
        <v>195</v>
      </c>
      <c r="E19" s="36">
        <f t="shared" si="5"/>
        <v>234</v>
      </c>
      <c r="F19" s="36">
        <f t="shared" si="5"/>
        <v>190</v>
      </c>
    </row>
    <row r="20" spans="1:6" s="22" customFormat="1" x14ac:dyDescent="0.3">
      <c r="A20" s="6" t="s">
        <v>32</v>
      </c>
      <c r="B20" s="31">
        <f>B5-B8-B11-B14-B17</f>
        <v>97</v>
      </c>
      <c r="C20" s="31">
        <f t="shared" ref="C20:F20" si="6">C5-C8-C11-C14-C17</f>
        <v>102</v>
      </c>
      <c r="D20" s="31">
        <f t="shared" si="6"/>
        <v>109</v>
      </c>
      <c r="E20" s="31">
        <f t="shared" si="6"/>
        <v>112</v>
      </c>
      <c r="F20" s="31">
        <f t="shared" si="6"/>
        <v>91</v>
      </c>
    </row>
    <row r="21" spans="1:6" s="22" customFormat="1" ht="14.4" thickBot="1" x14ac:dyDescent="0.35">
      <c r="A21" s="80" t="s">
        <v>33</v>
      </c>
      <c r="B21" s="81">
        <f>B6-B9-B12-B15-B18</f>
        <v>110</v>
      </c>
      <c r="C21" s="81">
        <f t="shared" ref="C21:F21" si="7">C6-C9-C12-C15-C18</f>
        <v>102</v>
      </c>
      <c r="D21" s="81">
        <f t="shared" si="7"/>
        <v>86</v>
      </c>
      <c r="E21" s="81">
        <f t="shared" si="7"/>
        <v>122</v>
      </c>
      <c r="F21" s="81">
        <f t="shared" si="7"/>
        <v>99</v>
      </c>
    </row>
    <row r="23" spans="1:6" x14ac:dyDescent="0.3">
      <c r="A23" s="3" t="s">
        <v>22</v>
      </c>
    </row>
    <row r="24" spans="1:6" ht="14.4" thickBot="1" x14ac:dyDescent="0.35">
      <c r="A24" s="79"/>
      <c r="B24" s="79"/>
      <c r="C24" s="79"/>
      <c r="D24" s="79"/>
      <c r="E24" s="79"/>
      <c r="F24" s="79"/>
    </row>
    <row r="25" spans="1:6" x14ac:dyDescent="0.3">
      <c r="A25" s="7"/>
      <c r="B25" s="78">
        <v>2007</v>
      </c>
      <c r="C25" s="78">
        <v>2008</v>
      </c>
      <c r="D25" s="78">
        <v>2009</v>
      </c>
      <c r="E25" s="78">
        <v>2010</v>
      </c>
      <c r="F25" s="78">
        <v>2011</v>
      </c>
    </row>
    <row r="26" spans="1:6" x14ac:dyDescent="0.3">
      <c r="A26" s="5" t="s">
        <v>20</v>
      </c>
      <c r="B26" s="36">
        <v>125464</v>
      </c>
      <c r="C26" s="36">
        <v>123120</v>
      </c>
      <c r="D26" s="36">
        <v>118814</v>
      </c>
      <c r="E26" s="36">
        <v>114264</v>
      </c>
      <c r="F26" s="36">
        <v>106878</v>
      </c>
    </row>
    <row r="27" spans="1:6" x14ac:dyDescent="0.3">
      <c r="A27" s="12" t="s">
        <v>2</v>
      </c>
      <c r="B27" s="23">
        <f t="shared" ref="B27:F27" si="8">((B8+B9)*100)/(B5+B6)</f>
        <v>98.496779952815146</v>
      </c>
      <c r="C27" s="23">
        <f t="shared" si="8"/>
        <v>98.551007147498382</v>
      </c>
      <c r="D27" s="23">
        <f t="shared" si="8"/>
        <v>98.707223054522188</v>
      </c>
      <c r="E27" s="23">
        <f t="shared" si="8"/>
        <v>98.603234614576763</v>
      </c>
      <c r="F27" s="23">
        <f t="shared" si="8"/>
        <v>98.387881509758785</v>
      </c>
    </row>
    <row r="28" spans="1:6" x14ac:dyDescent="0.3">
      <c r="A28" s="12" t="s">
        <v>3</v>
      </c>
      <c r="B28" s="23">
        <f t="shared" ref="B28:F28" si="9">((B11+B12)*100)/(B5+B6)</f>
        <v>0.73407511317987628</v>
      </c>
      <c r="C28" s="23">
        <f t="shared" si="9"/>
        <v>0.72530864197530864</v>
      </c>
      <c r="D28" s="23">
        <f t="shared" si="9"/>
        <v>0.65985489925429663</v>
      </c>
      <c r="E28" s="23">
        <f t="shared" si="9"/>
        <v>0.71501085206189174</v>
      </c>
      <c r="F28" s="23">
        <f t="shared" si="9"/>
        <v>0.94219577462153115</v>
      </c>
    </row>
    <row r="29" spans="1:6" x14ac:dyDescent="0.3">
      <c r="A29" s="12" t="s">
        <v>24</v>
      </c>
      <c r="B29" s="23">
        <f t="shared" ref="B29:F29" si="10">((B14+B15)*100)/(B5+B6)</f>
        <v>6.8545558885417329E-2</v>
      </c>
      <c r="C29" s="23">
        <f t="shared" si="10"/>
        <v>6.9038336582196227E-2</v>
      </c>
      <c r="D29" s="23">
        <f t="shared" si="10"/>
        <v>6.7332132576969045E-2</v>
      </c>
      <c r="E29" s="23">
        <f t="shared" si="10"/>
        <v>7.4389133935447729E-2</v>
      </c>
      <c r="F29" s="23">
        <f t="shared" si="10"/>
        <v>6.0817006306255729E-2</v>
      </c>
    </row>
    <row r="30" spans="1:6" x14ac:dyDescent="0.3">
      <c r="A30" s="12" t="s">
        <v>23</v>
      </c>
      <c r="B30" s="23">
        <f t="shared" ref="B30:F30" si="11">((B17+B18)*100)/(B5+B6)</f>
        <v>0.53561180896512151</v>
      </c>
      <c r="C30" s="23">
        <f t="shared" si="11"/>
        <v>0.4889538661468486</v>
      </c>
      <c r="D30" s="23">
        <f t="shared" si="11"/>
        <v>0.40146784049017792</v>
      </c>
      <c r="E30" s="23">
        <f t="shared" si="11"/>
        <v>0.40257648953301128</v>
      </c>
      <c r="F30" s="23">
        <f t="shared" si="11"/>
        <v>0.43133292164898296</v>
      </c>
    </row>
    <row r="31" spans="1:6" ht="14.4" thickBot="1" x14ac:dyDescent="0.35">
      <c r="A31" s="82" t="s">
        <v>27</v>
      </c>
      <c r="B31" s="83">
        <f t="shared" ref="B31:F31" si="12">((B20+B21)*100)/(B5+B6)</f>
        <v>0.16498756615443474</v>
      </c>
      <c r="C31" s="83">
        <f t="shared" si="12"/>
        <v>0.16569200779727095</v>
      </c>
      <c r="D31" s="83">
        <f t="shared" si="12"/>
        <v>0.16412207315636204</v>
      </c>
      <c r="E31" s="83">
        <f t="shared" si="12"/>
        <v>0.20478890989287965</v>
      </c>
      <c r="F31" s="83">
        <f t="shared" si="12"/>
        <v>0.17777278766443982</v>
      </c>
    </row>
    <row r="33" spans="1:6" x14ac:dyDescent="0.3">
      <c r="A33" s="3" t="s">
        <v>92</v>
      </c>
    </row>
    <row r="34" spans="1:6" ht="14.4" thickBot="1" x14ac:dyDescent="0.35">
      <c r="A34" s="79"/>
      <c r="B34" s="79"/>
      <c r="C34" s="79"/>
      <c r="D34" s="79"/>
      <c r="E34" s="79"/>
      <c r="F34" s="79"/>
    </row>
    <row r="35" spans="1:6" x14ac:dyDescent="0.3">
      <c r="A35" s="7"/>
      <c r="B35" s="78">
        <v>2007</v>
      </c>
      <c r="C35" s="78">
        <v>2008</v>
      </c>
      <c r="D35" s="78">
        <v>2009</v>
      </c>
      <c r="E35" s="78">
        <v>2010</v>
      </c>
      <c r="F35" s="78">
        <v>2011</v>
      </c>
    </row>
    <row r="36" spans="1:6" s="3" customFormat="1" x14ac:dyDescent="0.3">
      <c r="A36" s="5" t="s">
        <v>20</v>
      </c>
      <c r="B36" s="36">
        <v>60793</v>
      </c>
      <c r="C36" s="36">
        <v>60069</v>
      </c>
      <c r="D36" s="36">
        <v>58079</v>
      </c>
      <c r="E36" s="36">
        <v>55980</v>
      </c>
      <c r="F36" s="36">
        <v>51941</v>
      </c>
    </row>
    <row r="37" spans="1:6" x14ac:dyDescent="0.3">
      <c r="A37" s="12" t="s">
        <v>2</v>
      </c>
      <c r="B37" s="23">
        <f t="shared" ref="B37:F37" si="13">B8*100/B5</f>
        <v>98.667609757702365</v>
      </c>
      <c r="C37" s="23">
        <f t="shared" si="13"/>
        <v>98.686510512910147</v>
      </c>
      <c r="D37" s="23">
        <f t="shared" si="13"/>
        <v>98.756865648513227</v>
      </c>
      <c r="E37" s="23">
        <f t="shared" si="13"/>
        <v>98.678099321186139</v>
      </c>
      <c r="F37" s="23">
        <f t="shared" si="13"/>
        <v>98.519474018598018</v>
      </c>
    </row>
    <row r="38" spans="1:6" x14ac:dyDescent="0.3">
      <c r="A38" s="12" t="s">
        <v>3</v>
      </c>
      <c r="B38" s="23">
        <f t="shared" ref="B38:F38" si="14">B11*100/B5</f>
        <v>0.7007385718750514</v>
      </c>
      <c r="C38" s="23">
        <f t="shared" si="14"/>
        <v>0.69753117248497565</v>
      </c>
      <c r="D38" s="23">
        <f t="shared" si="14"/>
        <v>0.68355171404466331</v>
      </c>
      <c r="E38" s="23">
        <f t="shared" si="14"/>
        <v>0.69667738478027863</v>
      </c>
      <c r="F38" s="23">
        <f t="shared" si="14"/>
        <v>0.906798097841782</v>
      </c>
    </row>
    <row r="39" spans="1:6" x14ac:dyDescent="0.3">
      <c r="A39" s="12" t="s">
        <v>24</v>
      </c>
      <c r="B39" s="23">
        <f t="shared" ref="B39:F39" si="15">B14*100/B5</f>
        <v>7.4021680127646275E-2</v>
      </c>
      <c r="C39" s="23">
        <f t="shared" si="15"/>
        <v>7.8243353476834976E-2</v>
      </c>
      <c r="D39" s="23">
        <f t="shared" si="15"/>
        <v>5.6819160109506016E-2</v>
      </c>
      <c r="E39" s="23">
        <f t="shared" si="15"/>
        <v>7.6813147552697386E-2</v>
      </c>
      <c r="F39" s="23">
        <f t="shared" si="15"/>
        <v>6.1608363335322769E-2</v>
      </c>
    </row>
    <row r="40" spans="1:6" x14ac:dyDescent="0.3">
      <c r="A40" s="12" t="s">
        <v>23</v>
      </c>
      <c r="B40" s="23">
        <f t="shared" ref="B40:F40" si="16">B17*100/B5</f>
        <v>0.39807214646423106</v>
      </c>
      <c r="C40" s="23">
        <f t="shared" si="16"/>
        <v>0.36791023656128785</v>
      </c>
      <c r="D40" s="23">
        <f t="shared" si="16"/>
        <v>0.31508806969816971</v>
      </c>
      <c r="E40" s="23">
        <f t="shared" si="16"/>
        <v>0.34833869239013932</v>
      </c>
      <c r="F40" s="23">
        <f t="shared" si="16"/>
        <v>0.33692073699004638</v>
      </c>
    </row>
    <row r="41" spans="1:6" ht="14.4" thickBot="1" x14ac:dyDescent="0.35">
      <c r="A41" s="82" t="s">
        <v>27</v>
      </c>
      <c r="B41" s="83">
        <f t="shared" ref="B41:F41" si="17">B20*100/B5</f>
        <v>0.1595578438307042</v>
      </c>
      <c r="C41" s="83">
        <f t="shared" si="17"/>
        <v>0.16980472456674825</v>
      </c>
      <c r="D41" s="83">
        <f t="shared" si="17"/>
        <v>0.18767540763442897</v>
      </c>
      <c r="E41" s="83">
        <f t="shared" si="17"/>
        <v>0.2000714540907467</v>
      </c>
      <c r="F41" s="83">
        <f t="shared" si="17"/>
        <v>0.17519878323482413</v>
      </c>
    </row>
    <row r="43" spans="1:6" x14ac:dyDescent="0.3">
      <c r="A43" s="3" t="s">
        <v>93</v>
      </c>
    </row>
    <row r="44" spans="1:6" ht="14.4" thickBot="1" x14ac:dyDescent="0.35">
      <c r="A44" s="79"/>
      <c r="B44" s="79"/>
      <c r="C44" s="79"/>
      <c r="D44" s="79"/>
      <c r="E44" s="79"/>
      <c r="F44" s="79"/>
    </row>
    <row r="45" spans="1:6" x14ac:dyDescent="0.3">
      <c r="A45" s="7"/>
      <c r="B45" s="78">
        <v>2007</v>
      </c>
      <c r="C45" s="78">
        <v>2008</v>
      </c>
      <c r="D45" s="78">
        <v>2009</v>
      </c>
      <c r="E45" s="78">
        <v>2010</v>
      </c>
      <c r="F45" s="78">
        <v>2011</v>
      </c>
    </row>
    <row r="46" spans="1:6" s="3" customFormat="1" x14ac:dyDescent="0.3">
      <c r="A46" s="5" t="s">
        <v>20</v>
      </c>
      <c r="B46" s="36">
        <v>64671</v>
      </c>
      <c r="C46" s="36">
        <v>63051</v>
      </c>
      <c r="D46" s="36">
        <v>60735</v>
      </c>
      <c r="E46" s="36">
        <v>58284</v>
      </c>
      <c r="F46" s="36">
        <v>54937</v>
      </c>
    </row>
    <row r="47" spans="1:6" x14ac:dyDescent="0.3">
      <c r="A47" s="12" t="s">
        <v>2</v>
      </c>
      <c r="B47" s="23">
        <f t="shared" ref="B47:F47" si="18">B9*100/B6</f>
        <v>98.336193966383689</v>
      </c>
      <c r="C47" s="23">
        <f t="shared" si="18"/>
        <v>98.421912420104363</v>
      </c>
      <c r="D47" s="23">
        <f t="shared" si="18"/>
        <v>98.659751378941309</v>
      </c>
      <c r="E47" s="23">
        <f t="shared" si="18"/>
        <v>98.531329352824102</v>
      </c>
      <c r="F47" s="23">
        <f t="shared" si="18"/>
        <v>98.263465424031168</v>
      </c>
    </row>
    <row r="48" spans="1:6" x14ac:dyDescent="0.3">
      <c r="A48" s="12" t="s">
        <v>3</v>
      </c>
      <c r="B48" s="23">
        <f t="shared" ref="B48:F48" si="19">B12*100/B6</f>
        <v>0.7654126269889131</v>
      </c>
      <c r="C48" s="23">
        <f t="shared" si="19"/>
        <v>0.75177237474425462</v>
      </c>
      <c r="D48" s="23">
        <f t="shared" si="19"/>
        <v>0.63719436897999504</v>
      </c>
      <c r="E48" s="23">
        <f t="shared" si="19"/>
        <v>0.7326195868505937</v>
      </c>
      <c r="F48" s="23">
        <f t="shared" si="19"/>
        <v>0.97566303220052064</v>
      </c>
    </row>
    <row r="49" spans="1:6" x14ac:dyDescent="0.3">
      <c r="A49" s="12" t="s">
        <v>24</v>
      </c>
      <c r="B49" s="23">
        <f t="shared" ref="B49:F49" si="20">B15*100/B6</f>
        <v>6.339781354857664E-2</v>
      </c>
      <c r="C49" s="23">
        <f t="shared" si="20"/>
        <v>6.0268671392999316E-2</v>
      </c>
      <c r="D49" s="23">
        <f t="shared" si="20"/>
        <v>7.7385362640981309E-2</v>
      </c>
      <c r="E49" s="23">
        <f t="shared" si="20"/>
        <v>7.2060942968910857E-2</v>
      </c>
      <c r="F49" s="23">
        <f t="shared" si="20"/>
        <v>6.0068806086972348E-2</v>
      </c>
    </row>
    <row r="50" spans="1:6" x14ac:dyDescent="0.3">
      <c r="A50" s="12" t="s">
        <v>23</v>
      </c>
      <c r="B50" s="23">
        <f t="shared" ref="B50:F50" si="21">B18*100/B6</f>
        <v>0.66490389819238915</v>
      </c>
      <c r="C50" s="23">
        <f t="shared" si="21"/>
        <v>0.60427273159823003</v>
      </c>
      <c r="D50" s="23">
        <f t="shared" si="21"/>
        <v>0.48407014077550015</v>
      </c>
      <c r="E50" s="23">
        <f t="shared" si="21"/>
        <v>0.45467023539908036</v>
      </c>
      <c r="F50" s="23">
        <f t="shared" si="21"/>
        <v>0.52059631942042706</v>
      </c>
    </row>
    <row r="51" spans="1:6" ht="14.4" thickBot="1" x14ac:dyDescent="0.35">
      <c r="A51" s="79" t="s">
        <v>27</v>
      </c>
      <c r="B51" s="83">
        <f t="shared" ref="B51:F51" si="22">B21*100/B6</f>
        <v>0.17009169488642514</v>
      </c>
      <c r="C51" s="83">
        <f t="shared" si="22"/>
        <v>0.16177380216015608</v>
      </c>
      <c r="D51" s="83">
        <f t="shared" si="22"/>
        <v>0.14159874866222114</v>
      </c>
      <c r="E51" s="83">
        <f t="shared" si="22"/>
        <v>0.20931988195731246</v>
      </c>
      <c r="F51" s="83">
        <f t="shared" si="22"/>
        <v>0.18020641826091705</v>
      </c>
    </row>
  </sheetData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/>
  </sheetViews>
  <sheetFormatPr defaultColWidth="9.109375" defaultRowHeight="13.8" x14ac:dyDescent="0.3"/>
  <cols>
    <col min="1" max="1" width="59.44140625" style="8" customWidth="1"/>
    <col min="2" max="2" width="10.6640625" style="8" customWidth="1"/>
    <col min="3" max="3" width="1.6640625" style="8" customWidth="1"/>
    <col min="4" max="4" width="10.6640625" style="8" customWidth="1"/>
    <col min="5" max="5" width="10.6640625" style="24" customWidth="1"/>
    <col min="6" max="6" width="1.6640625" style="8" customWidth="1"/>
    <col min="7" max="8" width="10.6640625" style="8" customWidth="1"/>
    <col min="9" max="9" width="1.6640625" style="8" customWidth="1"/>
    <col min="10" max="11" width="10.6640625" style="8" customWidth="1"/>
    <col min="12" max="12" width="1.6640625" style="8" customWidth="1"/>
    <col min="13" max="14" width="10.6640625" style="8" customWidth="1"/>
    <col min="15" max="15" width="3.88671875" style="8" customWidth="1"/>
    <col min="16" max="16384" width="9.109375" style="8"/>
  </cols>
  <sheetData>
    <row r="1" spans="1:14" x14ac:dyDescent="0.3">
      <c r="A1" s="3" t="s">
        <v>25</v>
      </c>
    </row>
    <row r="2" spans="1:14" ht="14.4" thickBot="1" x14ac:dyDescent="0.35">
      <c r="A2" s="73"/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</row>
    <row r="3" spans="1:14" ht="14.4" x14ac:dyDescent="0.3">
      <c r="A3" s="15"/>
      <c r="B3" s="26" t="s">
        <v>26</v>
      </c>
      <c r="C3" s="77"/>
      <c r="D3" s="86" t="s">
        <v>0</v>
      </c>
      <c r="E3" s="86"/>
      <c r="F3" s="15"/>
      <c r="G3" s="86" t="s">
        <v>13</v>
      </c>
      <c r="H3" s="86"/>
      <c r="I3" s="15"/>
      <c r="J3" s="86" t="s">
        <v>60</v>
      </c>
      <c r="K3" s="86"/>
      <c r="M3" s="86" t="s">
        <v>27</v>
      </c>
      <c r="N3" s="87"/>
    </row>
    <row r="4" spans="1:14" x14ac:dyDescent="0.3">
      <c r="A4" s="18"/>
      <c r="B4" s="26" t="s">
        <v>4</v>
      </c>
      <c r="C4" s="19"/>
      <c r="D4" s="27" t="s">
        <v>4</v>
      </c>
      <c r="E4" s="28" t="s">
        <v>5</v>
      </c>
      <c r="F4" s="27"/>
      <c r="G4" s="27" t="s">
        <v>4</v>
      </c>
      <c r="H4" s="27" t="s">
        <v>5</v>
      </c>
      <c r="I4" s="27"/>
      <c r="J4" s="27" t="s">
        <v>4</v>
      </c>
      <c r="K4" s="27" t="s">
        <v>5</v>
      </c>
      <c r="L4" s="27"/>
      <c r="M4" s="27" t="s">
        <v>4</v>
      </c>
      <c r="N4" s="27" t="s">
        <v>5</v>
      </c>
    </row>
    <row r="5" spans="1:14" s="2" customFormat="1" x14ac:dyDescent="0.3">
      <c r="A5" s="9" t="s">
        <v>7</v>
      </c>
      <c r="B5" s="30">
        <f>B26+B45</f>
        <v>124617</v>
      </c>
      <c r="C5" s="30"/>
      <c r="D5" s="30">
        <f>D26+D45</f>
        <v>122771</v>
      </c>
      <c r="E5" s="35">
        <f>D5*100/B5</f>
        <v>98.518661177848927</v>
      </c>
      <c r="F5" s="1"/>
      <c r="G5" s="30">
        <f>G26+G45</f>
        <v>981</v>
      </c>
      <c r="H5" s="35">
        <f>G5*100/B5</f>
        <v>0.78721201762199378</v>
      </c>
      <c r="J5" s="30">
        <f>J26+J45</f>
        <v>665</v>
      </c>
      <c r="K5" s="35">
        <f>J5*100/B5</f>
        <v>0.5336350578171517</v>
      </c>
      <c r="M5" s="30">
        <f>M26+M45</f>
        <v>200</v>
      </c>
      <c r="N5" s="35">
        <f>M5*100/B5</f>
        <v>0.16049174671192534</v>
      </c>
    </row>
    <row r="6" spans="1:14" x14ac:dyDescent="0.3">
      <c r="A6" s="20" t="s">
        <v>32</v>
      </c>
      <c r="B6" s="31">
        <f>B26</f>
        <v>60346</v>
      </c>
      <c r="C6" s="32"/>
      <c r="D6" s="31">
        <f>D26</f>
        <v>59556</v>
      </c>
      <c r="E6" s="24">
        <f>D6*100/B6</f>
        <v>98.690882577138495</v>
      </c>
      <c r="G6" s="31">
        <f>G26</f>
        <v>455</v>
      </c>
      <c r="H6" s="24">
        <f>G6*100/B6</f>
        <v>0.75398535114174925</v>
      </c>
      <c r="J6" s="31">
        <f>J26</f>
        <v>239</v>
      </c>
      <c r="K6" s="24">
        <f>J6*100/B6</f>
        <v>0.3960494481821496</v>
      </c>
      <c r="M6" s="31">
        <f>M26</f>
        <v>96</v>
      </c>
      <c r="N6" s="24">
        <f>M6*100/B6</f>
        <v>0.15908262353759983</v>
      </c>
    </row>
    <row r="7" spans="1:14" x14ac:dyDescent="0.3">
      <c r="A7" s="20" t="s">
        <v>33</v>
      </c>
      <c r="B7" s="31">
        <f>B45</f>
        <v>64271</v>
      </c>
      <c r="C7" s="32"/>
      <c r="D7" s="31">
        <f>D45</f>
        <v>63215</v>
      </c>
      <c r="E7" s="24">
        <f>D7*100/B7</f>
        <v>98.356957259105968</v>
      </c>
      <c r="G7" s="31">
        <f>G45</f>
        <v>526</v>
      </c>
      <c r="H7" s="24">
        <f>G7*100/B7</f>
        <v>0.81840954707410807</v>
      </c>
      <c r="J7" s="31">
        <f>J45</f>
        <v>426</v>
      </c>
      <c r="K7" s="24">
        <f>J7*100/B7</f>
        <v>0.66281837842884039</v>
      </c>
      <c r="M7" s="31">
        <f>M45</f>
        <v>104</v>
      </c>
      <c r="N7" s="24">
        <f>M7*100/B7</f>
        <v>0.16181481539107839</v>
      </c>
    </row>
    <row r="8" spans="1:14" x14ac:dyDescent="0.3">
      <c r="A8" s="10" t="s">
        <v>8</v>
      </c>
      <c r="B8" s="32"/>
      <c r="C8" s="32"/>
      <c r="D8" s="32"/>
      <c r="G8" s="32"/>
      <c r="J8" s="32"/>
      <c r="M8" s="32"/>
    </row>
    <row r="9" spans="1:14" x14ac:dyDescent="0.3">
      <c r="A9" s="20" t="s">
        <v>9</v>
      </c>
      <c r="B9" s="32">
        <f t="shared" ref="B9:B14" si="0">B28+B47</f>
        <v>107741</v>
      </c>
      <c r="C9" s="32"/>
      <c r="D9" s="32">
        <f t="shared" ref="D9:D14" si="1">D28+D47</f>
        <v>106434</v>
      </c>
      <c r="E9" s="24">
        <f>D9*100/B9</f>
        <v>98.786905634809401</v>
      </c>
      <c r="G9" s="32">
        <f t="shared" ref="G9:G14" si="2">G28+G47</f>
        <v>738</v>
      </c>
      <c r="H9" s="24">
        <f>G9*100/B9</f>
        <v>0.68497600727670993</v>
      </c>
      <c r="J9" s="32">
        <f t="shared" ref="J9:J14" si="3">J28+J47</f>
        <v>501</v>
      </c>
      <c r="K9" s="24">
        <f>J9*100/B9</f>
        <v>0.46500403746020547</v>
      </c>
      <c r="M9" s="32">
        <f t="shared" ref="M9:M14" si="4">M28+M47</f>
        <v>68</v>
      </c>
      <c r="N9" s="24">
        <f>M9*100/B9</f>
        <v>6.3114320453680581E-2</v>
      </c>
    </row>
    <row r="10" spans="1:14" x14ac:dyDescent="0.3">
      <c r="A10" s="21" t="s">
        <v>10</v>
      </c>
      <c r="B10" s="32">
        <f t="shared" si="0"/>
        <v>17664</v>
      </c>
      <c r="C10" s="32"/>
      <c r="D10" s="32">
        <f t="shared" si="1"/>
        <v>17144</v>
      </c>
      <c r="E10" s="24">
        <f t="shared" ref="E10:E14" si="5">D10*100/B10</f>
        <v>97.056159420289859</v>
      </c>
      <c r="G10" s="32">
        <f t="shared" si="2"/>
        <v>263</v>
      </c>
      <c r="H10" s="70">
        <f t="shared" ref="H10:H14" si="6">G10*100/B10</f>
        <v>1.4889039855072463</v>
      </c>
      <c r="I10" s="71"/>
      <c r="J10" s="66">
        <f t="shared" si="3"/>
        <v>171</v>
      </c>
      <c r="K10" s="70">
        <f t="shared" ref="K10:K14" si="7">J10*100/B10</f>
        <v>0.96807065217391308</v>
      </c>
      <c r="M10" s="32">
        <f t="shared" si="4"/>
        <v>86</v>
      </c>
      <c r="N10" s="24">
        <f t="shared" ref="N10:N14" si="8">M10*100/B10</f>
        <v>0.48686594202898553</v>
      </c>
    </row>
    <row r="11" spans="1:14" x14ac:dyDescent="0.3">
      <c r="A11" s="14" t="s">
        <v>31</v>
      </c>
      <c r="B11" s="32">
        <f t="shared" si="0"/>
        <v>8441</v>
      </c>
      <c r="C11" s="32"/>
      <c r="D11" s="32">
        <f t="shared" si="1"/>
        <v>8265</v>
      </c>
      <c r="E11" s="24">
        <f t="shared" si="5"/>
        <v>97.91493898827153</v>
      </c>
      <c r="G11" s="32">
        <f t="shared" si="2"/>
        <v>87</v>
      </c>
      <c r="H11" s="24">
        <f t="shared" si="6"/>
        <v>1.030683568297595</v>
      </c>
      <c r="J11" s="32">
        <f t="shared" si="3"/>
        <v>73</v>
      </c>
      <c r="K11" s="24">
        <f t="shared" si="7"/>
        <v>0.86482644236464878</v>
      </c>
      <c r="M11" s="32">
        <f t="shared" si="4"/>
        <v>16</v>
      </c>
      <c r="N11" s="24">
        <f t="shared" si="8"/>
        <v>0.18955100106622438</v>
      </c>
    </row>
    <row r="12" spans="1:14" x14ac:dyDescent="0.3">
      <c r="A12" s="14" t="s">
        <v>94</v>
      </c>
      <c r="B12" s="32">
        <f t="shared" si="0"/>
        <v>5058</v>
      </c>
      <c r="C12" s="32"/>
      <c r="D12" s="32">
        <f t="shared" si="1"/>
        <v>4937</v>
      </c>
      <c r="E12" s="24">
        <f t="shared" si="5"/>
        <v>97.607750098853302</v>
      </c>
      <c r="G12" s="32">
        <f t="shared" si="2"/>
        <v>54</v>
      </c>
      <c r="H12" s="24">
        <f t="shared" si="6"/>
        <v>1.0676156583629892</v>
      </c>
      <c r="J12" s="32">
        <f t="shared" si="3"/>
        <v>44</v>
      </c>
      <c r="K12" s="24">
        <f t="shared" si="7"/>
        <v>0.86990905496243576</v>
      </c>
      <c r="M12" s="32">
        <f t="shared" si="4"/>
        <v>23</v>
      </c>
      <c r="N12" s="24">
        <f t="shared" si="8"/>
        <v>0.45472518782127325</v>
      </c>
    </row>
    <row r="13" spans="1:14" x14ac:dyDescent="0.3">
      <c r="A13" s="14" t="s">
        <v>95</v>
      </c>
      <c r="B13" s="32">
        <f t="shared" si="0"/>
        <v>2221</v>
      </c>
      <c r="C13" s="32"/>
      <c r="D13" s="32">
        <f t="shared" si="1"/>
        <v>2152</v>
      </c>
      <c r="E13" s="24">
        <f t="shared" si="5"/>
        <v>96.893291310220619</v>
      </c>
      <c r="G13" s="32">
        <f t="shared" si="2"/>
        <v>38</v>
      </c>
      <c r="H13" s="24">
        <f t="shared" si="6"/>
        <v>1.7109410175596578</v>
      </c>
      <c r="J13" s="32">
        <f t="shared" si="3"/>
        <v>17</v>
      </c>
      <c r="K13" s="24">
        <f t="shared" si="7"/>
        <v>0.76542098153984695</v>
      </c>
      <c r="M13" s="32">
        <f t="shared" si="4"/>
        <v>14</v>
      </c>
      <c r="N13" s="24">
        <f t="shared" si="8"/>
        <v>0.63034669067987392</v>
      </c>
    </row>
    <row r="14" spans="1:14" x14ac:dyDescent="0.3">
      <c r="A14" s="14" t="s">
        <v>96</v>
      </c>
      <c r="B14" s="32">
        <f t="shared" si="0"/>
        <v>1937</v>
      </c>
      <c r="C14" s="32"/>
      <c r="D14" s="32">
        <f t="shared" si="1"/>
        <v>1783</v>
      </c>
      <c r="E14" s="24">
        <f t="shared" si="5"/>
        <v>92.049561177077962</v>
      </c>
      <c r="G14" s="32">
        <f t="shared" si="2"/>
        <v>84</v>
      </c>
      <c r="H14" s="70">
        <f t="shared" si="6"/>
        <v>4.3366029943211153</v>
      </c>
      <c r="J14" s="32">
        <f t="shared" si="3"/>
        <v>37</v>
      </c>
      <c r="K14" s="24">
        <f t="shared" si="7"/>
        <v>1.9101703665462055</v>
      </c>
      <c r="M14" s="32">
        <f t="shared" si="4"/>
        <v>33</v>
      </c>
      <c r="N14" s="24">
        <f t="shared" si="8"/>
        <v>1.7036654620547238</v>
      </c>
    </row>
    <row r="15" spans="1:14" x14ac:dyDescent="0.3">
      <c r="A15" s="11" t="s">
        <v>16</v>
      </c>
      <c r="B15" s="32"/>
      <c r="C15" s="32"/>
      <c r="D15" s="32"/>
      <c r="G15" s="32"/>
      <c r="J15" s="32"/>
      <c r="M15" s="32"/>
    </row>
    <row r="16" spans="1:14" x14ac:dyDescent="0.3">
      <c r="A16" s="13" t="s">
        <v>17</v>
      </c>
      <c r="B16" s="32">
        <f>B35+B54</f>
        <v>6754</v>
      </c>
      <c r="C16" s="32"/>
      <c r="D16" s="32">
        <f>D35+D54</f>
        <v>6468</v>
      </c>
      <c r="E16" s="24">
        <f>D16*100/B16</f>
        <v>95.765472312703579</v>
      </c>
      <c r="G16" s="32">
        <f>G35+G54</f>
        <v>142</v>
      </c>
      <c r="H16" s="24">
        <f>G16*100/B16</f>
        <v>2.1024578027835359</v>
      </c>
      <c r="J16" s="32">
        <f>J35+J54</f>
        <v>134</v>
      </c>
      <c r="K16" s="24">
        <f>J16*100/B16</f>
        <v>1.9840094758661533</v>
      </c>
      <c r="M16" s="32">
        <f>M35+M54</f>
        <v>10</v>
      </c>
      <c r="N16" s="24">
        <f>M16*100/B16</f>
        <v>0.14806040864672787</v>
      </c>
    </row>
    <row r="17" spans="1:15" x14ac:dyDescent="0.3">
      <c r="A17" s="13" t="s">
        <v>18</v>
      </c>
      <c r="B17" s="32">
        <f>B36+B55</f>
        <v>60190</v>
      </c>
      <c r="C17" s="32"/>
      <c r="D17" s="32">
        <f>D36+D55</f>
        <v>59289</v>
      </c>
      <c r="E17" s="24">
        <f>D17*100/B17</f>
        <v>98.503073600265822</v>
      </c>
      <c r="G17" s="32">
        <f>G36+G55</f>
        <v>489</v>
      </c>
      <c r="H17" s="24">
        <f>G17*100/B17</f>
        <v>0.81242731350722708</v>
      </c>
      <c r="J17" s="32">
        <f>J36+J55</f>
        <v>372</v>
      </c>
      <c r="K17" s="24">
        <f>J17*100/B17</f>
        <v>0.61804286426316668</v>
      </c>
      <c r="M17" s="32">
        <f>M36+M55</f>
        <v>40</v>
      </c>
      <c r="N17" s="24">
        <f>M17*100/B17</f>
        <v>6.6456221963781356E-2</v>
      </c>
    </row>
    <row r="18" spans="1:15" x14ac:dyDescent="0.3">
      <c r="A18" s="13" t="s">
        <v>19</v>
      </c>
      <c r="B18" s="32">
        <f>B37+B56</f>
        <v>57905</v>
      </c>
      <c r="C18" s="32"/>
      <c r="D18" s="32">
        <f>D37+D56</f>
        <v>57369</v>
      </c>
      <c r="E18" s="24">
        <f>D18*100/B18</f>
        <v>99.07434591140661</v>
      </c>
      <c r="G18" s="32">
        <f>G37+G56</f>
        <v>345</v>
      </c>
      <c r="H18" s="24">
        <f>G18*100/B18</f>
        <v>0.59580347120283228</v>
      </c>
      <c r="J18" s="32">
        <f>J37+J56</f>
        <v>157</v>
      </c>
      <c r="K18" s="24">
        <f>J18*100/B18</f>
        <v>0.27113375356186858</v>
      </c>
      <c r="M18" s="32">
        <f>M37+M56</f>
        <v>34</v>
      </c>
      <c r="N18" s="24">
        <f>M18*100/B18</f>
        <v>5.8716863828684913E-2</v>
      </c>
    </row>
    <row r="19" spans="1:15" x14ac:dyDescent="0.3">
      <c r="A19" s="10" t="s">
        <v>11</v>
      </c>
      <c r="B19" s="32"/>
      <c r="C19" s="32"/>
      <c r="D19" s="32"/>
      <c r="G19" s="32"/>
      <c r="J19" s="32"/>
      <c r="M19" s="32"/>
    </row>
    <row r="20" spans="1:15" x14ac:dyDescent="0.3">
      <c r="A20" s="13" t="s">
        <v>14</v>
      </c>
      <c r="B20" s="32">
        <f>B39+B58</f>
        <v>109539</v>
      </c>
      <c r="C20" s="32"/>
      <c r="D20" s="32">
        <f>D39+D58</f>
        <v>108504</v>
      </c>
      <c r="E20" s="24">
        <f>D20*100/B20</f>
        <v>99.055131049215348</v>
      </c>
      <c r="G20" s="32">
        <f>G39+G58</f>
        <v>551</v>
      </c>
      <c r="H20" s="24">
        <f>G20*100/B20</f>
        <v>0.50301719022448621</v>
      </c>
      <c r="J20" s="32">
        <f>J39+J58</f>
        <v>351</v>
      </c>
      <c r="K20" s="24">
        <f>J20*100/B20</f>
        <v>0.32043381809218635</v>
      </c>
      <c r="M20" s="32">
        <f>M39+M58</f>
        <v>133</v>
      </c>
      <c r="N20" s="24">
        <f>M20*100/B20</f>
        <v>0.12141794246797945</v>
      </c>
    </row>
    <row r="21" spans="1:15" x14ac:dyDescent="0.3">
      <c r="A21" s="13" t="s">
        <v>87</v>
      </c>
      <c r="B21" s="32">
        <f>B40+B59</f>
        <v>13700</v>
      </c>
      <c r="C21" s="32"/>
      <c r="D21" s="32">
        <f>D40+D59</f>
        <v>13188</v>
      </c>
      <c r="E21" s="24">
        <f>D21*100/B21</f>
        <v>96.262773722627742</v>
      </c>
      <c r="G21" s="32">
        <f>G40+G59</f>
        <v>295</v>
      </c>
      <c r="H21" s="24">
        <f>G21*100/B21</f>
        <v>2.1532846715328469</v>
      </c>
      <c r="J21" s="32">
        <f>J40+J59</f>
        <v>168</v>
      </c>
      <c r="K21" s="24">
        <f>J21*100/B21</f>
        <v>1.2262773722627738</v>
      </c>
      <c r="M21" s="32">
        <f>M40+M59</f>
        <v>49</v>
      </c>
      <c r="N21" s="24">
        <f>M21*100/B21</f>
        <v>0.35766423357664234</v>
      </c>
    </row>
    <row r="22" spans="1:15" x14ac:dyDescent="0.3">
      <c r="A22" s="13" t="s">
        <v>12</v>
      </c>
      <c r="B22" s="32">
        <f>B41+B60</f>
        <v>1334</v>
      </c>
      <c r="C22" s="32"/>
      <c r="D22" s="32">
        <f>D41+D60</f>
        <v>1036</v>
      </c>
      <c r="E22" s="24">
        <f>D22*100/B22</f>
        <v>77.661169415292349</v>
      </c>
      <c r="G22" s="32">
        <f>G41+G60</f>
        <v>135</v>
      </c>
      <c r="H22" s="24">
        <f>G22*100/B22</f>
        <v>10.119940029985008</v>
      </c>
      <c r="J22" s="32">
        <f>J41+J60</f>
        <v>145</v>
      </c>
      <c r="K22" s="24">
        <f>J22*100/B22</f>
        <v>10.869565217391305</v>
      </c>
      <c r="M22" s="32">
        <f>M41+M60</f>
        <v>18</v>
      </c>
      <c r="N22" s="24">
        <f>M22*100/B22</f>
        <v>1.3493253373313343</v>
      </c>
    </row>
    <row r="23" spans="1:15" x14ac:dyDescent="0.3">
      <c r="A23" s="43" t="s">
        <v>28</v>
      </c>
      <c r="B23" s="33"/>
      <c r="C23" s="42"/>
      <c r="D23" s="33"/>
      <c r="E23" s="25"/>
      <c r="F23" s="15"/>
      <c r="G23" s="33"/>
      <c r="H23" s="25"/>
      <c r="I23" s="15"/>
      <c r="J23" s="33"/>
      <c r="K23" s="25"/>
      <c r="L23" s="15"/>
      <c r="M23" s="33"/>
      <c r="N23" s="25"/>
    </row>
    <row r="24" spans="1:15" x14ac:dyDescent="0.3">
      <c r="A24" s="16" t="s">
        <v>29</v>
      </c>
      <c r="B24" s="33">
        <f>B43+B62</f>
        <v>111095</v>
      </c>
      <c r="C24" s="42"/>
      <c r="D24" s="33">
        <f>D43+D62</f>
        <v>110290</v>
      </c>
      <c r="E24" s="25">
        <f>D24/$B24*100</f>
        <v>99.275394932265186</v>
      </c>
      <c r="F24" s="15"/>
      <c r="G24" s="33">
        <f>G43+G62</f>
        <v>441</v>
      </c>
      <c r="H24" s="25">
        <f>G24/$B24*100</f>
        <v>0.39695755884603268</v>
      </c>
      <c r="I24" s="15"/>
      <c r="J24" s="33">
        <f>J43+J62</f>
        <v>222</v>
      </c>
      <c r="K24" s="25">
        <f>J24/$B24*100</f>
        <v>0.19982897520140422</v>
      </c>
      <c r="L24" s="15"/>
      <c r="M24" s="33">
        <f>M43+M62</f>
        <v>142</v>
      </c>
      <c r="N24" s="25">
        <f>M24/$B24*100</f>
        <v>0.12781853368738469</v>
      </c>
      <c r="O24" s="15"/>
    </row>
    <row r="25" spans="1:15" x14ac:dyDescent="0.3">
      <c r="A25" s="17" t="s">
        <v>30</v>
      </c>
      <c r="B25" s="34">
        <f>B44+B63</f>
        <v>13522</v>
      </c>
      <c r="C25" s="38"/>
      <c r="D25" s="34">
        <f>D44+D63</f>
        <v>12481</v>
      </c>
      <c r="E25" s="29">
        <f t="shared" ref="E25" si="9">D25/$B25*100</f>
        <v>92.301434699009022</v>
      </c>
      <c r="F25" s="18"/>
      <c r="G25" s="34">
        <f>G44+G63</f>
        <v>540</v>
      </c>
      <c r="H25" s="29">
        <f t="shared" ref="H25" si="10">G25/$B25*100</f>
        <v>3.9934920869693831</v>
      </c>
      <c r="I25" s="18"/>
      <c r="J25" s="34">
        <f>J44+J63</f>
        <v>443</v>
      </c>
      <c r="K25" s="29">
        <f t="shared" ref="K25" si="11">J25/$B25*100</f>
        <v>3.2761425824582164</v>
      </c>
      <c r="L25" s="18"/>
      <c r="M25" s="34">
        <f>M44+M63</f>
        <v>58</v>
      </c>
      <c r="N25" s="29">
        <f t="shared" ref="N25" si="12">M25/$B25*100</f>
        <v>0.42893063156337818</v>
      </c>
      <c r="O25" s="15"/>
    </row>
    <row r="26" spans="1:15" s="2" customFormat="1" x14ac:dyDescent="0.3">
      <c r="A26" s="9" t="s">
        <v>34</v>
      </c>
      <c r="B26" s="36">
        <f>SUM(B43:B44)</f>
        <v>60346</v>
      </c>
      <c r="C26" s="37"/>
      <c r="D26" s="36">
        <f>SUM(D43:D44)</f>
        <v>59556</v>
      </c>
      <c r="E26" s="35">
        <f>D26*100/B26</f>
        <v>98.690882577138495</v>
      </c>
      <c r="G26" s="36">
        <f>SUM(G43:G44)</f>
        <v>455</v>
      </c>
      <c r="H26" s="35">
        <f>G26*100/B26</f>
        <v>0.75398535114174925</v>
      </c>
      <c r="J26" s="36">
        <f>SUM(J43:J44)</f>
        <v>239</v>
      </c>
      <c r="K26" s="35">
        <f>J26*100/B26</f>
        <v>0.3960494481821496</v>
      </c>
      <c r="M26" s="36">
        <f>SUM(M43:M44)</f>
        <v>96</v>
      </c>
      <c r="N26" s="35">
        <f>M26*100/B26</f>
        <v>0.15908262353759983</v>
      </c>
    </row>
    <row r="27" spans="1:15" x14ac:dyDescent="0.3">
      <c r="A27" s="10" t="s">
        <v>8</v>
      </c>
      <c r="B27" s="33"/>
      <c r="C27" s="33"/>
      <c r="D27" s="33"/>
      <c r="E27" s="25"/>
      <c r="F27" s="15"/>
      <c r="G27" s="33"/>
      <c r="H27" s="15"/>
      <c r="I27" s="15"/>
      <c r="J27" s="33"/>
      <c r="K27" s="15"/>
      <c r="L27" s="15"/>
      <c r="M27" s="33"/>
    </row>
    <row r="28" spans="1:15" x14ac:dyDescent="0.3">
      <c r="A28" s="20" t="s">
        <v>9</v>
      </c>
      <c r="B28" s="32">
        <v>52344</v>
      </c>
      <c r="C28" s="32"/>
      <c r="D28" s="32">
        <v>51784</v>
      </c>
      <c r="E28" s="24">
        <f>D28*100/B28</f>
        <v>98.930154363441844</v>
      </c>
      <c r="G28" s="66">
        <f>331+30</f>
        <v>361</v>
      </c>
      <c r="H28" s="24">
        <f>G28*100/B28</f>
        <v>0.68966834785266695</v>
      </c>
      <c r="J28" s="32">
        <v>163</v>
      </c>
      <c r="K28" s="24">
        <f>J28*100/B28</f>
        <v>0.3114014977838912</v>
      </c>
      <c r="M28" s="32">
        <f>B28-D28-G28-J28</f>
        <v>36</v>
      </c>
      <c r="N28" s="24">
        <f>M28*100/B28</f>
        <v>6.8775790921595595E-2</v>
      </c>
    </row>
    <row r="29" spans="1:15" x14ac:dyDescent="0.3">
      <c r="A29" s="21" t="s">
        <v>10</v>
      </c>
      <c r="B29" s="32">
        <v>8420</v>
      </c>
      <c r="C29" s="32"/>
      <c r="D29" s="32">
        <v>8199</v>
      </c>
      <c r="E29" s="24">
        <f t="shared" ref="E29:E33" si="13">D29*100/B29</f>
        <v>97.37529691211401</v>
      </c>
      <c r="G29" s="66">
        <f>95+11</f>
        <v>106</v>
      </c>
      <c r="H29" s="24">
        <f t="shared" ref="H29:H33" si="14">G29*100/B29</f>
        <v>1.2589073634204275</v>
      </c>
      <c r="J29" s="32">
        <v>79</v>
      </c>
      <c r="K29" s="24">
        <f t="shared" ref="K29:K33" si="15">J29*100/B29</f>
        <v>0.93824228028503565</v>
      </c>
      <c r="M29" s="32">
        <f t="shared" ref="M29:M33" si="16">B29-D29-G29-J29</f>
        <v>36</v>
      </c>
      <c r="N29" s="24">
        <f t="shared" ref="N29:N33" si="17">M29*100/B29</f>
        <v>0.42755344418052255</v>
      </c>
    </row>
    <row r="30" spans="1:15" x14ac:dyDescent="0.3">
      <c r="A30" s="14" t="s">
        <v>31</v>
      </c>
      <c r="B30" s="32">
        <v>4058</v>
      </c>
      <c r="C30" s="32"/>
      <c r="D30" s="32">
        <v>3988</v>
      </c>
      <c r="E30" s="24">
        <f t="shared" si="13"/>
        <v>98.275012321340569</v>
      </c>
      <c r="G30" s="32">
        <f>28+4</f>
        <v>32</v>
      </c>
      <c r="H30" s="24">
        <f t="shared" si="14"/>
        <v>0.78856579595860032</v>
      </c>
      <c r="J30" s="32">
        <v>33</v>
      </c>
      <c r="K30" s="24">
        <f t="shared" si="15"/>
        <v>0.81320847708230659</v>
      </c>
      <c r="M30" s="32">
        <f t="shared" si="16"/>
        <v>5</v>
      </c>
      <c r="N30" s="24">
        <f t="shared" si="17"/>
        <v>0.12321340561853129</v>
      </c>
    </row>
    <row r="31" spans="1:15" x14ac:dyDescent="0.3">
      <c r="A31" s="14" t="s">
        <v>94</v>
      </c>
      <c r="B31" s="32">
        <v>2384</v>
      </c>
      <c r="C31" s="32"/>
      <c r="D31" s="32">
        <v>2327</v>
      </c>
      <c r="E31" s="24">
        <f t="shared" si="13"/>
        <v>97.609060402684563</v>
      </c>
      <c r="G31" s="32">
        <f>20+2</f>
        <v>22</v>
      </c>
      <c r="H31" s="24">
        <f t="shared" si="14"/>
        <v>0.92281879194630867</v>
      </c>
      <c r="J31" s="32">
        <v>24</v>
      </c>
      <c r="K31" s="24">
        <f t="shared" si="15"/>
        <v>1.0067114093959733</v>
      </c>
      <c r="M31" s="32">
        <f t="shared" si="16"/>
        <v>11</v>
      </c>
      <c r="N31" s="24">
        <f t="shared" si="17"/>
        <v>0.46140939597315433</v>
      </c>
    </row>
    <row r="32" spans="1:15" x14ac:dyDescent="0.3">
      <c r="A32" s="14" t="s">
        <v>95</v>
      </c>
      <c r="B32" s="32">
        <v>1087</v>
      </c>
      <c r="C32" s="32"/>
      <c r="D32" s="32">
        <v>1056</v>
      </c>
      <c r="E32" s="24">
        <f t="shared" si="13"/>
        <v>97.148114075436979</v>
      </c>
      <c r="G32" s="32">
        <f>18+1</f>
        <v>19</v>
      </c>
      <c r="H32" s="24">
        <f t="shared" si="14"/>
        <v>1.7479300827966882</v>
      </c>
      <c r="J32" s="32">
        <v>4</v>
      </c>
      <c r="K32" s="24">
        <f t="shared" si="15"/>
        <v>0.36798528058877644</v>
      </c>
      <c r="M32" s="32">
        <f t="shared" si="16"/>
        <v>8</v>
      </c>
      <c r="N32" s="24">
        <f t="shared" si="17"/>
        <v>0.73597056117755288</v>
      </c>
    </row>
    <row r="33" spans="1:14" x14ac:dyDescent="0.3">
      <c r="A33" s="14" t="s">
        <v>96</v>
      </c>
      <c r="B33" s="32">
        <v>889</v>
      </c>
      <c r="C33" s="32"/>
      <c r="D33" s="32">
        <v>826</v>
      </c>
      <c r="E33" s="24">
        <f t="shared" si="13"/>
        <v>92.913385826771659</v>
      </c>
      <c r="G33" s="32">
        <f>29+4</f>
        <v>33</v>
      </c>
      <c r="H33" s="24">
        <f t="shared" si="14"/>
        <v>3.7120359955005626</v>
      </c>
      <c r="J33" s="32">
        <v>18</v>
      </c>
      <c r="K33" s="24">
        <f t="shared" si="15"/>
        <v>2.0247469066366706</v>
      </c>
      <c r="M33" s="32">
        <f t="shared" si="16"/>
        <v>12</v>
      </c>
      <c r="N33" s="24">
        <f t="shared" si="17"/>
        <v>1.3498312710911136</v>
      </c>
    </row>
    <row r="34" spans="1:14" x14ac:dyDescent="0.3">
      <c r="A34" s="11" t="s">
        <v>16</v>
      </c>
      <c r="B34" s="32"/>
      <c r="C34" s="32"/>
      <c r="D34" s="32"/>
      <c r="G34" s="32"/>
      <c r="J34" s="32"/>
      <c r="M34" s="32"/>
    </row>
    <row r="35" spans="1:14" x14ac:dyDescent="0.3">
      <c r="A35" s="13" t="s">
        <v>17</v>
      </c>
      <c r="B35" s="32">
        <v>3232</v>
      </c>
      <c r="C35" s="32"/>
      <c r="D35" s="32">
        <v>3110</v>
      </c>
      <c r="E35" s="24">
        <f>D35*100/B35</f>
        <v>96.225247524752476</v>
      </c>
      <c r="G35" s="32">
        <f>54+8</f>
        <v>62</v>
      </c>
      <c r="H35" s="24">
        <f>G35*100/B35</f>
        <v>1.9183168316831682</v>
      </c>
      <c r="J35" s="32">
        <v>58</v>
      </c>
      <c r="K35" s="24">
        <f>J35*100/B35</f>
        <v>1.7945544554455446</v>
      </c>
      <c r="M35" s="32">
        <f>B35-D35-G35-J35</f>
        <v>2</v>
      </c>
      <c r="N35" s="24">
        <f>M35*100/B35</f>
        <v>6.1881188118811881E-2</v>
      </c>
    </row>
    <row r="36" spans="1:14" x14ac:dyDescent="0.3">
      <c r="A36" s="13" t="s">
        <v>18</v>
      </c>
      <c r="B36" s="32">
        <v>29261</v>
      </c>
      <c r="C36" s="32"/>
      <c r="D36" s="32">
        <v>28889</v>
      </c>
      <c r="E36" s="24">
        <f>D36*100/B36</f>
        <v>98.728683230238204</v>
      </c>
      <c r="G36" s="32">
        <f>210+19</f>
        <v>229</v>
      </c>
      <c r="H36" s="24">
        <f>G36*100/B36</f>
        <v>0.78261166740712895</v>
      </c>
      <c r="J36" s="32">
        <v>121</v>
      </c>
      <c r="K36" s="24">
        <f>J36*100/B36</f>
        <v>0.41351970199241311</v>
      </c>
      <c r="M36" s="32">
        <f>B36-D36-G36-J36</f>
        <v>22</v>
      </c>
      <c r="N36" s="24">
        <f>M36*100/B36</f>
        <v>7.5185400362256932E-2</v>
      </c>
    </row>
    <row r="37" spans="1:14" x14ac:dyDescent="0.3">
      <c r="A37" s="13" t="s">
        <v>19</v>
      </c>
      <c r="B37" s="32">
        <v>27993</v>
      </c>
      <c r="C37" s="32"/>
      <c r="D37" s="32">
        <v>27756</v>
      </c>
      <c r="E37" s="24">
        <f>D37*100/B37</f>
        <v>99.153359768513553</v>
      </c>
      <c r="G37" s="32">
        <f>151+13</f>
        <v>164</v>
      </c>
      <c r="H37" s="24">
        <f>G37*100/B37</f>
        <v>0.58586075090201117</v>
      </c>
      <c r="J37" s="32">
        <v>58</v>
      </c>
      <c r="K37" s="24">
        <f>J37*100/B37</f>
        <v>0.20719465580680885</v>
      </c>
      <c r="M37" s="32">
        <f>B37-D37-G37-J37</f>
        <v>15</v>
      </c>
      <c r="N37" s="24">
        <f>M37*100/B37</f>
        <v>5.3584824777622976E-2</v>
      </c>
    </row>
    <row r="38" spans="1:14" x14ac:dyDescent="0.3">
      <c r="A38" s="10" t="s">
        <v>11</v>
      </c>
      <c r="B38" s="32"/>
      <c r="C38" s="32"/>
      <c r="D38" s="32"/>
      <c r="G38" s="32"/>
      <c r="J38" s="32"/>
      <c r="M38" s="32"/>
    </row>
    <row r="39" spans="1:14" x14ac:dyDescent="0.3">
      <c r="A39" s="13" t="s">
        <v>14</v>
      </c>
      <c r="B39" s="32">
        <v>54019</v>
      </c>
      <c r="C39" s="32"/>
      <c r="D39" s="32">
        <v>53558</v>
      </c>
      <c r="E39" s="24">
        <f>D39*100/B39</f>
        <v>99.146596567874269</v>
      </c>
      <c r="G39" s="32">
        <f>249+20</f>
        <v>269</v>
      </c>
      <c r="H39" s="24">
        <f>G39*100/B39</f>
        <v>0.49797293544863847</v>
      </c>
      <c r="J39" s="32">
        <v>125</v>
      </c>
      <c r="K39" s="24">
        <f>J39*100/B39</f>
        <v>0.23140006294081711</v>
      </c>
      <c r="M39" s="32">
        <f>B39-D39-G39-J39</f>
        <v>67</v>
      </c>
      <c r="N39" s="24">
        <f>M39*100/B39</f>
        <v>0.12403043373627798</v>
      </c>
    </row>
    <row r="40" spans="1:14" x14ac:dyDescent="0.3">
      <c r="A40" s="13" t="s">
        <v>87</v>
      </c>
      <c r="B40" s="32">
        <v>5728</v>
      </c>
      <c r="C40" s="32"/>
      <c r="D40" s="32">
        <v>5528</v>
      </c>
      <c r="E40" s="24">
        <f>D40*100/B40</f>
        <v>96.508379888268152</v>
      </c>
      <c r="G40" s="32">
        <f>110+13</f>
        <v>123</v>
      </c>
      <c r="H40" s="24">
        <f>G40*100/B40</f>
        <v>2.147346368715084</v>
      </c>
      <c r="J40" s="32">
        <v>55</v>
      </c>
      <c r="K40" s="24">
        <f>J40*100/B40</f>
        <v>0.96019553072625696</v>
      </c>
      <c r="M40" s="32">
        <f>B40-D40-G40-J40</f>
        <v>22</v>
      </c>
      <c r="N40" s="24">
        <f>M40*100/B40</f>
        <v>0.38407821229050282</v>
      </c>
    </row>
    <row r="41" spans="1:14" x14ac:dyDescent="0.3">
      <c r="A41" s="13" t="s">
        <v>12</v>
      </c>
      <c r="B41" s="32">
        <v>580</v>
      </c>
      <c r="C41" s="32"/>
      <c r="D41" s="32">
        <v>451</v>
      </c>
      <c r="E41" s="24">
        <f>D41*100/B41</f>
        <v>77.758620689655174</v>
      </c>
      <c r="G41" s="32">
        <f>55+8</f>
        <v>63</v>
      </c>
      <c r="H41" s="24">
        <f>G41*100/B41</f>
        <v>10.862068965517242</v>
      </c>
      <c r="J41" s="32">
        <v>59</v>
      </c>
      <c r="K41" s="24">
        <f>J41*100/B41</f>
        <v>10.172413793103448</v>
      </c>
      <c r="M41" s="32">
        <f>B41-D41-G41-J41</f>
        <v>7</v>
      </c>
      <c r="N41" s="24">
        <f>M41*100/B41</f>
        <v>1.2068965517241379</v>
      </c>
    </row>
    <row r="42" spans="1:14" x14ac:dyDescent="0.3">
      <c r="A42" s="43" t="s">
        <v>28</v>
      </c>
      <c r="B42" s="33"/>
      <c r="C42" s="42"/>
      <c r="D42" s="33"/>
      <c r="E42" s="25"/>
      <c r="F42" s="15"/>
      <c r="G42" s="33"/>
      <c r="H42" s="25"/>
      <c r="I42" s="15"/>
      <c r="J42" s="33"/>
      <c r="K42" s="25"/>
      <c r="L42" s="15"/>
      <c r="M42" s="33"/>
      <c r="N42" s="25"/>
    </row>
    <row r="43" spans="1:14" x14ac:dyDescent="0.3">
      <c r="A43" s="16" t="s">
        <v>29</v>
      </c>
      <c r="B43" s="33">
        <v>54578</v>
      </c>
      <c r="C43" s="42"/>
      <c r="D43" s="33">
        <v>54212</v>
      </c>
      <c r="E43" s="25">
        <f>D43/$B43*100</f>
        <v>99.329400124592325</v>
      </c>
      <c r="F43" s="15"/>
      <c r="G43" s="33">
        <f>199+17</f>
        <v>216</v>
      </c>
      <c r="H43" s="25">
        <f>G43/$B43*100</f>
        <v>0.39576386089633186</v>
      </c>
      <c r="I43" s="15"/>
      <c r="J43" s="33">
        <v>81</v>
      </c>
      <c r="K43" s="25">
        <f>J43/$B43*100</f>
        <v>0.14841144783612445</v>
      </c>
      <c r="L43" s="15"/>
      <c r="M43" s="33">
        <f>B43-D43-G43-J43</f>
        <v>69</v>
      </c>
      <c r="N43" s="25">
        <f>M43/$B43*100</f>
        <v>0.12642456667521712</v>
      </c>
    </row>
    <row r="44" spans="1:14" x14ac:dyDescent="0.3">
      <c r="A44" s="17" t="s">
        <v>30</v>
      </c>
      <c r="B44" s="34">
        <v>5768</v>
      </c>
      <c r="C44" s="38"/>
      <c r="D44" s="34">
        <v>5344</v>
      </c>
      <c r="E44" s="29">
        <f t="shared" ref="E44" si="18">D44/$B44*100</f>
        <v>92.649098474341201</v>
      </c>
      <c r="F44" s="18"/>
      <c r="G44" s="18">
        <f>215+24</f>
        <v>239</v>
      </c>
      <c r="H44" s="29">
        <f t="shared" ref="H44" si="19">G44/$B44*100</f>
        <v>4.143550624133149</v>
      </c>
      <c r="I44" s="18"/>
      <c r="J44" s="34">
        <v>158</v>
      </c>
      <c r="K44" s="29">
        <f t="shared" ref="K44" si="20">J44/$B44*100</f>
        <v>2.7392510402219141</v>
      </c>
      <c r="L44" s="18"/>
      <c r="M44" s="34">
        <f t="shared" ref="M44" si="21">B44-D44-G44-J44</f>
        <v>27</v>
      </c>
      <c r="N44" s="29">
        <f t="shared" ref="N44" si="22">M44/$B44*100</f>
        <v>0.46809986130374476</v>
      </c>
    </row>
    <row r="45" spans="1:14" s="2" customFormat="1" x14ac:dyDescent="0.3">
      <c r="A45" s="9" t="s">
        <v>35</v>
      </c>
      <c r="B45" s="36">
        <f>SUM(B62:B63)</f>
        <v>64271</v>
      </c>
      <c r="C45" s="37"/>
      <c r="D45" s="36">
        <f>SUM(D62:D63)</f>
        <v>63215</v>
      </c>
      <c r="E45" s="35">
        <f>D45*100/B45</f>
        <v>98.356957259105968</v>
      </c>
      <c r="G45" s="36">
        <f>SUM(G62:G63)</f>
        <v>526</v>
      </c>
      <c r="H45" s="35">
        <f>G45*100/B45</f>
        <v>0.81840954707410807</v>
      </c>
      <c r="J45" s="36">
        <f>SUM(J62:J63)</f>
        <v>426</v>
      </c>
      <c r="K45" s="35">
        <f>J45*100/B45</f>
        <v>0.66281837842884039</v>
      </c>
      <c r="M45" s="36">
        <f>SUM(M62:M63)</f>
        <v>104</v>
      </c>
      <c r="N45" s="35">
        <f>M45*100/B45</f>
        <v>0.16181481539107839</v>
      </c>
    </row>
    <row r="46" spans="1:14" x14ac:dyDescent="0.3">
      <c r="A46" s="10" t="s">
        <v>8</v>
      </c>
      <c r="B46" s="33"/>
      <c r="C46" s="33"/>
      <c r="D46" s="33"/>
      <c r="E46" s="25"/>
      <c r="F46" s="15"/>
      <c r="G46" s="33"/>
      <c r="H46" s="15"/>
      <c r="I46" s="15"/>
      <c r="J46" s="33"/>
      <c r="K46" s="15"/>
      <c r="L46" s="15"/>
      <c r="M46" s="33"/>
    </row>
    <row r="47" spans="1:14" x14ac:dyDescent="0.3">
      <c r="A47" s="20" t="s">
        <v>9</v>
      </c>
      <c r="B47" s="32">
        <v>55397</v>
      </c>
      <c r="C47" s="32"/>
      <c r="D47" s="32">
        <v>54650</v>
      </c>
      <c r="E47" s="24">
        <f>D47*100/B47</f>
        <v>98.651551528061091</v>
      </c>
      <c r="G47" s="66">
        <f>350+27</f>
        <v>377</v>
      </c>
      <c r="H47" s="24">
        <f>G47*100/B47</f>
        <v>0.68054226763182124</v>
      </c>
      <c r="J47" s="32">
        <v>338</v>
      </c>
      <c r="K47" s="24">
        <f>J47*100/B47</f>
        <v>0.61014134339404658</v>
      </c>
      <c r="M47" s="32">
        <f>B47-D47-G47-J47</f>
        <v>32</v>
      </c>
      <c r="N47" s="24">
        <f>M47*100/B47</f>
        <v>5.7764860913045835E-2</v>
      </c>
    </row>
    <row r="48" spans="1:14" x14ac:dyDescent="0.3">
      <c r="A48" s="21" t="s">
        <v>10</v>
      </c>
      <c r="B48" s="32">
        <v>9244</v>
      </c>
      <c r="C48" s="32"/>
      <c r="D48" s="32">
        <v>8945</v>
      </c>
      <c r="E48" s="24">
        <f t="shared" ref="E48:E52" si="23">D48*100/B48</f>
        <v>96.765469493725661</v>
      </c>
      <c r="G48" s="66">
        <f>145+12</f>
        <v>157</v>
      </c>
      <c r="H48" s="24">
        <f t="shared" ref="H48:H52" si="24">G48*100/B48</f>
        <v>1.6983989614885331</v>
      </c>
      <c r="J48" s="32">
        <v>92</v>
      </c>
      <c r="K48" s="24">
        <f t="shared" ref="K48:K52" si="25">J48*100/B48</f>
        <v>0.99524015577671998</v>
      </c>
      <c r="M48" s="32">
        <f t="shared" ref="M48:M52" si="26">B48-D48-G48-J48</f>
        <v>50</v>
      </c>
      <c r="N48" s="24">
        <f t="shared" ref="N48:N52" si="27">M48*100/B48</f>
        <v>0.54089138900908695</v>
      </c>
    </row>
    <row r="49" spans="1:14" x14ac:dyDescent="0.3">
      <c r="A49" s="14" t="s">
        <v>31</v>
      </c>
      <c r="B49" s="32">
        <v>4383</v>
      </c>
      <c r="C49" s="32"/>
      <c r="D49" s="32">
        <v>4277</v>
      </c>
      <c r="E49" s="24">
        <f t="shared" si="23"/>
        <v>97.581565138033312</v>
      </c>
      <c r="G49" s="32">
        <f>53+2</f>
        <v>55</v>
      </c>
      <c r="H49" s="24">
        <f t="shared" si="24"/>
        <v>1.2548482774355465</v>
      </c>
      <c r="J49" s="32">
        <v>40</v>
      </c>
      <c r="K49" s="24">
        <f t="shared" si="25"/>
        <v>0.9126169290440338</v>
      </c>
      <c r="M49" s="32">
        <f t="shared" si="26"/>
        <v>11</v>
      </c>
      <c r="N49" s="24">
        <f t="shared" si="27"/>
        <v>0.25096965548710931</v>
      </c>
    </row>
    <row r="50" spans="1:14" x14ac:dyDescent="0.3">
      <c r="A50" s="14" t="s">
        <v>94</v>
      </c>
      <c r="B50" s="32">
        <v>2674</v>
      </c>
      <c r="C50" s="32"/>
      <c r="D50" s="32">
        <v>2610</v>
      </c>
      <c r="E50" s="24">
        <f t="shared" si="23"/>
        <v>97.60658189977562</v>
      </c>
      <c r="G50" s="32">
        <f>28+4</f>
        <v>32</v>
      </c>
      <c r="H50" s="24">
        <f t="shared" si="24"/>
        <v>1.1967090501121915</v>
      </c>
      <c r="J50" s="32">
        <v>20</v>
      </c>
      <c r="K50" s="24">
        <f t="shared" si="25"/>
        <v>0.74794315632011965</v>
      </c>
      <c r="M50" s="32">
        <f t="shared" si="26"/>
        <v>12</v>
      </c>
      <c r="N50" s="24">
        <f t="shared" si="27"/>
        <v>0.44876589379207182</v>
      </c>
    </row>
    <row r="51" spans="1:14" x14ac:dyDescent="0.3">
      <c r="A51" s="14" t="s">
        <v>95</v>
      </c>
      <c r="B51" s="32">
        <v>1134</v>
      </c>
      <c r="C51" s="32"/>
      <c r="D51" s="32">
        <v>1096</v>
      </c>
      <c r="E51" s="24">
        <f t="shared" si="23"/>
        <v>96.649029982363317</v>
      </c>
      <c r="G51" s="32">
        <f>17+2</f>
        <v>19</v>
      </c>
      <c r="H51" s="24">
        <f t="shared" si="24"/>
        <v>1.6754850088183422</v>
      </c>
      <c r="J51" s="32">
        <v>13</v>
      </c>
      <c r="K51" s="24">
        <f t="shared" si="25"/>
        <v>1.1463844797178131</v>
      </c>
      <c r="M51" s="32">
        <f t="shared" si="26"/>
        <v>6</v>
      </c>
      <c r="N51" s="24">
        <f t="shared" si="27"/>
        <v>0.52910052910052907</v>
      </c>
    </row>
    <row r="52" spans="1:14" x14ac:dyDescent="0.3">
      <c r="A52" s="14" t="s">
        <v>96</v>
      </c>
      <c r="B52" s="32">
        <v>1048</v>
      </c>
      <c r="C52" s="32"/>
      <c r="D52" s="32">
        <v>957</v>
      </c>
      <c r="E52" s="24">
        <f t="shared" si="23"/>
        <v>91.31679389312977</v>
      </c>
      <c r="G52" s="32">
        <f>47+4</f>
        <v>51</v>
      </c>
      <c r="H52" s="24">
        <f t="shared" si="24"/>
        <v>4.8664122137404577</v>
      </c>
      <c r="J52" s="32">
        <v>19</v>
      </c>
      <c r="K52" s="24">
        <f t="shared" si="25"/>
        <v>1.8129770992366412</v>
      </c>
      <c r="M52" s="32">
        <f t="shared" si="26"/>
        <v>21</v>
      </c>
      <c r="N52" s="24">
        <f t="shared" si="27"/>
        <v>2.0038167938931299</v>
      </c>
    </row>
    <row r="53" spans="1:14" x14ac:dyDescent="0.3">
      <c r="A53" s="11" t="s">
        <v>16</v>
      </c>
      <c r="B53" s="32"/>
      <c r="C53" s="32"/>
      <c r="D53" s="32"/>
      <c r="G53" s="32"/>
      <c r="J53" s="32"/>
      <c r="M53" s="32"/>
    </row>
    <row r="54" spans="1:14" x14ac:dyDescent="0.3">
      <c r="A54" s="13" t="s">
        <v>17</v>
      </c>
      <c r="B54" s="32">
        <v>3522</v>
      </c>
      <c r="C54" s="32"/>
      <c r="D54" s="32">
        <v>3358</v>
      </c>
      <c r="E54" s="24">
        <f>D54*100/B54</f>
        <v>95.343554798409997</v>
      </c>
      <c r="G54" s="32">
        <f>72+8</f>
        <v>80</v>
      </c>
      <c r="H54" s="24">
        <f>G54*100/B54</f>
        <v>2.2714366837024418</v>
      </c>
      <c r="J54" s="32">
        <v>76</v>
      </c>
      <c r="K54" s="24">
        <f>J54*100/B54</f>
        <v>2.1578648495173196</v>
      </c>
      <c r="M54" s="32">
        <f>B54-D54-G54-J54</f>
        <v>8</v>
      </c>
      <c r="N54" s="24">
        <f>M54*100/B54</f>
        <v>0.22714366837024419</v>
      </c>
    </row>
    <row r="55" spans="1:14" x14ac:dyDescent="0.3">
      <c r="A55" s="13" t="s">
        <v>18</v>
      </c>
      <c r="B55" s="32">
        <v>30929</v>
      </c>
      <c r="C55" s="32"/>
      <c r="D55" s="32">
        <v>30400</v>
      </c>
      <c r="E55" s="24">
        <f>D55*100/B55</f>
        <v>98.289631090562253</v>
      </c>
      <c r="G55" s="32">
        <f>240+20</f>
        <v>260</v>
      </c>
      <c r="H55" s="24">
        <f>G55*100/B55</f>
        <v>0.84063500274822978</v>
      </c>
      <c r="J55" s="32">
        <v>251</v>
      </c>
      <c r="K55" s="24">
        <f>J55*100/B55</f>
        <v>0.81153609880694488</v>
      </c>
      <c r="M55" s="32">
        <f>B55-D55-G55-J55</f>
        <v>18</v>
      </c>
      <c r="N55" s="24">
        <f>M55*100/B55</f>
        <v>5.8197807882569758E-2</v>
      </c>
    </row>
    <row r="56" spans="1:14" x14ac:dyDescent="0.3">
      <c r="A56" s="13" t="s">
        <v>19</v>
      </c>
      <c r="B56" s="32">
        <v>29912</v>
      </c>
      <c r="C56" s="32"/>
      <c r="D56" s="32">
        <v>29613</v>
      </c>
      <c r="E56" s="24">
        <f>D56*100/B56</f>
        <v>99.000401176785232</v>
      </c>
      <c r="G56" s="32">
        <f>171+10</f>
        <v>181</v>
      </c>
      <c r="H56" s="24">
        <f>G56*100/B56</f>
        <v>0.6051083177320139</v>
      </c>
      <c r="J56" s="32">
        <v>99</v>
      </c>
      <c r="K56" s="24">
        <f>J56*100/B56</f>
        <v>0.33097084782027281</v>
      </c>
      <c r="M56" s="32">
        <f>B56-D56-G56-J56</f>
        <v>19</v>
      </c>
      <c r="N56" s="24">
        <f>M56*100/B56</f>
        <v>6.3519657662476595E-2</v>
      </c>
    </row>
    <row r="57" spans="1:14" x14ac:dyDescent="0.3">
      <c r="A57" s="10" t="s">
        <v>11</v>
      </c>
      <c r="B57" s="32"/>
      <c r="C57" s="32"/>
      <c r="D57" s="32"/>
      <c r="G57" s="32"/>
      <c r="J57" s="32"/>
      <c r="M57" s="32"/>
    </row>
    <row r="58" spans="1:14" x14ac:dyDescent="0.3">
      <c r="A58" s="13" t="s">
        <v>14</v>
      </c>
      <c r="B58" s="32">
        <v>55520</v>
      </c>
      <c r="C58" s="32"/>
      <c r="D58" s="32">
        <v>54946</v>
      </c>
      <c r="E58" s="24">
        <f>D58*100/B58</f>
        <v>98.966138328530263</v>
      </c>
      <c r="G58" s="32">
        <f>265+17</f>
        <v>282</v>
      </c>
      <c r="H58" s="24">
        <f>G58*100/B58</f>
        <v>0.50792507204610948</v>
      </c>
      <c r="J58" s="32">
        <v>226</v>
      </c>
      <c r="K58" s="24">
        <f>J58*100/B58</f>
        <v>0.40706051873198845</v>
      </c>
      <c r="M58" s="32">
        <f>B58-D58-G58-J58</f>
        <v>66</v>
      </c>
      <c r="N58" s="24">
        <f>M58*100/B58</f>
        <v>0.11887608069164265</v>
      </c>
    </row>
    <row r="59" spans="1:14" x14ac:dyDescent="0.3">
      <c r="A59" s="13" t="s">
        <v>87</v>
      </c>
      <c r="B59" s="32">
        <v>7972</v>
      </c>
      <c r="C59" s="32"/>
      <c r="D59" s="32">
        <v>7660</v>
      </c>
      <c r="E59" s="24">
        <f>D59*100/B59</f>
        <v>96.0863020572002</v>
      </c>
      <c r="G59" s="32">
        <f>161+11</f>
        <v>172</v>
      </c>
      <c r="H59" s="24">
        <f>G59*100/B59</f>
        <v>2.1575514300050176</v>
      </c>
      <c r="J59" s="32">
        <v>113</v>
      </c>
      <c r="K59" s="24">
        <f>J59*100/B59</f>
        <v>1.4174611138986453</v>
      </c>
      <c r="M59" s="32">
        <f>B59-D59-G59-J59</f>
        <v>27</v>
      </c>
      <c r="N59" s="24">
        <f>M59*100/B59</f>
        <v>0.33868539889613647</v>
      </c>
    </row>
    <row r="60" spans="1:14" x14ac:dyDescent="0.3">
      <c r="A60" s="13" t="s">
        <v>12</v>
      </c>
      <c r="B60" s="32">
        <v>754</v>
      </c>
      <c r="C60" s="32"/>
      <c r="D60" s="32">
        <v>585</v>
      </c>
      <c r="E60" s="24">
        <f>D60*100/B60</f>
        <v>77.58620689655173</v>
      </c>
      <c r="G60" s="32">
        <f>62+10</f>
        <v>72</v>
      </c>
      <c r="H60" s="24">
        <f>G60*100/B60</f>
        <v>9.5490716180371358</v>
      </c>
      <c r="J60" s="32">
        <v>86</v>
      </c>
      <c r="K60" s="24">
        <f>J60*100/B60</f>
        <v>11.405835543766578</v>
      </c>
      <c r="M60" s="32">
        <f>B60-D60-G60-J60</f>
        <v>11</v>
      </c>
      <c r="N60" s="24">
        <f>M60*100/B60</f>
        <v>1.4588859416445623</v>
      </c>
    </row>
    <row r="61" spans="1:14" x14ac:dyDescent="0.3">
      <c r="A61" s="43" t="s">
        <v>28</v>
      </c>
      <c r="B61" s="33"/>
      <c r="C61" s="42"/>
      <c r="D61" s="33"/>
      <c r="E61" s="25"/>
      <c r="F61" s="15"/>
      <c r="G61" s="33"/>
      <c r="H61" s="25"/>
      <c r="I61" s="15"/>
      <c r="J61" s="33"/>
      <c r="K61" s="25"/>
      <c r="L61" s="15"/>
      <c r="M61" s="33"/>
      <c r="N61" s="25"/>
    </row>
    <row r="62" spans="1:14" x14ac:dyDescent="0.3">
      <c r="A62" s="16" t="s">
        <v>29</v>
      </c>
      <c r="B62" s="15">
        <v>56517</v>
      </c>
      <c r="C62" s="42"/>
      <c r="D62" s="33">
        <v>56078</v>
      </c>
      <c r="E62" s="25">
        <f>D62/$B62*100</f>
        <v>99.223242564184233</v>
      </c>
      <c r="F62" s="15"/>
      <c r="G62" s="32">
        <f>213+12</f>
        <v>225</v>
      </c>
      <c r="H62" s="25">
        <f>G62/$B62*100</f>
        <v>0.39811030309464412</v>
      </c>
      <c r="I62" s="15"/>
      <c r="J62" s="33">
        <v>141</v>
      </c>
      <c r="K62" s="25">
        <f>J62/$B62*100</f>
        <v>0.24948245660597695</v>
      </c>
      <c r="L62" s="15"/>
      <c r="M62" s="33">
        <f>B62-D62-G62-J62</f>
        <v>73</v>
      </c>
      <c r="N62" s="25">
        <f>M62/$B62*100</f>
        <v>0.12916467611515117</v>
      </c>
    </row>
    <row r="63" spans="1:14" ht="14.4" thickBot="1" x14ac:dyDescent="0.35">
      <c r="A63" s="72" t="s">
        <v>30</v>
      </c>
      <c r="B63" s="73">
        <v>7754</v>
      </c>
      <c r="C63" s="74"/>
      <c r="D63" s="75">
        <v>7137</v>
      </c>
      <c r="E63" s="76">
        <f t="shared" ref="E63" si="28">D63/$B63*100</f>
        <v>92.042816610781529</v>
      </c>
      <c r="F63" s="73"/>
      <c r="G63" s="75">
        <f>275+26</f>
        <v>301</v>
      </c>
      <c r="H63" s="76">
        <f t="shared" ref="H63" si="29">G63/$B63*100</f>
        <v>3.8818674232654118</v>
      </c>
      <c r="I63" s="73"/>
      <c r="J63" s="75">
        <v>285</v>
      </c>
      <c r="K63" s="76">
        <f t="shared" ref="K63" si="30">J63/$B63*100</f>
        <v>3.6755223110652566</v>
      </c>
      <c r="L63" s="73"/>
      <c r="M63" s="75">
        <f>B63-D63-G63-J63</f>
        <v>31</v>
      </c>
      <c r="N63" s="76">
        <f t="shared" ref="N63" si="31">M63/$B63*100</f>
        <v>0.39979365488779983</v>
      </c>
    </row>
  </sheetData>
  <mergeCells count="4">
    <mergeCell ref="D3:E3"/>
    <mergeCell ref="G3:H3"/>
    <mergeCell ref="J3:K3"/>
    <mergeCell ref="M3:N3"/>
  </mergeCells>
  <pageMargins left="0.7" right="0.7" top="0.75" bottom="0.75" header="0.3" footer="0.3"/>
  <pageSetup paperSize="9" scale="54" orientation="portrait" r:id="rId1"/>
  <ignoredErrors>
    <ignoredError sqref="B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workbookViewId="0"/>
  </sheetViews>
  <sheetFormatPr defaultColWidth="9.109375" defaultRowHeight="13.8" x14ac:dyDescent="0.3"/>
  <cols>
    <col min="1" max="1" width="62.33203125" style="8" customWidth="1"/>
    <col min="2" max="2" width="10.6640625" style="8" customWidth="1"/>
    <col min="3" max="3" width="1.6640625" style="8" customWidth="1"/>
    <col min="4" max="4" width="10.6640625" style="8" customWidth="1"/>
    <col min="5" max="5" width="10.6640625" style="24" customWidth="1"/>
    <col min="6" max="6" width="1.6640625" style="8" customWidth="1"/>
    <col min="7" max="8" width="10.6640625" style="8" customWidth="1"/>
    <col min="9" max="9" width="1.6640625" style="8" customWidth="1"/>
    <col min="10" max="11" width="10.6640625" style="8" customWidth="1"/>
    <col min="12" max="12" width="1.6640625" style="8" customWidth="1"/>
    <col min="13" max="14" width="10.6640625" style="8" customWidth="1"/>
    <col min="15" max="16384" width="9.109375" style="8"/>
  </cols>
  <sheetData>
    <row r="1" spans="1:14" x14ac:dyDescent="0.3">
      <c r="A1" s="3" t="s">
        <v>97</v>
      </c>
    </row>
    <row r="2" spans="1:14" ht="14.4" thickBot="1" x14ac:dyDescent="0.35">
      <c r="A2" s="73"/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</row>
    <row r="3" spans="1:14" ht="14.4" x14ac:dyDescent="0.3">
      <c r="A3" s="15"/>
      <c r="B3" s="26" t="s">
        <v>26</v>
      </c>
      <c r="C3" s="77"/>
      <c r="D3" s="86" t="s">
        <v>0</v>
      </c>
      <c r="E3" s="86"/>
      <c r="F3" s="15"/>
      <c r="G3" s="86" t="s">
        <v>13</v>
      </c>
      <c r="H3" s="86"/>
      <c r="I3" s="15"/>
      <c r="J3" s="86" t="s">
        <v>60</v>
      </c>
      <c r="K3" s="86"/>
      <c r="M3" s="86" t="s">
        <v>27</v>
      </c>
      <c r="N3" s="87"/>
    </row>
    <row r="4" spans="1:14" x14ac:dyDescent="0.3">
      <c r="A4" s="18"/>
      <c r="B4" s="26" t="s">
        <v>4</v>
      </c>
      <c r="C4" s="19"/>
      <c r="D4" s="27" t="s">
        <v>4</v>
      </c>
      <c r="E4" s="28" t="s">
        <v>5</v>
      </c>
      <c r="F4" s="27"/>
      <c r="G4" s="27" t="s">
        <v>4</v>
      </c>
      <c r="H4" s="27" t="s">
        <v>5</v>
      </c>
      <c r="I4" s="27"/>
      <c r="J4" s="27" t="s">
        <v>4</v>
      </c>
      <c r="K4" s="27" t="s">
        <v>5</v>
      </c>
      <c r="L4" s="27"/>
      <c r="M4" s="27" t="s">
        <v>4</v>
      </c>
      <c r="N4" s="27" t="s">
        <v>5</v>
      </c>
    </row>
    <row r="5" spans="1:14" s="2" customFormat="1" x14ac:dyDescent="0.3">
      <c r="A5" s="9" t="s">
        <v>7</v>
      </c>
      <c r="B5" s="30">
        <f>SUM(B6:B7)</f>
        <v>122440</v>
      </c>
      <c r="C5" s="30"/>
      <c r="D5" s="30">
        <f>SUM(D6:D7)</f>
        <v>120683</v>
      </c>
      <c r="E5" s="35">
        <f>D5*100/B5</f>
        <v>98.565011434171836</v>
      </c>
      <c r="F5" s="1"/>
      <c r="G5" s="30">
        <f>SUM(G6:G7)</f>
        <v>959</v>
      </c>
      <c r="H5" s="35">
        <f>G5*100/B5</f>
        <v>0.78324077098987255</v>
      </c>
      <c r="J5" s="30">
        <f>SUM(J6:J7)</f>
        <v>595</v>
      </c>
      <c r="K5" s="35">
        <f>J5*100/B5</f>
        <v>0.48595230316889904</v>
      </c>
      <c r="M5" s="30">
        <f>SUM(M6:M7)</f>
        <v>203</v>
      </c>
      <c r="N5" s="35">
        <f>M5*100/B5</f>
        <v>0.16579549166938909</v>
      </c>
    </row>
    <row r="6" spans="1:14" x14ac:dyDescent="0.3">
      <c r="A6" s="20" t="s">
        <v>32</v>
      </c>
      <c r="B6" s="31">
        <f>B26</f>
        <v>59720</v>
      </c>
      <c r="C6" s="32"/>
      <c r="D6" s="31">
        <f>D26</f>
        <v>58939</v>
      </c>
      <c r="E6" s="24">
        <f>D6*100/B6</f>
        <v>98.692230408573337</v>
      </c>
      <c r="G6" s="31">
        <f>G26</f>
        <v>457</v>
      </c>
      <c r="H6" s="24">
        <f>G6*100/B6</f>
        <v>0.7652377762893503</v>
      </c>
      <c r="J6" s="31">
        <f>J26</f>
        <v>219</v>
      </c>
      <c r="K6" s="24">
        <f>J6*100/B6</f>
        <v>0.36671131949095781</v>
      </c>
      <c r="M6" s="31">
        <f>M26</f>
        <v>105</v>
      </c>
      <c r="N6" s="24">
        <f>M6*100/B6</f>
        <v>0.17582049564634963</v>
      </c>
    </row>
    <row r="7" spans="1:14" x14ac:dyDescent="0.3">
      <c r="A7" s="20" t="s">
        <v>33</v>
      </c>
      <c r="B7" s="31">
        <f>B45</f>
        <v>62720</v>
      </c>
      <c r="C7" s="32"/>
      <c r="D7" s="31">
        <f>D45</f>
        <v>61744</v>
      </c>
      <c r="E7" s="24">
        <f>D7*100/B7</f>
        <v>98.443877551020407</v>
      </c>
      <c r="G7" s="31">
        <f>G45</f>
        <v>502</v>
      </c>
      <c r="H7" s="24">
        <f>G7*100/B7</f>
        <v>0.80038265306122447</v>
      </c>
      <c r="J7" s="31">
        <f>J45</f>
        <v>376</v>
      </c>
      <c r="K7" s="24">
        <f>J7*100/B7</f>
        <v>0.59948979591836737</v>
      </c>
      <c r="M7" s="31">
        <f>M45</f>
        <v>98</v>
      </c>
      <c r="N7" s="24">
        <f>M7*100/B7</f>
        <v>0.15625</v>
      </c>
    </row>
    <row r="8" spans="1:14" x14ac:dyDescent="0.3">
      <c r="A8" s="10" t="s">
        <v>8</v>
      </c>
      <c r="B8" s="32"/>
      <c r="C8" s="32"/>
      <c r="D8" s="32"/>
      <c r="G8" s="32"/>
      <c r="J8" s="32"/>
      <c r="M8" s="32"/>
    </row>
    <row r="9" spans="1:14" x14ac:dyDescent="0.3">
      <c r="A9" s="20" t="s">
        <v>9</v>
      </c>
      <c r="B9" s="32">
        <f t="shared" ref="B9:B14" si="0">B28+B47</f>
        <v>105484</v>
      </c>
      <c r="C9" s="32"/>
      <c r="D9" s="32">
        <f t="shared" ref="D9:D14" si="1">D28+D47</f>
        <v>104257</v>
      </c>
      <c r="E9" s="24">
        <f>D9*100/B9</f>
        <v>98.836790413712038</v>
      </c>
      <c r="G9" s="32">
        <f t="shared" ref="G9:G14" si="2">G28+G47</f>
        <v>693</v>
      </c>
      <c r="H9" s="24">
        <f>G9*100/B9</f>
        <v>0.65697167342914564</v>
      </c>
      <c r="J9" s="32">
        <f t="shared" ref="J9:J14" si="3">J28+J47</f>
        <v>464</v>
      </c>
      <c r="K9" s="24">
        <f>J9*100/B9</f>
        <v>0.43987713776496912</v>
      </c>
      <c r="M9" s="32">
        <f t="shared" ref="M9:M14" si="4">M28+M47</f>
        <v>70</v>
      </c>
      <c r="N9" s="24">
        <f>M9*100/B9</f>
        <v>6.6360775093853103E-2</v>
      </c>
    </row>
    <row r="10" spans="1:14" x14ac:dyDescent="0.3">
      <c r="A10" s="21" t="s">
        <v>10</v>
      </c>
      <c r="B10" s="32">
        <f t="shared" si="0"/>
        <v>17575</v>
      </c>
      <c r="C10" s="32"/>
      <c r="D10" s="32">
        <f t="shared" si="1"/>
        <v>17079</v>
      </c>
      <c r="E10" s="24">
        <f t="shared" ref="E10:E18" si="5">D10*100/B10</f>
        <v>97.177809388335703</v>
      </c>
      <c r="G10" s="32">
        <f t="shared" si="2"/>
        <v>277</v>
      </c>
      <c r="H10" s="24">
        <f t="shared" ref="H10:H14" si="6">G10*100/B10</f>
        <v>1.5761024182076813</v>
      </c>
      <c r="J10" s="32">
        <f t="shared" si="3"/>
        <v>138</v>
      </c>
      <c r="K10" s="24">
        <f t="shared" ref="K10:K14" si="7">J10*100/B10</f>
        <v>0.78520625889046947</v>
      </c>
      <c r="M10" s="32">
        <f t="shared" si="4"/>
        <v>81</v>
      </c>
      <c r="N10" s="24">
        <f t="shared" ref="N10:N14" si="8">M10*100/B10</f>
        <v>0.46088193456614507</v>
      </c>
    </row>
    <row r="11" spans="1:14" x14ac:dyDescent="0.3">
      <c r="A11" s="14" t="s">
        <v>31</v>
      </c>
      <c r="B11" s="32">
        <f t="shared" si="0"/>
        <v>9262</v>
      </c>
      <c r="C11" s="32"/>
      <c r="D11" s="32">
        <f t="shared" si="1"/>
        <v>9084</v>
      </c>
      <c r="E11" s="24">
        <f t="shared" si="5"/>
        <v>98.078168862016838</v>
      </c>
      <c r="G11" s="32">
        <f t="shared" si="2"/>
        <v>101</v>
      </c>
      <c r="H11" s="24">
        <f t="shared" si="6"/>
        <v>1.0904772187432521</v>
      </c>
      <c r="J11" s="32">
        <f t="shared" si="3"/>
        <v>64</v>
      </c>
      <c r="K11" s="24">
        <f t="shared" si="7"/>
        <v>0.69099546534225864</v>
      </c>
      <c r="M11" s="32">
        <f t="shared" si="4"/>
        <v>13</v>
      </c>
      <c r="N11" s="24">
        <f t="shared" si="8"/>
        <v>0.14035845389764628</v>
      </c>
    </row>
    <row r="12" spans="1:14" x14ac:dyDescent="0.3">
      <c r="A12" s="14" t="s">
        <v>94</v>
      </c>
      <c r="B12" s="32">
        <f t="shared" si="0"/>
        <v>4019</v>
      </c>
      <c r="C12" s="32"/>
      <c r="D12" s="32">
        <f t="shared" si="1"/>
        <v>3937</v>
      </c>
      <c r="E12" s="24">
        <f t="shared" si="5"/>
        <v>97.959691465538697</v>
      </c>
      <c r="G12" s="32">
        <f t="shared" si="2"/>
        <v>32</v>
      </c>
      <c r="H12" s="24">
        <f t="shared" si="6"/>
        <v>0.79621796466782779</v>
      </c>
      <c r="J12" s="32">
        <f t="shared" si="3"/>
        <v>33</v>
      </c>
      <c r="K12" s="24">
        <f t="shared" si="7"/>
        <v>0.82109977606369744</v>
      </c>
      <c r="M12" s="32">
        <f t="shared" si="4"/>
        <v>17</v>
      </c>
      <c r="N12" s="24">
        <f t="shared" si="8"/>
        <v>0.42299079372978354</v>
      </c>
    </row>
    <row r="13" spans="1:14" x14ac:dyDescent="0.3">
      <c r="A13" s="14" t="s">
        <v>95</v>
      </c>
      <c r="B13" s="32">
        <f t="shared" si="0"/>
        <v>2135</v>
      </c>
      <c r="C13" s="32"/>
      <c r="D13" s="32">
        <f t="shared" si="1"/>
        <v>2065</v>
      </c>
      <c r="E13" s="24">
        <f t="shared" si="5"/>
        <v>96.721311475409834</v>
      </c>
      <c r="G13" s="32">
        <f t="shared" si="2"/>
        <v>29</v>
      </c>
      <c r="H13" s="24">
        <f t="shared" si="6"/>
        <v>1.3583138173302107</v>
      </c>
      <c r="J13" s="32">
        <f t="shared" si="3"/>
        <v>21</v>
      </c>
      <c r="K13" s="24">
        <f t="shared" si="7"/>
        <v>0.98360655737704916</v>
      </c>
      <c r="M13" s="32">
        <f t="shared" si="4"/>
        <v>20</v>
      </c>
      <c r="N13" s="24">
        <f t="shared" si="8"/>
        <v>0.93676814988290402</v>
      </c>
    </row>
    <row r="14" spans="1:14" x14ac:dyDescent="0.3">
      <c r="A14" s="14" t="s">
        <v>96</v>
      </c>
      <c r="B14" s="32">
        <f t="shared" si="0"/>
        <v>2149</v>
      </c>
      <c r="C14" s="32"/>
      <c r="D14" s="32">
        <f t="shared" si="1"/>
        <v>1984</v>
      </c>
      <c r="E14" s="24">
        <f t="shared" si="5"/>
        <v>92.322010237319688</v>
      </c>
      <c r="G14" s="32">
        <f t="shared" si="2"/>
        <v>115</v>
      </c>
      <c r="H14" s="24">
        <f t="shared" si="6"/>
        <v>5.3513261982317353</v>
      </c>
      <c r="J14" s="32">
        <f t="shared" si="3"/>
        <v>20</v>
      </c>
      <c r="K14" s="24">
        <f t="shared" si="7"/>
        <v>0.93066542577943234</v>
      </c>
      <c r="M14" s="32">
        <f t="shared" si="4"/>
        <v>30</v>
      </c>
      <c r="N14" s="24">
        <f t="shared" si="8"/>
        <v>1.3959981386691485</v>
      </c>
    </row>
    <row r="15" spans="1:14" x14ac:dyDescent="0.3">
      <c r="A15" s="11" t="s">
        <v>16</v>
      </c>
      <c r="B15" s="32"/>
      <c r="C15" s="32"/>
      <c r="D15" s="32"/>
      <c r="G15" s="32"/>
      <c r="J15" s="32"/>
      <c r="M15" s="32"/>
    </row>
    <row r="16" spans="1:14" x14ac:dyDescent="0.3">
      <c r="A16" s="13" t="s">
        <v>17</v>
      </c>
      <c r="B16" s="32">
        <f>B35+B54</f>
        <v>6317</v>
      </c>
      <c r="C16" s="32"/>
      <c r="D16" s="32">
        <f>D35+D54</f>
        <v>6069</v>
      </c>
      <c r="E16" s="24">
        <f t="shared" si="5"/>
        <v>96.074085800221624</v>
      </c>
      <c r="G16" s="32">
        <f>G35+G54</f>
        <v>132</v>
      </c>
      <c r="H16" s="24">
        <f>G16*100/B16</f>
        <v>2.0895994934304256</v>
      </c>
      <c r="J16" s="32">
        <f>J35+J54</f>
        <v>104</v>
      </c>
      <c r="K16" s="24">
        <f>J16*100/B16</f>
        <v>1.6463511160360931</v>
      </c>
      <c r="M16" s="32">
        <f>M35+M54</f>
        <v>12</v>
      </c>
      <c r="N16" s="24">
        <f>M16*100/B16</f>
        <v>0.18996359031185689</v>
      </c>
    </row>
    <row r="17" spans="1:14" x14ac:dyDescent="0.3">
      <c r="A17" s="13" t="s">
        <v>18</v>
      </c>
      <c r="B17" s="32">
        <f>B36+B55</f>
        <v>57682</v>
      </c>
      <c r="C17" s="32"/>
      <c r="D17" s="32">
        <f>D36+D55</f>
        <v>56835</v>
      </c>
      <c r="E17" s="24">
        <f t="shared" si="5"/>
        <v>98.531604313303973</v>
      </c>
      <c r="G17" s="32">
        <f>G36+G55</f>
        <v>478</v>
      </c>
      <c r="H17" s="24">
        <f>G17*100/B17</f>
        <v>0.82868139107520544</v>
      </c>
      <c r="J17" s="32">
        <f>J36+J55</f>
        <v>339</v>
      </c>
      <c r="K17" s="24">
        <f>J17*100/B17</f>
        <v>0.58770500329392183</v>
      </c>
      <c r="M17" s="32">
        <f>M36+M55</f>
        <v>30</v>
      </c>
      <c r="N17" s="24">
        <f>M17*100/B17</f>
        <v>5.2009292326895738E-2</v>
      </c>
    </row>
    <row r="18" spans="1:14" x14ac:dyDescent="0.3">
      <c r="A18" s="13" t="s">
        <v>19</v>
      </c>
      <c r="B18" s="32">
        <f>B37+B56</f>
        <v>58459</v>
      </c>
      <c r="C18" s="32"/>
      <c r="D18" s="32">
        <f>D37+D56</f>
        <v>57950</v>
      </c>
      <c r="E18" s="24">
        <f t="shared" si="5"/>
        <v>99.129304298739285</v>
      </c>
      <c r="G18" s="32">
        <f>G37+G56</f>
        <v>328</v>
      </c>
      <c r="H18" s="24">
        <f>G18*100/B18</f>
        <v>0.56107699413264001</v>
      </c>
      <c r="J18" s="32">
        <f>J37+J56</f>
        <v>148</v>
      </c>
      <c r="K18" s="24">
        <f>J18*100/B18</f>
        <v>0.25316888759643513</v>
      </c>
      <c r="M18" s="32">
        <f>M37+M56</f>
        <v>33</v>
      </c>
      <c r="N18" s="24">
        <f>M18*100/B18</f>
        <v>5.6449819531637559E-2</v>
      </c>
    </row>
    <row r="19" spans="1:14" x14ac:dyDescent="0.3">
      <c r="A19" s="10" t="s">
        <v>11</v>
      </c>
      <c r="B19" s="32"/>
      <c r="C19" s="32"/>
      <c r="D19" s="32"/>
      <c r="G19" s="32"/>
      <c r="J19" s="32"/>
      <c r="M19" s="32"/>
    </row>
    <row r="20" spans="1:14" x14ac:dyDescent="0.3">
      <c r="A20" s="13" t="s">
        <v>14</v>
      </c>
      <c r="B20" s="32">
        <f>B39+B58</f>
        <v>108040</v>
      </c>
      <c r="C20" s="32"/>
      <c r="D20" s="32">
        <f>D39+D58</f>
        <v>107086</v>
      </c>
      <c r="E20" s="24">
        <f>D20*100/B20</f>
        <v>99.116993706034805</v>
      </c>
      <c r="G20" s="32">
        <f>G39+G58</f>
        <v>537</v>
      </c>
      <c r="H20" s="24">
        <f>G20*100/B20</f>
        <v>0.49703813402443542</v>
      </c>
      <c r="J20" s="32">
        <f>J39+J58</f>
        <v>280</v>
      </c>
      <c r="K20" s="24">
        <f>J20*100/B20</f>
        <v>0.25916327286190299</v>
      </c>
      <c r="M20" s="32">
        <f>M39+M58</f>
        <v>137</v>
      </c>
      <c r="N20" s="24">
        <f>M20*100/B20</f>
        <v>0.12680488707885967</v>
      </c>
    </row>
    <row r="21" spans="1:14" x14ac:dyDescent="0.3">
      <c r="A21" s="13" t="s">
        <v>87</v>
      </c>
      <c r="B21" s="32">
        <f>B40+B59</f>
        <v>13067</v>
      </c>
      <c r="C21" s="32"/>
      <c r="D21" s="32">
        <f>D40+D59</f>
        <v>12557</v>
      </c>
      <c r="E21" s="24">
        <f>D21*100/B21</f>
        <v>96.097038340858646</v>
      </c>
      <c r="G21" s="32">
        <f>G40+G59</f>
        <v>271</v>
      </c>
      <c r="H21" s="24">
        <f>G21*100/B21</f>
        <v>2.0739266855437362</v>
      </c>
      <c r="J21" s="32">
        <f>J40+J59</f>
        <v>190</v>
      </c>
      <c r="K21" s="24">
        <f>J21*100/B21</f>
        <v>1.4540445396801103</v>
      </c>
      <c r="M21" s="32">
        <f>M40+M59</f>
        <v>49</v>
      </c>
      <c r="N21" s="24">
        <f>M21*100/B21</f>
        <v>0.37499043391750209</v>
      </c>
    </row>
    <row r="22" spans="1:14" x14ac:dyDescent="0.3">
      <c r="A22" s="13" t="s">
        <v>12</v>
      </c>
      <c r="B22" s="32">
        <f>B41+B60</f>
        <v>1296</v>
      </c>
      <c r="C22" s="32"/>
      <c r="D22" s="32">
        <f>D41+D60</f>
        <v>1004</v>
      </c>
      <c r="E22" s="24">
        <f>D22*100/B22</f>
        <v>77.46913580246914</v>
      </c>
      <c r="G22" s="32">
        <f>G41+G60</f>
        <v>151</v>
      </c>
      <c r="H22" s="24">
        <f>G22*100/B22</f>
        <v>11.651234567901234</v>
      </c>
      <c r="J22" s="32">
        <f>J41+J60</f>
        <v>124</v>
      </c>
      <c r="K22" s="24">
        <f>J22*100/B22</f>
        <v>9.567901234567902</v>
      </c>
      <c r="M22" s="32">
        <f>M41+M60</f>
        <v>17</v>
      </c>
      <c r="N22" s="24">
        <f>M22*100/B22</f>
        <v>1.3117283950617284</v>
      </c>
    </row>
    <row r="23" spans="1:14" x14ac:dyDescent="0.3">
      <c r="A23" s="43" t="s">
        <v>28</v>
      </c>
      <c r="B23" s="33"/>
      <c r="C23" s="42"/>
      <c r="D23" s="33"/>
      <c r="E23" s="25"/>
      <c r="F23" s="15"/>
      <c r="G23" s="33"/>
      <c r="H23" s="25"/>
      <c r="I23" s="15"/>
      <c r="J23" s="33"/>
      <c r="K23" s="25"/>
      <c r="L23" s="15"/>
      <c r="M23" s="33"/>
      <c r="N23" s="25"/>
    </row>
    <row r="24" spans="1:14" x14ac:dyDescent="0.3">
      <c r="A24" s="16" t="s">
        <v>29</v>
      </c>
      <c r="B24" s="33">
        <f>B43+B62</f>
        <v>108990</v>
      </c>
      <c r="C24" s="42"/>
      <c r="D24" s="33">
        <f>D43+D62</f>
        <v>108306</v>
      </c>
      <c r="E24" s="25">
        <f>D24/$B24*100</f>
        <v>99.372419488026424</v>
      </c>
      <c r="F24" s="15"/>
      <c r="G24" s="33">
        <f>G43+G62</f>
        <v>366</v>
      </c>
      <c r="H24" s="25">
        <f>G24/$B24*100</f>
        <v>0.33581062482796586</v>
      </c>
      <c r="I24" s="15"/>
      <c r="J24" s="33">
        <f>J43+J62</f>
        <v>191</v>
      </c>
      <c r="K24" s="25">
        <f>J24/$B24*100</f>
        <v>0.17524543536104228</v>
      </c>
      <c r="L24" s="15"/>
      <c r="M24" s="33">
        <f>M43+M62</f>
        <v>127</v>
      </c>
      <c r="N24" s="25">
        <f>M24/$B24*100</f>
        <v>0.11652445178456738</v>
      </c>
    </row>
    <row r="25" spans="1:14" x14ac:dyDescent="0.3">
      <c r="A25" s="17" t="s">
        <v>30</v>
      </c>
      <c r="B25" s="34">
        <f>B44+B63</f>
        <v>13450</v>
      </c>
      <c r="C25" s="38"/>
      <c r="D25" s="34">
        <f>D44+D63</f>
        <v>12377</v>
      </c>
      <c r="E25" s="29">
        <f t="shared" ref="E25" si="9">D25/$B25*100</f>
        <v>92.022304832713758</v>
      </c>
      <c r="F25" s="18"/>
      <c r="G25" s="34">
        <f>G44+G63</f>
        <v>593</v>
      </c>
      <c r="H25" s="29">
        <f t="shared" ref="H25" si="10">G25/$B25*100</f>
        <v>4.4089219330855016</v>
      </c>
      <c r="I25" s="18"/>
      <c r="J25" s="34">
        <f>J44+J63</f>
        <v>404</v>
      </c>
      <c r="K25" s="29">
        <f t="shared" ref="K25" si="11">J25/$B25*100</f>
        <v>3.003717472118959</v>
      </c>
      <c r="L25" s="18"/>
      <c r="M25" s="34">
        <f>M44+M63</f>
        <v>76</v>
      </c>
      <c r="N25" s="29">
        <f t="shared" ref="N25" si="12">M25/$B25*100</f>
        <v>0.56505576208178443</v>
      </c>
    </row>
    <row r="26" spans="1:14" s="2" customFormat="1" x14ac:dyDescent="0.3">
      <c r="A26" s="9" t="s">
        <v>34</v>
      </c>
      <c r="B26" s="36">
        <f>SUM(B43:B44)</f>
        <v>59720</v>
      </c>
      <c r="C26" s="37"/>
      <c r="D26" s="36">
        <f>SUM(D43:D44)</f>
        <v>58939</v>
      </c>
      <c r="E26" s="35">
        <f>D26*100/B26</f>
        <v>98.692230408573337</v>
      </c>
      <c r="G26" s="36">
        <f>SUM(G43:G44)</f>
        <v>457</v>
      </c>
      <c r="H26" s="35">
        <f>G26*100/B26</f>
        <v>0.7652377762893503</v>
      </c>
      <c r="J26" s="36">
        <f>SUM(J43:J44)</f>
        <v>219</v>
      </c>
      <c r="K26" s="35">
        <f>J26*100/B26</f>
        <v>0.36671131949095781</v>
      </c>
      <c r="M26" s="36">
        <f>SUM(M43:M44)</f>
        <v>105</v>
      </c>
      <c r="N26" s="35">
        <f>M26*100/B26</f>
        <v>0.17582049564634963</v>
      </c>
    </row>
    <row r="27" spans="1:14" x14ac:dyDescent="0.3">
      <c r="A27" s="10" t="s">
        <v>8</v>
      </c>
      <c r="B27" s="33"/>
      <c r="C27" s="33"/>
      <c r="D27" s="33"/>
      <c r="E27" s="25"/>
      <c r="F27" s="15"/>
      <c r="G27" s="33"/>
      <c r="H27" s="15"/>
      <c r="I27" s="15"/>
      <c r="J27" s="33"/>
      <c r="K27" s="15"/>
      <c r="L27" s="15"/>
      <c r="M27" s="33"/>
    </row>
    <row r="28" spans="1:14" x14ac:dyDescent="0.3">
      <c r="A28" s="20" t="s">
        <v>9</v>
      </c>
      <c r="B28" s="32">
        <v>51400</v>
      </c>
      <c r="C28" s="32"/>
      <c r="D28" s="32">
        <v>50877</v>
      </c>
      <c r="E28" s="24">
        <f>D28*100/B28</f>
        <v>98.982490272373539</v>
      </c>
      <c r="G28" s="32">
        <f>306+28</f>
        <v>334</v>
      </c>
      <c r="H28" s="24">
        <f>G28*100/B28</f>
        <v>0.64980544747081714</v>
      </c>
      <c r="J28" s="32">
        <v>151</v>
      </c>
      <c r="K28" s="24">
        <f>J28*100/B28</f>
        <v>0.29377431906614787</v>
      </c>
      <c r="M28" s="32">
        <f>B28-D28-G28-J28</f>
        <v>38</v>
      </c>
      <c r="N28" s="24">
        <f>M28*100/B28</f>
        <v>7.3929961089494164E-2</v>
      </c>
    </row>
    <row r="29" spans="1:14" x14ac:dyDescent="0.3">
      <c r="A29" s="21" t="s">
        <v>10</v>
      </c>
      <c r="B29" s="32">
        <v>8634</v>
      </c>
      <c r="C29" s="32"/>
      <c r="D29" s="32">
        <v>8403</v>
      </c>
      <c r="E29" s="24">
        <f>D29*100/B29</f>
        <v>97.324530924252954</v>
      </c>
      <c r="G29" s="32">
        <f>113+15</f>
        <v>128</v>
      </c>
      <c r="H29" s="24">
        <f t="shared" ref="H29:H33" si="13">G29*100/B29</f>
        <v>1.4825110030113504</v>
      </c>
      <c r="J29" s="32">
        <v>70</v>
      </c>
      <c r="K29" s="24">
        <f t="shared" ref="K29:K33" si="14">J29*100/B29</f>
        <v>0.81074820477183229</v>
      </c>
      <c r="M29" s="32">
        <f t="shared" ref="M29:M33" si="15">B29-D29-G29-J29</f>
        <v>33</v>
      </c>
      <c r="N29" s="24">
        <f t="shared" ref="N29:N33" si="16">M29*100/B29</f>
        <v>0.3822098679638638</v>
      </c>
    </row>
    <row r="30" spans="1:14" x14ac:dyDescent="0.3">
      <c r="A30" s="14" t="s">
        <v>31</v>
      </c>
      <c r="B30" s="32">
        <v>4536</v>
      </c>
      <c r="C30" s="32"/>
      <c r="D30" s="32">
        <v>4457</v>
      </c>
      <c r="E30" s="24">
        <f>D30*100/B30</f>
        <v>98.258377425044088</v>
      </c>
      <c r="G30" s="32">
        <f>40+6</f>
        <v>46</v>
      </c>
      <c r="H30" s="24">
        <f t="shared" si="13"/>
        <v>1.0141093474426808</v>
      </c>
      <c r="J30" s="32">
        <v>30</v>
      </c>
      <c r="K30" s="24">
        <f t="shared" si="14"/>
        <v>0.66137566137566139</v>
      </c>
      <c r="M30" s="32">
        <f t="shared" si="15"/>
        <v>3</v>
      </c>
      <c r="N30" s="24">
        <f t="shared" si="16"/>
        <v>6.6137566137566134E-2</v>
      </c>
    </row>
    <row r="31" spans="1:14" x14ac:dyDescent="0.3">
      <c r="A31" s="14" t="s">
        <v>94</v>
      </c>
      <c r="B31" s="32">
        <v>1998</v>
      </c>
      <c r="C31" s="32"/>
      <c r="D31" s="32">
        <v>1959</v>
      </c>
      <c r="E31" s="24">
        <f t="shared" ref="E31:E33" si="17">D31*100/B31</f>
        <v>98.048048048048045</v>
      </c>
      <c r="G31" s="32">
        <f>13+1</f>
        <v>14</v>
      </c>
      <c r="H31" s="24">
        <f t="shared" si="13"/>
        <v>0.70070070070070067</v>
      </c>
      <c r="J31" s="32">
        <v>16</v>
      </c>
      <c r="K31" s="24">
        <f t="shared" si="14"/>
        <v>0.80080080080080085</v>
      </c>
      <c r="M31" s="32">
        <f t="shared" si="15"/>
        <v>9</v>
      </c>
      <c r="N31" s="24">
        <f t="shared" si="16"/>
        <v>0.45045045045045046</v>
      </c>
    </row>
    <row r="32" spans="1:14" x14ac:dyDescent="0.3">
      <c r="A32" s="14" t="s">
        <v>95</v>
      </c>
      <c r="B32" s="32">
        <v>1071</v>
      </c>
      <c r="C32" s="32"/>
      <c r="D32" s="32">
        <v>1035</v>
      </c>
      <c r="E32" s="24">
        <f t="shared" si="17"/>
        <v>96.638655462184872</v>
      </c>
      <c r="G32" s="32">
        <f>12+2</f>
        <v>14</v>
      </c>
      <c r="H32" s="24">
        <f t="shared" si="13"/>
        <v>1.3071895424836601</v>
      </c>
      <c r="J32" s="32">
        <v>12</v>
      </c>
      <c r="K32" s="24">
        <f t="shared" si="14"/>
        <v>1.1204481792717087</v>
      </c>
      <c r="M32" s="32">
        <f t="shared" si="15"/>
        <v>10</v>
      </c>
      <c r="N32" s="24">
        <f t="shared" si="16"/>
        <v>0.93370681605975725</v>
      </c>
    </row>
    <row r="33" spans="1:14" x14ac:dyDescent="0.3">
      <c r="A33" s="14" t="s">
        <v>96</v>
      </c>
      <c r="B33" s="32">
        <v>1024</v>
      </c>
      <c r="C33" s="32"/>
      <c r="D33" s="32">
        <v>947</v>
      </c>
      <c r="E33" s="24">
        <f t="shared" si="17"/>
        <v>92.48046875</v>
      </c>
      <c r="G33" s="32">
        <f>48+6</f>
        <v>54</v>
      </c>
      <c r="H33" s="24">
        <f t="shared" si="13"/>
        <v>5.2734375</v>
      </c>
      <c r="J33" s="32">
        <v>12</v>
      </c>
      <c r="K33" s="24">
        <f t="shared" si="14"/>
        <v>1.171875</v>
      </c>
      <c r="M33" s="32">
        <f t="shared" si="15"/>
        <v>11</v>
      </c>
      <c r="N33" s="24">
        <f t="shared" si="16"/>
        <v>1.07421875</v>
      </c>
    </row>
    <row r="34" spans="1:14" x14ac:dyDescent="0.3">
      <c r="A34" s="11" t="s">
        <v>16</v>
      </c>
      <c r="B34" s="32"/>
      <c r="C34" s="32"/>
      <c r="D34" s="32"/>
      <c r="G34" s="32"/>
      <c r="J34" s="32"/>
      <c r="M34" s="32"/>
    </row>
    <row r="35" spans="1:14" x14ac:dyDescent="0.3">
      <c r="A35" s="13" t="s">
        <v>17</v>
      </c>
      <c r="B35" s="32">
        <v>3089</v>
      </c>
      <c r="C35" s="32"/>
      <c r="D35" s="32">
        <v>2976</v>
      </c>
      <c r="E35" s="24">
        <f>D35*100/B35</f>
        <v>96.341858206539328</v>
      </c>
      <c r="G35" s="32">
        <f>58+9</f>
        <v>67</v>
      </c>
      <c r="H35" s="24">
        <f>G35*100/B35</f>
        <v>2.1689867270961476</v>
      </c>
      <c r="J35" s="32">
        <v>41</v>
      </c>
      <c r="K35" s="24">
        <f>J35*100/B35</f>
        <v>1.3272903852379412</v>
      </c>
      <c r="M35" s="32">
        <f>B35-D35-G35-J35</f>
        <v>5</v>
      </c>
      <c r="N35" s="24">
        <f>M35*100/B35</f>
        <v>0.16186468112657817</v>
      </c>
    </row>
    <row r="36" spans="1:14" x14ac:dyDescent="0.3">
      <c r="A36" s="13" t="s">
        <v>18</v>
      </c>
      <c r="B36" s="32">
        <v>28164</v>
      </c>
      <c r="C36" s="32"/>
      <c r="D36" s="32">
        <v>27815</v>
      </c>
      <c r="E36" s="24">
        <f>D36*100/B36</f>
        <v>98.760829427638114</v>
      </c>
      <c r="G36" s="32">
        <f>196+19</f>
        <v>215</v>
      </c>
      <c r="H36" s="24">
        <f>G36*100/B36</f>
        <v>0.76338588268711827</v>
      </c>
      <c r="J36" s="32">
        <v>122</v>
      </c>
      <c r="K36" s="24">
        <f>J36*100/B36</f>
        <v>0.43317710552478339</v>
      </c>
      <c r="M36" s="32">
        <f>B36-D36-G36-J36</f>
        <v>12</v>
      </c>
      <c r="N36" s="24">
        <f>M36*100/B36</f>
        <v>4.2607584149978693E-2</v>
      </c>
    </row>
    <row r="37" spans="1:14" x14ac:dyDescent="0.3">
      <c r="A37" s="13" t="s">
        <v>19</v>
      </c>
      <c r="B37" s="32">
        <v>28510</v>
      </c>
      <c r="C37" s="32"/>
      <c r="D37" s="32">
        <v>28274</v>
      </c>
      <c r="E37" s="24">
        <f>D37*100/B37</f>
        <v>99.172220273588209</v>
      </c>
      <c r="G37" s="32">
        <f>153+14</f>
        <v>167</v>
      </c>
      <c r="H37" s="24">
        <f>G37*100/B37</f>
        <v>0.58575938267274641</v>
      </c>
      <c r="J37" s="32">
        <v>52</v>
      </c>
      <c r="K37" s="24">
        <f>J37*100/B37</f>
        <v>0.18239214310768151</v>
      </c>
      <c r="M37" s="32">
        <f>B37-D37-G37-J37</f>
        <v>17</v>
      </c>
      <c r="N37" s="24">
        <f>M37*100/B37</f>
        <v>5.9628200631357417E-2</v>
      </c>
    </row>
    <row r="38" spans="1:14" x14ac:dyDescent="0.3">
      <c r="A38" s="10" t="s">
        <v>11</v>
      </c>
      <c r="B38" s="32"/>
      <c r="C38" s="32"/>
      <c r="D38" s="32"/>
      <c r="G38" s="32"/>
      <c r="J38" s="32"/>
      <c r="M38" s="32"/>
    </row>
    <row r="39" spans="1:14" x14ac:dyDescent="0.3">
      <c r="A39" s="13" t="s">
        <v>14</v>
      </c>
      <c r="B39" s="32">
        <v>53584</v>
      </c>
      <c r="C39" s="32"/>
      <c r="D39" s="32">
        <v>53128</v>
      </c>
      <c r="E39" s="24">
        <f>D39*100/B39</f>
        <v>99.148999701403397</v>
      </c>
      <c r="G39" s="32">
        <f>254+23</f>
        <v>277</v>
      </c>
      <c r="H39" s="24">
        <f>G39*100/B39</f>
        <v>0.51694535682293219</v>
      </c>
      <c r="J39" s="32">
        <v>103</v>
      </c>
      <c r="K39" s="24">
        <f>J39*100/B39</f>
        <v>0.1922215586742311</v>
      </c>
      <c r="M39" s="32">
        <f>B39-D39-G39-J39</f>
        <v>76</v>
      </c>
      <c r="N39" s="24">
        <f>M39*100/B39</f>
        <v>0.14183338309943266</v>
      </c>
    </row>
    <row r="40" spans="1:14" x14ac:dyDescent="0.3">
      <c r="A40" s="13" t="s">
        <v>87</v>
      </c>
      <c r="B40" s="32">
        <v>5570</v>
      </c>
      <c r="C40" s="32"/>
      <c r="D40" s="32">
        <v>5368</v>
      </c>
      <c r="E40" s="24">
        <f>D40*100/B40</f>
        <v>96.373429084380604</v>
      </c>
      <c r="G40" s="32">
        <f>99+5</f>
        <v>104</v>
      </c>
      <c r="H40" s="24">
        <f>G40*100/B40</f>
        <v>1.8671454219030521</v>
      </c>
      <c r="J40" s="32">
        <v>78</v>
      </c>
      <c r="K40" s="24">
        <f>J40*100/B40</f>
        <v>1.4003590664272891</v>
      </c>
      <c r="M40" s="32">
        <f>B40-D40-G40-J40</f>
        <v>20</v>
      </c>
      <c r="N40" s="24">
        <f>M40*100/B40</f>
        <v>0.35906642728904847</v>
      </c>
    </row>
    <row r="41" spans="1:14" x14ac:dyDescent="0.3">
      <c r="A41" s="13" t="s">
        <v>12</v>
      </c>
      <c r="B41" s="32">
        <v>555</v>
      </c>
      <c r="C41" s="32"/>
      <c r="D41" s="32">
        <v>432</v>
      </c>
      <c r="E41" s="24">
        <f>D41*100/B41</f>
        <v>77.837837837837839</v>
      </c>
      <c r="G41" s="32">
        <f>61+15</f>
        <v>76</v>
      </c>
      <c r="H41" s="24">
        <f>G41*100/B41</f>
        <v>13.693693693693694</v>
      </c>
      <c r="J41" s="32">
        <v>38</v>
      </c>
      <c r="K41" s="24">
        <f>J41*100/B41</f>
        <v>6.8468468468468471</v>
      </c>
      <c r="M41" s="32">
        <f>B41-D41-G41-J41</f>
        <v>9</v>
      </c>
      <c r="N41" s="24">
        <f>M41*100/B41</f>
        <v>1.6216216216216217</v>
      </c>
    </row>
    <row r="42" spans="1:14" x14ac:dyDescent="0.3">
      <c r="A42" s="43" t="s">
        <v>28</v>
      </c>
      <c r="B42" s="33"/>
      <c r="C42" s="42"/>
      <c r="D42" s="33"/>
      <c r="E42" s="25"/>
      <c r="F42" s="15"/>
      <c r="G42" s="33"/>
      <c r="H42" s="25"/>
      <c r="I42" s="15"/>
      <c r="J42" s="33"/>
      <c r="K42" s="25"/>
      <c r="L42" s="15"/>
      <c r="M42" s="33"/>
      <c r="N42" s="25"/>
    </row>
    <row r="43" spans="1:14" x14ac:dyDescent="0.3">
      <c r="A43" s="16" t="s">
        <v>29</v>
      </c>
      <c r="B43" s="33">
        <v>53775</v>
      </c>
      <c r="C43" s="42"/>
      <c r="D43" s="33">
        <v>53456</v>
      </c>
      <c r="E43" s="25">
        <f>D43/$B43*100</f>
        <v>99.406787540678749</v>
      </c>
      <c r="F43" s="15"/>
      <c r="G43" s="33">
        <f>170+9</f>
        <v>179</v>
      </c>
      <c r="H43" s="25">
        <f>G43/$B43*100</f>
        <v>0.33286843328684335</v>
      </c>
      <c r="I43" s="15"/>
      <c r="J43" s="33">
        <v>69</v>
      </c>
      <c r="K43" s="25">
        <f>J43/$B43*100</f>
        <v>0.12831241283124128</v>
      </c>
      <c r="L43" s="15"/>
      <c r="M43" s="33">
        <f>B43-D43-G43-J43</f>
        <v>71</v>
      </c>
      <c r="N43" s="25">
        <f>M43/$B43*100</f>
        <v>0.13203161320316131</v>
      </c>
    </row>
    <row r="44" spans="1:14" x14ac:dyDescent="0.3">
      <c r="A44" s="17" t="s">
        <v>30</v>
      </c>
      <c r="B44" s="34">
        <v>5945</v>
      </c>
      <c r="C44" s="38"/>
      <c r="D44" s="34">
        <v>5483</v>
      </c>
      <c r="E44" s="29">
        <f t="shared" ref="E44" si="18">D44/$B44*100</f>
        <v>92.228763666947017</v>
      </c>
      <c r="F44" s="18"/>
      <c r="G44" s="18">
        <f>244+34</f>
        <v>278</v>
      </c>
      <c r="H44" s="29">
        <f t="shared" ref="H44" si="19">G44/$B44*100</f>
        <v>4.6761984861227921</v>
      </c>
      <c r="I44" s="18"/>
      <c r="J44" s="34">
        <v>150</v>
      </c>
      <c r="K44" s="29">
        <f t="shared" ref="K44" si="20">J44/$B44*100</f>
        <v>2.5231286795626575</v>
      </c>
      <c r="L44" s="18"/>
      <c r="M44" s="34">
        <f>B44-D44-G44-J44</f>
        <v>34</v>
      </c>
      <c r="N44" s="29">
        <f t="shared" ref="N44" si="21">M44/$B44*100</f>
        <v>0.57190916736753572</v>
      </c>
    </row>
    <row r="45" spans="1:14" s="2" customFormat="1" x14ac:dyDescent="0.3">
      <c r="A45" s="9" t="s">
        <v>35</v>
      </c>
      <c r="B45" s="36">
        <f>SUM(B62:B63)</f>
        <v>62720</v>
      </c>
      <c r="C45" s="37"/>
      <c r="D45" s="36">
        <f>SUM(D62:D63)</f>
        <v>61744</v>
      </c>
      <c r="E45" s="35">
        <f>D45*100/B45</f>
        <v>98.443877551020407</v>
      </c>
      <c r="G45" s="36">
        <f>SUM(G62:G63)</f>
        <v>502</v>
      </c>
      <c r="H45" s="35">
        <f>G45*100/B45</f>
        <v>0.80038265306122447</v>
      </c>
      <c r="J45" s="36">
        <f>SUM(J62:J63)</f>
        <v>376</v>
      </c>
      <c r="K45" s="35">
        <f>J45*100/B45</f>
        <v>0.59948979591836737</v>
      </c>
      <c r="M45" s="36">
        <f>SUM(M62:M63)</f>
        <v>98</v>
      </c>
      <c r="N45" s="35">
        <f>M45*100/B45</f>
        <v>0.15625</v>
      </c>
    </row>
    <row r="46" spans="1:14" x14ac:dyDescent="0.3">
      <c r="A46" s="10" t="s">
        <v>8</v>
      </c>
      <c r="B46" s="33"/>
      <c r="C46" s="33"/>
      <c r="D46" s="33"/>
      <c r="E46" s="25"/>
      <c r="F46" s="15"/>
      <c r="G46" s="33"/>
      <c r="H46" s="15"/>
      <c r="I46" s="15"/>
      <c r="J46" s="33"/>
      <c r="K46" s="15"/>
      <c r="L46" s="15"/>
      <c r="M46" s="33"/>
    </row>
    <row r="47" spans="1:14" x14ac:dyDescent="0.3">
      <c r="A47" s="20" t="s">
        <v>9</v>
      </c>
      <c r="B47" s="32">
        <v>54084</v>
      </c>
      <c r="C47" s="32"/>
      <c r="D47" s="32">
        <v>53380</v>
      </c>
      <c r="E47" s="24">
        <f>D47*100/B47</f>
        <v>98.69832113009393</v>
      </c>
      <c r="G47" s="32">
        <f>336+23</f>
        <v>359</v>
      </c>
      <c r="H47" s="24">
        <f>G47*100/B47</f>
        <v>0.66378226462539758</v>
      </c>
      <c r="J47" s="32">
        <v>313</v>
      </c>
      <c r="K47" s="24">
        <f>J47*100/B47</f>
        <v>0.57872938392130757</v>
      </c>
      <c r="M47" s="32">
        <f>B47-D47-G47-J47</f>
        <v>32</v>
      </c>
      <c r="N47" s="24">
        <f>M47*100/B47</f>
        <v>5.916722135936691E-2</v>
      </c>
    </row>
    <row r="48" spans="1:14" x14ac:dyDescent="0.3">
      <c r="A48" s="21" t="s">
        <v>10</v>
      </c>
      <c r="B48" s="32">
        <v>8941</v>
      </c>
      <c r="C48" s="32"/>
      <c r="D48" s="32">
        <v>8676</v>
      </c>
      <c r="E48" s="24">
        <f>D48*100/B48</f>
        <v>97.036125713007493</v>
      </c>
      <c r="G48" s="32">
        <f>138+11</f>
        <v>149</v>
      </c>
      <c r="H48" s="24">
        <f t="shared" ref="H48:H52" si="22">G48*100/B48</f>
        <v>1.6664802594788055</v>
      </c>
      <c r="J48" s="32">
        <v>68</v>
      </c>
      <c r="K48" s="24">
        <f t="shared" ref="K48:K52" si="23">J48*100/B48</f>
        <v>0.76054132647354877</v>
      </c>
      <c r="M48" s="32">
        <f t="shared" ref="M48:M52" si="24">B48-D48-G48-J48</f>
        <v>48</v>
      </c>
      <c r="N48" s="24">
        <f t="shared" ref="N48:N52" si="25">M48*100/B48</f>
        <v>0.53685270104015215</v>
      </c>
    </row>
    <row r="49" spans="1:14" x14ac:dyDescent="0.3">
      <c r="A49" s="14" t="s">
        <v>31</v>
      </c>
      <c r="B49" s="32">
        <v>4726</v>
      </c>
      <c r="C49" s="32"/>
      <c r="D49" s="32">
        <v>4627</v>
      </c>
      <c r="E49" s="24">
        <f>D49*100/B49</f>
        <v>97.905205247566656</v>
      </c>
      <c r="G49" s="32">
        <f>51+4</f>
        <v>55</v>
      </c>
      <c r="H49" s="24">
        <f t="shared" si="22"/>
        <v>1.1637748624629709</v>
      </c>
      <c r="J49" s="32">
        <v>34</v>
      </c>
      <c r="K49" s="24">
        <f t="shared" si="23"/>
        <v>0.71942446043165464</v>
      </c>
      <c r="M49" s="32">
        <f t="shared" si="24"/>
        <v>10</v>
      </c>
      <c r="N49" s="24">
        <f t="shared" si="25"/>
        <v>0.21159542953872196</v>
      </c>
    </row>
    <row r="50" spans="1:14" x14ac:dyDescent="0.3">
      <c r="A50" s="14" t="s">
        <v>94</v>
      </c>
      <c r="B50" s="32">
        <v>2021</v>
      </c>
      <c r="C50" s="32"/>
      <c r="D50" s="32">
        <v>1978</v>
      </c>
      <c r="E50" s="24">
        <f t="shared" ref="E50:E52" si="26">D50*100/B50</f>
        <v>97.872340425531917</v>
      </c>
      <c r="G50" s="32">
        <f>16+2</f>
        <v>18</v>
      </c>
      <c r="H50" s="24">
        <f t="shared" si="22"/>
        <v>0.89064819396338446</v>
      </c>
      <c r="J50" s="32">
        <v>17</v>
      </c>
      <c r="K50" s="24">
        <f t="shared" si="23"/>
        <v>0.84116773874319639</v>
      </c>
      <c r="M50" s="32">
        <f t="shared" si="24"/>
        <v>8</v>
      </c>
      <c r="N50" s="24">
        <f t="shared" si="25"/>
        <v>0.39584364176150422</v>
      </c>
    </row>
    <row r="51" spans="1:14" x14ac:dyDescent="0.3">
      <c r="A51" s="14" t="s">
        <v>95</v>
      </c>
      <c r="B51" s="32">
        <v>1064</v>
      </c>
      <c r="C51" s="32"/>
      <c r="D51" s="32">
        <v>1030</v>
      </c>
      <c r="E51" s="24">
        <f t="shared" si="26"/>
        <v>96.804511278195491</v>
      </c>
      <c r="G51" s="32">
        <f>15</f>
        <v>15</v>
      </c>
      <c r="H51" s="24">
        <f t="shared" si="22"/>
        <v>1.4097744360902256</v>
      </c>
      <c r="J51" s="32">
        <v>9</v>
      </c>
      <c r="K51" s="24">
        <f t="shared" si="23"/>
        <v>0.84586466165413532</v>
      </c>
      <c r="M51" s="32">
        <f t="shared" si="24"/>
        <v>10</v>
      </c>
      <c r="N51" s="24">
        <f t="shared" si="25"/>
        <v>0.93984962406015038</v>
      </c>
    </row>
    <row r="52" spans="1:14" x14ac:dyDescent="0.3">
      <c r="A52" s="14" t="s">
        <v>96</v>
      </c>
      <c r="B52" s="32">
        <v>1125</v>
      </c>
      <c r="C52" s="32"/>
      <c r="D52" s="32">
        <v>1037</v>
      </c>
      <c r="E52" s="24">
        <f t="shared" si="26"/>
        <v>92.177777777777777</v>
      </c>
      <c r="G52" s="32">
        <f>56+5</f>
        <v>61</v>
      </c>
      <c r="H52" s="24">
        <f t="shared" si="22"/>
        <v>5.4222222222222225</v>
      </c>
      <c r="J52" s="32">
        <v>8</v>
      </c>
      <c r="K52" s="24">
        <f t="shared" si="23"/>
        <v>0.71111111111111114</v>
      </c>
      <c r="M52" s="32">
        <f t="shared" si="24"/>
        <v>19</v>
      </c>
      <c r="N52" s="24">
        <f t="shared" si="25"/>
        <v>1.6888888888888889</v>
      </c>
    </row>
    <row r="53" spans="1:14" x14ac:dyDescent="0.3">
      <c r="A53" s="11" t="s">
        <v>16</v>
      </c>
      <c r="B53" s="32"/>
      <c r="C53" s="32"/>
      <c r="D53" s="32"/>
      <c r="G53" s="32"/>
      <c r="J53" s="32"/>
      <c r="M53" s="32"/>
    </row>
    <row r="54" spans="1:14" x14ac:dyDescent="0.3">
      <c r="A54" s="13" t="s">
        <v>17</v>
      </c>
      <c r="B54" s="32">
        <v>3228</v>
      </c>
      <c r="C54" s="32"/>
      <c r="D54" s="32">
        <v>3093</v>
      </c>
      <c r="E54" s="24">
        <f>D54*100/B54</f>
        <v>95.817843866171003</v>
      </c>
      <c r="G54" s="32">
        <f>59+6</f>
        <v>65</v>
      </c>
      <c r="H54" s="24">
        <f>G54*100/B54</f>
        <v>2.0136307311028498</v>
      </c>
      <c r="J54" s="32">
        <v>63</v>
      </c>
      <c r="K54" s="24">
        <f>J54*100/B54</f>
        <v>1.9516728624535316</v>
      </c>
      <c r="M54" s="32">
        <f>B54-D54-G54-J54</f>
        <v>7</v>
      </c>
      <c r="N54" s="24">
        <f>M54*100/B54</f>
        <v>0.21685254027261464</v>
      </c>
    </row>
    <row r="55" spans="1:14" x14ac:dyDescent="0.3">
      <c r="A55" s="13" t="s">
        <v>18</v>
      </c>
      <c r="B55" s="32">
        <v>29518</v>
      </c>
      <c r="C55" s="32"/>
      <c r="D55" s="32">
        <v>29020</v>
      </c>
      <c r="E55" s="24">
        <f>D55*100/B55</f>
        <v>98.312893827495088</v>
      </c>
      <c r="G55" s="32">
        <f>246+17</f>
        <v>263</v>
      </c>
      <c r="H55" s="24">
        <f>G55*100/B55</f>
        <v>0.89098177383291555</v>
      </c>
      <c r="J55" s="32">
        <v>217</v>
      </c>
      <c r="K55" s="24">
        <f>J55*100/B55</f>
        <v>0.73514465749712044</v>
      </c>
      <c r="M55" s="32">
        <f>B55-D55-G55-J55</f>
        <v>18</v>
      </c>
      <c r="N55" s="24">
        <f>M55*100/B55</f>
        <v>6.0979741174876347E-2</v>
      </c>
    </row>
    <row r="56" spans="1:14" x14ac:dyDescent="0.3">
      <c r="A56" s="13" t="s">
        <v>19</v>
      </c>
      <c r="B56" s="32">
        <v>29949</v>
      </c>
      <c r="C56" s="32"/>
      <c r="D56" s="32">
        <v>29676</v>
      </c>
      <c r="E56" s="24">
        <f>D56*100/B56</f>
        <v>99.088450365621554</v>
      </c>
      <c r="G56" s="32">
        <f>150+11</f>
        <v>161</v>
      </c>
      <c r="H56" s="24">
        <f>G56*100/B56</f>
        <v>0.53758055360779988</v>
      </c>
      <c r="J56" s="32">
        <v>96</v>
      </c>
      <c r="K56" s="24">
        <f>J56*100/B56</f>
        <v>0.32054492637483722</v>
      </c>
      <c r="M56" s="32">
        <f>B56-D56-G56-J56</f>
        <v>16</v>
      </c>
      <c r="N56" s="24">
        <f>M56*100/B56</f>
        <v>5.3424154395806202E-2</v>
      </c>
    </row>
    <row r="57" spans="1:14" x14ac:dyDescent="0.3">
      <c r="A57" s="10" t="s">
        <v>11</v>
      </c>
      <c r="B57" s="32"/>
      <c r="C57" s="32"/>
      <c r="D57" s="32"/>
      <c r="G57" s="32"/>
      <c r="J57" s="32"/>
      <c r="M57" s="32"/>
    </row>
    <row r="58" spans="1:14" x14ac:dyDescent="0.3">
      <c r="A58" s="13" t="s">
        <v>14</v>
      </c>
      <c r="B58" s="32">
        <v>54456</v>
      </c>
      <c r="C58" s="32"/>
      <c r="D58" s="32">
        <v>53958</v>
      </c>
      <c r="E58" s="24">
        <f>D58*100/B58</f>
        <v>99.085500220361396</v>
      </c>
      <c r="G58" s="32">
        <f>248+12</f>
        <v>260</v>
      </c>
      <c r="H58" s="24">
        <f>G58*100/B58</f>
        <v>0.47744968414867051</v>
      </c>
      <c r="J58" s="32">
        <v>177</v>
      </c>
      <c r="K58" s="24">
        <f>J58*100/B58</f>
        <v>0.32503305420890261</v>
      </c>
      <c r="M58" s="32">
        <f>B58-D58-G58-J58</f>
        <v>61</v>
      </c>
      <c r="N58" s="24">
        <f>M58*100/B58</f>
        <v>0.11201704128103424</v>
      </c>
    </row>
    <row r="59" spans="1:14" x14ac:dyDescent="0.3">
      <c r="A59" s="13" t="s">
        <v>87</v>
      </c>
      <c r="B59" s="32">
        <v>7497</v>
      </c>
      <c r="C59" s="32"/>
      <c r="D59" s="32">
        <v>7189</v>
      </c>
      <c r="E59" s="24">
        <f>D59*100/B59</f>
        <v>95.891690009337069</v>
      </c>
      <c r="G59" s="32">
        <f>154+13</f>
        <v>167</v>
      </c>
      <c r="H59" s="24">
        <f>G59*100/B59</f>
        <v>2.2275576897425635</v>
      </c>
      <c r="J59" s="32">
        <v>112</v>
      </c>
      <c r="K59" s="24">
        <f>J59*100/B59</f>
        <v>1.4939309056956116</v>
      </c>
      <c r="M59" s="32">
        <f>B59-D59-G59-J59</f>
        <v>29</v>
      </c>
      <c r="N59" s="24">
        <f>M59*100/B59</f>
        <v>0.38682139522475656</v>
      </c>
    </row>
    <row r="60" spans="1:14" x14ac:dyDescent="0.3">
      <c r="A60" s="13" t="s">
        <v>12</v>
      </c>
      <c r="B60" s="32">
        <v>741</v>
      </c>
      <c r="C60" s="32"/>
      <c r="D60" s="32">
        <v>572</v>
      </c>
      <c r="E60" s="24">
        <f>D60*100/B60</f>
        <v>77.192982456140356</v>
      </c>
      <c r="G60" s="32">
        <f>66+9</f>
        <v>75</v>
      </c>
      <c r="H60" s="24">
        <f>G60*100/B60</f>
        <v>10.121457489878543</v>
      </c>
      <c r="J60" s="32">
        <v>86</v>
      </c>
      <c r="K60" s="24">
        <f>J60*100/B60</f>
        <v>11.605937921727396</v>
      </c>
      <c r="M60" s="32">
        <f>B60-D60-G60-J60</f>
        <v>8</v>
      </c>
      <c r="N60" s="24">
        <f>M60*100/B60</f>
        <v>1.0796221322537112</v>
      </c>
    </row>
    <row r="61" spans="1:14" x14ac:dyDescent="0.3">
      <c r="A61" s="43" t="s">
        <v>28</v>
      </c>
      <c r="B61" s="33"/>
      <c r="C61" s="42"/>
      <c r="D61" s="33"/>
      <c r="E61" s="25"/>
      <c r="F61" s="15"/>
      <c r="G61" s="33"/>
      <c r="H61" s="25"/>
      <c r="I61" s="15"/>
      <c r="J61" s="33"/>
      <c r="K61" s="25"/>
      <c r="L61" s="15"/>
      <c r="M61" s="33"/>
      <c r="N61" s="25"/>
    </row>
    <row r="62" spans="1:14" x14ac:dyDescent="0.3">
      <c r="A62" s="16" t="s">
        <v>29</v>
      </c>
      <c r="B62" s="15">
        <v>55215</v>
      </c>
      <c r="C62" s="42"/>
      <c r="D62" s="33">
        <v>54850</v>
      </c>
      <c r="E62" s="25">
        <f>D62/$B62*100</f>
        <v>99.338947749705696</v>
      </c>
      <c r="F62" s="15"/>
      <c r="G62" s="33">
        <f>176+11</f>
        <v>187</v>
      </c>
      <c r="H62" s="25">
        <f>G62/$B62*100</f>
        <v>0.3386760843973558</v>
      </c>
      <c r="I62" s="15"/>
      <c r="J62" s="33">
        <v>122</v>
      </c>
      <c r="K62" s="25">
        <f>J62/$B62*100</f>
        <v>0.22095445078330164</v>
      </c>
      <c r="L62" s="15"/>
      <c r="M62" s="33">
        <f>B62-D62-G62-J62</f>
        <v>56</v>
      </c>
      <c r="N62" s="25">
        <f>M62/$B62*100</f>
        <v>0.10142171511364666</v>
      </c>
    </row>
    <row r="63" spans="1:14" ht="14.4" thickBot="1" x14ac:dyDescent="0.35">
      <c r="A63" s="72" t="s">
        <v>30</v>
      </c>
      <c r="B63" s="73">
        <v>7505</v>
      </c>
      <c r="C63" s="74"/>
      <c r="D63" s="75">
        <v>6894</v>
      </c>
      <c r="E63" s="76">
        <f t="shared" ref="E63" si="27">D63/$B63*100</f>
        <v>91.858760826115926</v>
      </c>
      <c r="F63" s="73"/>
      <c r="G63" s="75">
        <f>292+23</f>
        <v>315</v>
      </c>
      <c r="H63" s="76">
        <f t="shared" ref="H63" si="28">G63/$B63*100</f>
        <v>4.1972018654230512</v>
      </c>
      <c r="I63" s="73"/>
      <c r="J63" s="75">
        <v>254</v>
      </c>
      <c r="K63" s="76">
        <f t="shared" ref="K63" si="29">J63/$B63*100</f>
        <v>3.3844103930712861</v>
      </c>
      <c r="L63" s="73"/>
      <c r="M63" s="75">
        <f>B63-D63-G63-J63</f>
        <v>42</v>
      </c>
      <c r="N63" s="76">
        <f t="shared" ref="N63" si="30">M63/$B63*100</f>
        <v>0.55962691538974019</v>
      </c>
    </row>
  </sheetData>
  <mergeCells count="4">
    <mergeCell ref="D3:E3"/>
    <mergeCell ref="G3:H3"/>
    <mergeCell ref="J3:K3"/>
    <mergeCell ref="M3:N3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/>
  </sheetViews>
  <sheetFormatPr defaultColWidth="9.109375" defaultRowHeight="13.8" x14ac:dyDescent="0.3"/>
  <cols>
    <col min="1" max="1" width="60.5546875" style="8" customWidth="1"/>
    <col min="2" max="2" width="10.6640625" style="8" customWidth="1"/>
    <col min="3" max="3" width="1.6640625" style="8" customWidth="1"/>
    <col min="4" max="4" width="10.6640625" style="8" customWidth="1"/>
    <col min="5" max="5" width="10.6640625" style="24" customWidth="1"/>
    <col min="6" max="6" width="1.6640625" style="8" customWidth="1"/>
    <col min="7" max="8" width="10.6640625" style="8" customWidth="1"/>
    <col min="9" max="9" width="1.6640625" style="8" customWidth="1"/>
    <col min="10" max="11" width="10.6640625" style="8" customWidth="1"/>
    <col min="12" max="12" width="1.6640625" style="8" customWidth="1"/>
    <col min="13" max="14" width="10.6640625" style="8" customWidth="1"/>
    <col min="15" max="16384" width="9.109375" style="8"/>
  </cols>
  <sheetData>
    <row r="1" spans="1:14" x14ac:dyDescent="0.3">
      <c r="A1" s="3" t="s">
        <v>38</v>
      </c>
    </row>
    <row r="2" spans="1:14" ht="14.4" thickBot="1" x14ac:dyDescent="0.35">
      <c r="A2" s="73"/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</row>
    <row r="3" spans="1:14" ht="14.4" x14ac:dyDescent="0.3">
      <c r="A3" s="15"/>
      <c r="B3" s="26" t="s">
        <v>26</v>
      </c>
      <c r="C3" s="77"/>
      <c r="D3" s="86" t="s">
        <v>0</v>
      </c>
      <c r="E3" s="86"/>
      <c r="F3" s="15"/>
      <c r="G3" s="86" t="s">
        <v>13</v>
      </c>
      <c r="H3" s="86"/>
      <c r="I3" s="15"/>
      <c r="J3" s="86" t="s">
        <v>60</v>
      </c>
      <c r="K3" s="86"/>
      <c r="M3" s="86" t="s">
        <v>27</v>
      </c>
      <c r="N3" s="87"/>
    </row>
    <row r="4" spans="1:14" x14ac:dyDescent="0.3">
      <c r="A4" s="18"/>
      <c r="B4" s="26" t="s">
        <v>4</v>
      </c>
      <c r="C4" s="19"/>
      <c r="D4" s="27" t="s">
        <v>4</v>
      </c>
      <c r="E4" s="28" t="s">
        <v>5</v>
      </c>
      <c r="F4" s="27"/>
      <c r="G4" s="27" t="s">
        <v>4</v>
      </c>
      <c r="H4" s="27" t="s">
        <v>5</v>
      </c>
      <c r="I4" s="27"/>
      <c r="J4" s="27" t="s">
        <v>4</v>
      </c>
      <c r="K4" s="27" t="s">
        <v>5</v>
      </c>
      <c r="L4" s="27"/>
      <c r="M4" s="27" t="s">
        <v>4</v>
      </c>
      <c r="N4" s="27" t="s">
        <v>5</v>
      </c>
    </row>
    <row r="5" spans="1:14" s="2" customFormat="1" x14ac:dyDescent="0.3">
      <c r="A5" s="9" t="s">
        <v>7</v>
      </c>
      <c r="B5" s="30">
        <f>SUM(B6:B7)</f>
        <v>118142</v>
      </c>
      <c r="C5" s="30"/>
      <c r="D5" s="30">
        <f>SUM(D6:D7)</f>
        <v>116660</v>
      </c>
      <c r="E5" s="35">
        <f>D5*100/B5</f>
        <v>98.745577356063038</v>
      </c>
      <c r="F5" s="1"/>
      <c r="G5" s="30">
        <f>SUM(G6:G7)</f>
        <v>840</v>
      </c>
      <c r="H5" s="35">
        <f>G5*100/B5</f>
        <v>0.71100878603714179</v>
      </c>
      <c r="J5" s="30">
        <f>SUM(J6:J7)</f>
        <v>470</v>
      </c>
      <c r="K5" s="35">
        <f>J5*100/B5</f>
        <v>0.39782634456840071</v>
      </c>
      <c r="M5" s="30">
        <f>SUM(M6:M7)</f>
        <v>172</v>
      </c>
      <c r="N5" s="35">
        <f>M5*100/B5</f>
        <v>0.14558751333141473</v>
      </c>
    </row>
    <row r="6" spans="1:14" x14ac:dyDescent="0.3">
      <c r="A6" s="20" t="s">
        <v>32</v>
      </c>
      <c r="B6" s="31">
        <f>B26</f>
        <v>57701</v>
      </c>
      <c r="C6" s="32"/>
      <c r="D6" s="31">
        <f>D26</f>
        <v>57007</v>
      </c>
      <c r="E6" s="24">
        <f>D6*100/B6</f>
        <v>98.797247881319208</v>
      </c>
      <c r="G6" s="31">
        <f>G26</f>
        <v>421</v>
      </c>
      <c r="H6" s="24">
        <f>G6*100/B6</f>
        <v>0.72962340340721998</v>
      </c>
      <c r="J6" s="31">
        <f>J26</f>
        <v>178</v>
      </c>
      <c r="K6" s="24">
        <f>J6*100/B6</f>
        <v>0.30848685464723313</v>
      </c>
      <c r="M6" s="31">
        <f>M26</f>
        <v>95</v>
      </c>
      <c r="N6" s="24">
        <f>M6*100/B6</f>
        <v>0.16464186062633229</v>
      </c>
    </row>
    <row r="7" spans="1:14" x14ac:dyDescent="0.3">
      <c r="A7" s="20" t="s">
        <v>33</v>
      </c>
      <c r="B7" s="31">
        <f>B45</f>
        <v>60441</v>
      </c>
      <c r="C7" s="32"/>
      <c r="D7" s="31">
        <f>D45</f>
        <v>59653</v>
      </c>
      <c r="E7" s="24">
        <f>D7*100/B7</f>
        <v>98.696249234790955</v>
      </c>
      <c r="G7" s="31">
        <f>G45</f>
        <v>419</v>
      </c>
      <c r="H7" s="24">
        <f>G7*100/B7</f>
        <v>0.69323803378501347</v>
      </c>
      <c r="J7" s="31">
        <f>J45</f>
        <v>292</v>
      </c>
      <c r="K7" s="24">
        <f>J7*100/B7</f>
        <v>0.48311576578812393</v>
      </c>
      <c r="M7" s="31">
        <f>M45</f>
        <v>77</v>
      </c>
      <c r="N7" s="24">
        <f>M7*100/B7</f>
        <v>0.12739696563590941</v>
      </c>
    </row>
    <row r="8" spans="1:14" x14ac:dyDescent="0.3">
      <c r="A8" s="10" t="s">
        <v>8</v>
      </c>
      <c r="B8" s="32"/>
      <c r="C8" s="32"/>
      <c r="D8" s="32"/>
      <c r="G8" s="32"/>
      <c r="J8" s="32"/>
      <c r="M8" s="32"/>
    </row>
    <row r="9" spans="1:14" x14ac:dyDescent="0.3">
      <c r="A9" s="20" t="s">
        <v>9</v>
      </c>
      <c r="B9" s="32">
        <f t="shared" ref="B9:B14" si="0">B28+B47</f>
        <v>100222</v>
      </c>
      <c r="C9" s="32"/>
      <c r="D9" s="32">
        <f t="shared" ref="D9:D14" si="1">D28+D47</f>
        <v>99239</v>
      </c>
      <c r="E9" s="24">
        <f>D9*100/B9</f>
        <v>99.019177426114027</v>
      </c>
      <c r="G9" s="32">
        <f t="shared" ref="G9:G14" si="2">G28+G47</f>
        <v>587</v>
      </c>
      <c r="H9" s="24">
        <f>G9*100/B9</f>
        <v>0.58569974656263091</v>
      </c>
      <c r="J9" s="32">
        <f t="shared" ref="J9:J14" si="3">J28+J47</f>
        <v>340</v>
      </c>
      <c r="K9" s="24">
        <f>J9*100/B9</f>
        <v>0.33924687194428371</v>
      </c>
      <c r="M9" s="32">
        <f t="shared" ref="M9:M14" si="4">M28+M47</f>
        <v>56</v>
      </c>
      <c r="N9" s="24">
        <f>M9*100/B9</f>
        <v>5.5875955379058491E-2</v>
      </c>
    </row>
    <row r="10" spans="1:14" x14ac:dyDescent="0.3">
      <c r="A10" s="21" t="s">
        <v>10</v>
      </c>
      <c r="B10" s="32">
        <f t="shared" si="0"/>
        <v>18534</v>
      </c>
      <c r="C10" s="32"/>
      <c r="D10" s="32">
        <f t="shared" si="1"/>
        <v>18039</v>
      </c>
      <c r="E10" s="24">
        <f t="shared" ref="E10:E18" si="5">D10*100/B10</f>
        <v>97.329232761411461</v>
      </c>
      <c r="G10" s="32">
        <f t="shared" si="2"/>
        <v>271</v>
      </c>
      <c r="H10" s="24">
        <f t="shared" ref="H10:H14" si="6">G10*100/B10</f>
        <v>1.4621776195100895</v>
      </c>
      <c r="J10" s="32">
        <f t="shared" si="3"/>
        <v>137</v>
      </c>
      <c r="K10" s="24">
        <f t="shared" ref="K10:K14" si="7">J10*100/B10</f>
        <v>0.73918204381137365</v>
      </c>
      <c r="M10" s="32">
        <f t="shared" si="4"/>
        <v>87</v>
      </c>
      <c r="N10" s="24">
        <f t="shared" ref="N10:N14" si="8">M10*100/B10</f>
        <v>0.46940757526707672</v>
      </c>
    </row>
    <row r="11" spans="1:14" x14ac:dyDescent="0.3">
      <c r="A11" s="14" t="s">
        <v>31</v>
      </c>
      <c r="B11" s="32">
        <f t="shared" si="0"/>
        <v>10465</v>
      </c>
      <c r="C11" s="32"/>
      <c r="D11" s="32">
        <f t="shared" si="1"/>
        <v>10297</v>
      </c>
      <c r="E11" s="24">
        <f t="shared" si="5"/>
        <v>98.394648829431432</v>
      </c>
      <c r="G11" s="32">
        <f t="shared" si="2"/>
        <v>99</v>
      </c>
      <c r="H11" s="24">
        <f t="shared" si="6"/>
        <v>0.94601051122790258</v>
      </c>
      <c r="J11" s="32">
        <f t="shared" si="3"/>
        <v>58</v>
      </c>
      <c r="K11" s="24">
        <f t="shared" si="7"/>
        <v>0.55422838031533683</v>
      </c>
      <c r="M11" s="32">
        <f t="shared" si="4"/>
        <v>11</v>
      </c>
      <c r="N11" s="24">
        <f t="shared" si="8"/>
        <v>0.1051122790253225</v>
      </c>
    </row>
    <row r="12" spans="1:14" x14ac:dyDescent="0.3">
      <c r="A12" s="14" t="s">
        <v>94</v>
      </c>
      <c r="B12" s="32">
        <f t="shared" si="0"/>
        <v>3119</v>
      </c>
      <c r="C12" s="32"/>
      <c r="D12" s="32">
        <f t="shared" si="1"/>
        <v>3060</v>
      </c>
      <c r="E12" s="24">
        <f t="shared" si="5"/>
        <v>98.108368066688044</v>
      </c>
      <c r="G12" s="32">
        <f t="shared" si="2"/>
        <v>28</v>
      </c>
      <c r="H12" s="24">
        <f t="shared" si="6"/>
        <v>0.89772362936838734</v>
      </c>
      <c r="J12" s="32">
        <f t="shared" si="3"/>
        <v>17</v>
      </c>
      <c r="K12" s="24">
        <f t="shared" si="7"/>
        <v>0.54504648925937804</v>
      </c>
      <c r="M12" s="32">
        <f t="shared" si="4"/>
        <v>14</v>
      </c>
      <c r="N12" s="24">
        <f t="shared" si="8"/>
        <v>0.44886181468419367</v>
      </c>
    </row>
    <row r="13" spans="1:14" x14ac:dyDescent="0.3">
      <c r="A13" s="14" t="s">
        <v>95</v>
      </c>
      <c r="B13" s="32">
        <f t="shared" si="0"/>
        <v>2379</v>
      </c>
      <c r="C13" s="32"/>
      <c r="D13" s="32">
        <f t="shared" si="1"/>
        <v>2307</v>
      </c>
      <c r="E13" s="24">
        <f t="shared" si="5"/>
        <v>96.973518284993702</v>
      </c>
      <c r="G13" s="32">
        <f t="shared" si="2"/>
        <v>23</v>
      </c>
      <c r="H13" s="24">
        <f t="shared" si="6"/>
        <v>0.96679277007145858</v>
      </c>
      <c r="J13" s="32">
        <f t="shared" si="3"/>
        <v>28</v>
      </c>
      <c r="K13" s="24">
        <f t="shared" si="7"/>
        <v>1.1769651113913409</v>
      </c>
      <c r="M13" s="32">
        <f t="shared" si="4"/>
        <v>21</v>
      </c>
      <c r="N13" s="24">
        <f t="shared" si="8"/>
        <v>0.8827238335435057</v>
      </c>
    </row>
    <row r="14" spans="1:14" x14ac:dyDescent="0.3">
      <c r="A14" s="14" t="s">
        <v>96</v>
      </c>
      <c r="B14" s="32">
        <f t="shared" si="0"/>
        <v>2567</v>
      </c>
      <c r="C14" s="32"/>
      <c r="D14" s="32">
        <f t="shared" si="1"/>
        <v>2371</v>
      </c>
      <c r="E14" s="24">
        <f t="shared" si="5"/>
        <v>92.364627970393457</v>
      </c>
      <c r="G14" s="32">
        <f t="shared" si="2"/>
        <v>121</v>
      </c>
      <c r="H14" s="24">
        <f t="shared" si="6"/>
        <v>4.713673548889755</v>
      </c>
      <c r="J14" s="32">
        <f t="shared" si="3"/>
        <v>34</v>
      </c>
      <c r="K14" s="24">
        <f t="shared" si="7"/>
        <v>1.3245033112582782</v>
      </c>
      <c r="M14" s="32">
        <f t="shared" si="4"/>
        <v>41</v>
      </c>
      <c r="N14" s="24">
        <f t="shared" si="8"/>
        <v>1.5971951694585118</v>
      </c>
    </row>
    <row r="15" spans="1:14" x14ac:dyDescent="0.3">
      <c r="A15" s="11" t="s">
        <v>16</v>
      </c>
      <c r="B15" s="32"/>
      <c r="C15" s="32"/>
      <c r="D15" s="32"/>
      <c r="G15" s="32"/>
      <c r="J15" s="32"/>
      <c r="M15" s="32"/>
    </row>
    <row r="16" spans="1:14" x14ac:dyDescent="0.3">
      <c r="A16" s="13" t="s">
        <v>17</v>
      </c>
      <c r="B16" s="32">
        <f>B35+B54</f>
        <v>6007</v>
      </c>
      <c r="C16" s="32"/>
      <c r="D16" s="32">
        <f>D35+D54</f>
        <v>5801</v>
      </c>
      <c r="E16" s="24">
        <f t="shared" si="5"/>
        <v>96.57066755451973</v>
      </c>
      <c r="G16" s="32">
        <f>G35+G54</f>
        <v>108</v>
      </c>
      <c r="H16" s="24">
        <f>G16*100/B16</f>
        <v>1.7979024471449976</v>
      </c>
      <c r="J16" s="32">
        <f>J35+J54</f>
        <v>87</v>
      </c>
      <c r="K16" s="24">
        <f>J16*100/B16</f>
        <v>1.4483103046445813</v>
      </c>
      <c r="M16" s="32">
        <f>M35+M54</f>
        <v>11</v>
      </c>
      <c r="N16" s="24">
        <f>M16*100/B16</f>
        <v>0.1831196936906942</v>
      </c>
    </row>
    <row r="17" spans="1:14" x14ac:dyDescent="0.3">
      <c r="A17" s="13" t="s">
        <v>18</v>
      </c>
      <c r="B17" s="32">
        <f>B36+B55</f>
        <v>54824</v>
      </c>
      <c r="C17" s="32"/>
      <c r="D17" s="32">
        <f>D36+D55</f>
        <v>54139</v>
      </c>
      <c r="E17" s="24">
        <f t="shared" si="5"/>
        <v>98.750547205603382</v>
      </c>
      <c r="G17" s="32">
        <f>G36+G55</f>
        <v>394</v>
      </c>
      <c r="H17" s="24">
        <f>G17*100/B17</f>
        <v>0.71866335911279733</v>
      </c>
      <c r="J17" s="32">
        <f>J36+J55</f>
        <v>262</v>
      </c>
      <c r="K17" s="24">
        <f>J17*100/B17</f>
        <v>0.47789289362323067</v>
      </c>
      <c r="M17" s="32">
        <f>M36+M55</f>
        <v>29</v>
      </c>
      <c r="N17" s="24">
        <f>M17*100/B17</f>
        <v>5.2896541660586605E-2</v>
      </c>
    </row>
    <row r="18" spans="1:14" x14ac:dyDescent="0.3">
      <c r="A18" s="13" t="s">
        <v>19</v>
      </c>
      <c r="B18" s="32">
        <f>B37+B56</f>
        <v>57273</v>
      </c>
      <c r="C18" s="32"/>
      <c r="D18" s="32">
        <f>D37+D56</f>
        <v>56791</v>
      </c>
      <c r="E18" s="24">
        <f t="shared" si="5"/>
        <v>99.158416705952192</v>
      </c>
      <c r="G18" s="32">
        <f>G37+G56</f>
        <v>338</v>
      </c>
      <c r="H18" s="24">
        <f>G18*100/B18</f>
        <v>0.59015591989244498</v>
      </c>
      <c r="J18" s="32">
        <f>J37+J56</f>
        <v>105</v>
      </c>
      <c r="K18" s="24">
        <f>J18*100/B18</f>
        <v>0.18333246032161751</v>
      </c>
      <c r="M18" s="32">
        <f>M37+M56</f>
        <v>39</v>
      </c>
      <c r="N18" s="24">
        <f>M18*100/B18</f>
        <v>6.809491383374365E-2</v>
      </c>
    </row>
    <row r="19" spans="1:14" x14ac:dyDescent="0.3">
      <c r="A19" s="10" t="s">
        <v>11</v>
      </c>
      <c r="B19" s="32"/>
      <c r="C19" s="32"/>
      <c r="D19" s="32"/>
      <c r="G19" s="32"/>
      <c r="J19" s="32"/>
      <c r="M19" s="32"/>
    </row>
    <row r="20" spans="1:14" x14ac:dyDescent="0.3">
      <c r="A20" s="13" t="s">
        <v>14</v>
      </c>
      <c r="B20" s="32">
        <f>B39+B58</f>
        <v>104256</v>
      </c>
      <c r="C20" s="32"/>
      <c r="D20" s="32">
        <f>D39+D58</f>
        <v>103407</v>
      </c>
      <c r="E20" s="24">
        <f>D20*100/B20</f>
        <v>99.185658379373848</v>
      </c>
      <c r="G20" s="32">
        <f>G39+G58</f>
        <v>482</v>
      </c>
      <c r="H20" s="24">
        <f>G20*100/B20</f>
        <v>0.46232351135666055</v>
      </c>
      <c r="J20" s="32">
        <f>J39+J58</f>
        <v>233</v>
      </c>
      <c r="K20" s="24">
        <f>J20*100/B20</f>
        <v>0.22348833640270105</v>
      </c>
      <c r="M20" s="32">
        <f>M39+M58</f>
        <v>134</v>
      </c>
      <c r="N20" s="24">
        <f>M20*100/B20</f>
        <v>0.12852977286678943</v>
      </c>
    </row>
    <row r="21" spans="1:14" x14ac:dyDescent="0.3">
      <c r="A21" s="13" t="s">
        <v>87</v>
      </c>
      <c r="B21" s="32">
        <f>B40+B59</f>
        <v>12529</v>
      </c>
      <c r="C21" s="32"/>
      <c r="D21" s="32">
        <f>D40+D59</f>
        <v>12147</v>
      </c>
      <c r="E21" s="24">
        <f>D21*100/B21</f>
        <v>96.951073509458055</v>
      </c>
      <c r="G21" s="32">
        <f>G40+G59</f>
        <v>234</v>
      </c>
      <c r="H21" s="24">
        <f>G21*100/B21</f>
        <v>1.8676670125309283</v>
      </c>
      <c r="J21" s="32">
        <f>J40+J59</f>
        <v>122</v>
      </c>
      <c r="K21" s="24">
        <f>J21*100/B21</f>
        <v>0.97374092106313348</v>
      </c>
      <c r="M21" s="32">
        <f>M40+M59</f>
        <v>26</v>
      </c>
      <c r="N21" s="24">
        <f>M21*100/B21</f>
        <v>0.20751855694788091</v>
      </c>
    </row>
    <row r="22" spans="1:14" x14ac:dyDescent="0.3">
      <c r="A22" s="13" t="s">
        <v>12</v>
      </c>
      <c r="B22" s="32">
        <f>B41+B60</f>
        <v>1315</v>
      </c>
      <c r="C22" s="32"/>
      <c r="D22" s="32">
        <f>D41+D60</f>
        <v>1067</v>
      </c>
      <c r="E22" s="24">
        <f>D22*100/B22</f>
        <v>81.140684410646386</v>
      </c>
      <c r="G22" s="32">
        <f>G41+G60</f>
        <v>122</v>
      </c>
      <c r="H22" s="24">
        <f>G22*100/B22</f>
        <v>9.2775665399239546</v>
      </c>
      <c r="J22" s="32">
        <f>J41+J60</f>
        <v>114</v>
      </c>
      <c r="K22" s="24">
        <f>J22*100/B22</f>
        <v>8.6692015209125479</v>
      </c>
      <c r="M22" s="32">
        <f>M41+M60</f>
        <v>12</v>
      </c>
      <c r="N22" s="24">
        <f>M22*100/B22</f>
        <v>0.9125475285171103</v>
      </c>
    </row>
    <row r="23" spans="1:14" x14ac:dyDescent="0.3">
      <c r="A23" s="43" t="s">
        <v>28</v>
      </c>
      <c r="B23" s="33"/>
      <c r="C23" s="42"/>
      <c r="D23" s="33"/>
      <c r="E23" s="25"/>
      <c r="F23" s="15"/>
      <c r="G23" s="33"/>
      <c r="H23" s="25"/>
      <c r="I23" s="15"/>
      <c r="J23" s="33"/>
      <c r="K23" s="25"/>
      <c r="L23" s="15"/>
      <c r="M23" s="33"/>
      <c r="N23" s="25"/>
    </row>
    <row r="24" spans="1:14" x14ac:dyDescent="0.3">
      <c r="A24" s="16" t="s">
        <v>29</v>
      </c>
      <c r="B24" s="33">
        <f>B43+B62</f>
        <v>104992</v>
      </c>
      <c r="C24" s="42"/>
      <c r="D24" s="33">
        <f>D43+D62</f>
        <v>104408</v>
      </c>
      <c r="E24" s="25">
        <f>D24/$B24*100</f>
        <v>99.44376714416336</v>
      </c>
      <c r="F24" s="15"/>
      <c r="G24" s="33">
        <f>G43+G62</f>
        <v>327</v>
      </c>
      <c r="H24" s="25">
        <f>G24/$B24*100</f>
        <v>0.31145230112770494</v>
      </c>
      <c r="I24" s="15"/>
      <c r="J24" s="33">
        <f>J43+J62</f>
        <v>138</v>
      </c>
      <c r="K24" s="25">
        <f>J24/$B24*100</f>
        <v>0.13143858579701312</v>
      </c>
      <c r="L24" s="15"/>
      <c r="M24" s="33">
        <f>M43+M62</f>
        <v>119</v>
      </c>
      <c r="N24" s="25">
        <f>M24/$B24*100</f>
        <v>0.11334196891191708</v>
      </c>
    </row>
    <row r="25" spans="1:14" x14ac:dyDescent="0.3">
      <c r="A25" s="17" t="s">
        <v>30</v>
      </c>
      <c r="B25" s="34">
        <f>B44+B63</f>
        <v>13150</v>
      </c>
      <c r="C25" s="38"/>
      <c r="D25" s="34">
        <f>D44+D63</f>
        <v>12252</v>
      </c>
      <c r="E25" s="29">
        <f t="shared" ref="E25" si="9">D25/$B25*100</f>
        <v>93.171102661596962</v>
      </c>
      <c r="F25" s="18"/>
      <c r="G25" s="34">
        <f>G44+G63</f>
        <v>513</v>
      </c>
      <c r="H25" s="29">
        <f t="shared" ref="H25" si="10">G25/$B25*100</f>
        <v>3.9011406844106462</v>
      </c>
      <c r="I25" s="18"/>
      <c r="J25" s="34">
        <f>J44+J63</f>
        <v>332</v>
      </c>
      <c r="K25" s="29">
        <f t="shared" ref="K25" si="11">J25/$B25*100</f>
        <v>2.5247148288973382</v>
      </c>
      <c r="L25" s="18"/>
      <c r="M25" s="34">
        <f>M44+M63</f>
        <v>53</v>
      </c>
      <c r="N25" s="29">
        <f t="shared" ref="N25" si="12">M25/$B25*100</f>
        <v>0.40304182509505704</v>
      </c>
    </row>
    <row r="26" spans="1:14" s="2" customFormat="1" x14ac:dyDescent="0.3">
      <c r="A26" s="9" t="s">
        <v>34</v>
      </c>
      <c r="B26" s="36">
        <f>SUM(B43:B44)</f>
        <v>57701</v>
      </c>
      <c r="C26" s="37"/>
      <c r="D26" s="36">
        <f>SUM(D43:D44)</f>
        <v>57007</v>
      </c>
      <c r="E26" s="35">
        <f>D26*100/B26</f>
        <v>98.797247881319208</v>
      </c>
      <c r="G26" s="36">
        <f>SUM(G43:G44)</f>
        <v>421</v>
      </c>
      <c r="H26" s="35">
        <f>G26*100/B26</f>
        <v>0.72962340340721998</v>
      </c>
      <c r="J26" s="36">
        <f>SUM(J43:J44)</f>
        <v>178</v>
      </c>
      <c r="K26" s="35">
        <f>J26*100/B26</f>
        <v>0.30848685464723313</v>
      </c>
      <c r="M26" s="36">
        <f>SUM(M43:M44)</f>
        <v>95</v>
      </c>
      <c r="N26" s="35">
        <f>M26*100/B26</f>
        <v>0.16464186062633229</v>
      </c>
    </row>
    <row r="27" spans="1:14" x14ac:dyDescent="0.3">
      <c r="A27" s="10" t="s">
        <v>8</v>
      </c>
      <c r="B27" s="33"/>
      <c r="C27" s="33"/>
      <c r="D27" s="33"/>
      <c r="E27" s="25"/>
      <c r="F27" s="15"/>
      <c r="G27" s="33"/>
      <c r="H27" s="15"/>
      <c r="I27" s="15"/>
      <c r="J27" s="33"/>
      <c r="K27" s="15"/>
      <c r="L27" s="15"/>
      <c r="M27" s="33"/>
    </row>
    <row r="28" spans="1:14" x14ac:dyDescent="0.3">
      <c r="A28" s="20" t="s">
        <v>9</v>
      </c>
      <c r="B28" s="32">
        <v>49140</v>
      </c>
      <c r="C28" s="32"/>
      <c r="D28" s="32">
        <v>48704</v>
      </c>
      <c r="E28" s="24">
        <f>D28*100/B28</f>
        <v>99.112739112739106</v>
      </c>
      <c r="G28" s="32">
        <f>269+17</f>
        <v>286</v>
      </c>
      <c r="H28" s="24">
        <f>G28*100/B28</f>
        <v>0.58201058201058198</v>
      </c>
      <c r="J28" s="32">
        <v>119</v>
      </c>
      <c r="K28" s="24">
        <f>J28*100/B28</f>
        <v>0.24216524216524216</v>
      </c>
      <c r="M28" s="32">
        <f>B28-D28-G28-J28</f>
        <v>31</v>
      </c>
      <c r="N28" s="24">
        <f>M28*100/B28</f>
        <v>6.3085063085063078E-2</v>
      </c>
    </row>
    <row r="29" spans="1:14" x14ac:dyDescent="0.3">
      <c r="A29" s="21" t="s">
        <v>10</v>
      </c>
      <c r="B29" s="32">
        <v>8913</v>
      </c>
      <c r="C29" s="32"/>
      <c r="D29" s="32">
        <v>8653</v>
      </c>
      <c r="E29" s="24">
        <f>D29*100/B29</f>
        <v>97.08291259957366</v>
      </c>
      <c r="G29" s="32">
        <f>128+15</f>
        <v>143</v>
      </c>
      <c r="H29" s="24">
        <f t="shared" ref="H29:H33" si="13">G29*100/B29</f>
        <v>1.6043980702344889</v>
      </c>
      <c r="J29" s="32">
        <v>64</v>
      </c>
      <c r="K29" s="24">
        <f t="shared" ref="K29:K33" si="14">J29*100/B29</f>
        <v>0.7180522831818692</v>
      </c>
      <c r="M29" s="32">
        <f t="shared" ref="M29:M33" si="15">B29-D29-G29-J29</f>
        <v>53</v>
      </c>
      <c r="N29" s="24">
        <f t="shared" ref="N29:N33" si="16">M29*100/B29</f>
        <v>0.59463704700998543</v>
      </c>
    </row>
    <row r="30" spans="1:14" x14ac:dyDescent="0.3">
      <c r="A30" s="14" t="s">
        <v>31</v>
      </c>
      <c r="B30" s="32">
        <v>5004</v>
      </c>
      <c r="C30" s="32"/>
      <c r="D30" s="32">
        <v>4918</v>
      </c>
      <c r="E30" s="24">
        <f>D30*100/B30</f>
        <v>98.281374900079939</v>
      </c>
      <c r="G30" s="32">
        <f>53+5</f>
        <v>58</v>
      </c>
      <c r="H30" s="24">
        <f t="shared" si="13"/>
        <v>1.1590727418065547</v>
      </c>
      <c r="J30" s="32">
        <v>23</v>
      </c>
      <c r="K30" s="24">
        <f t="shared" si="14"/>
        <v>0.45963229416466828</v>
      </c>
      <c r="M30" s="32">
        <f t="shared" si="15"/>
        <v>5</v>
      </c>
      <c r="N30" s="24">
        <f t="shared" si="16"/>
        <v>9.9920063948840926E-2</v>
      </c>
    </row>
    <row r="31" spans="1:14" x14ac:dyDescent="0.3">
      <c r="A31" s="14" t="s">
        <v>94</v>
      </c>
      <c r="B31" s="32">
        <v>1531</v>
      </c>
      <c r="C31" s="32"/>
      <c r="D31" s="32">
        <v>1502</v>
      </c>
      <c r="E31" s="24">
        <f t="shared" ref="E31:E33" si="17">D31*100/B31</f>
        <v>98.105813193990855</v>
      </c>
      <c r="G31" s="32">
        <f>13+1</f>
        <v>14</v>
      </c>
      <c r="H31" s="24">
        <f t="shared" si="13"/>
        <v>0.91443500979751802</v>
      </c>
      <c r="J31" s="32">
        <v>6</v>
      </c>
      <c r="K31" s="24">
        <f t="shared" si="14"/>
        <v>0.39190071848465058</v>
      </c>
      <c r="M31" s="32">
        <f t="shared" si="15"/>
        <v>9</v>
      </c>
      <c r="N31" s="24">
        <f t="shared" si="16"/>
        <v>0.58785107772697587</v>
      </c>
    </row>
    <row r="32" spans="1:14" x14ac:dyDescent="0.3">
      <c r="A32" s="14" t="s">
        <v>95</v>
      </c>
      <c r="B32" s="32">
        <v>1157</v>
      </c>
      <c r="C32" s="32"/>
      <c r="D32" s="32">
        <v>1114</v>
      </c>
      <c r="E32" s="24">
        <f t="shared" si="17"/>
        <v>96.28349178910976</v>
      </c>
      <c r="G32" s="32">
        <f>11+2</f>
        <v>13</v>
      </c>
      <c r="H32" s="24">
        <f t="shared" si="13"/>
        <v>1.1235955056179776</v>
      </c>
      <c r="J32" s="32">
        <v>13</v>
      </c>
      <c r="K32" s="24">
        <f t="shared" si="14"/>
        <v>1.1235955056179776</v>
      </c>
      <c r="M32" s="32">
        <f t="shared" si="15"/>
        <v>17</v>
      </c>
      <c r="N32" s="24">
        <f t="shared" si="16"/>
        <v>1.4693171996542782</v>
      </c>
    </row>
    <row r="33" spans="1:14" x14ac:dyDescent="0.3">
      <c r="A33" s="14" t="s">
        <v>96</v>
      </c>
      <c r="B33" s="32">
        <v>1219</v>
      </c>
      <c r="C33" s="32"/>
      <c r="D33" s="32">
        <v>1117</v>
      </c>
      <c r="E33" s="24">
        <f t="shared" si="17"/>
        <v>91.632485643970469</v>
      </c>
      <c r="G33" s="32">
        <f>51+7</f>
        <v>58</v>
      </c>
      <c r="H33" s="24">
        <f t="shared" si="13"/>
        <v>4.7579983593109105</v>
      </c>
      <c r="J33" s="32">
        <v>22</v>
      </c>
      <c r="K33" s="24">
        <f t="shared" si="14"/>
        <v>1.8047579983593109</v>
      </c>
      <c r="M33" s="32">
        <f t="shared" si="15"/>
        <v>22</v>
      </c>
      <c r="N33" s="24">
        <f t="shared" si="16"/>
        <v>1.8047579983593109</v>
      </c>
    </row>
    <row r="34" spans="1:14" x14ac:dyDescent="0.3">
      <c r="A34" s="11" t="s">
        <v>16</v>
      </c>
      <c r="B34" s="32"/>
      <c r="C34" s="32"/>
      <c r="D34" s="32"/>
      <c r="G34" s="32"/>
      <c r="J34" s="32"/>
      <c r="M34" s="32"/>
    </row>
    <row r="35" spans="1:14" x14ac:dyDescent="0.3">
      <c r="A35" s="13" t="s">
        <v>17</v>
      </c>
      <c r="B35" s="32">
        <v>2890</v>
      </c>
      <c r="C35" s="32"/>
      <c r="D35" s="32">
        <v>2804</v>
      </c>
      <c r="E35" s="24">
        <f>D35*100/B35</f>
        <v>97.024221453287197</v>
      </c>
      <c r="G35" s="32">
        <f>42+4</f>
        <v>46</v>
      </c>
      <c r="H35" s="24">
        <f>G35*100/B35</f>
        <v>1.5916955017301038</v>
      </c>
      <c r="J35" s="32">
        <v>36</v>
      </c>
      <c r="K35" s="24">
        <f>J35*100/B35</f>
        <v>1.2456747404844291</v>
      </c>
      <c r="M35" s="32">
        <f>B35-D35-G35-J35</f>
        <v>4</v>
      </c>
      <c r="N35" s="24">
        <f>M35*100/B35</f>
        <v>0.13840830449826991</v>
      </c>
    </row>
    <row r="36" spans="1:14" ht="13.95" customHeight="1" x14ac:dyDescent="0.3">
      <c r="A36" s="13" t="s">
        <v>18</v>
      </c>
      <c r="B36" s="32">
        <v>26789</v>
      </c>
      <c r="C36" s="32"/>
      <c r="D36" s="32">
        <v>26492</v>
      </c>
      <c r="E36" s="24">
        <f>D36*100/B36</f>
        <v>98.891335996117803</v>
      </c>
      <c r="G36" s="32">
        <f>174+15</f>
        <v>189</v>
      </c>
      <c r="H36" s="24">
        <f>G36*100/B36</f>
        <v>0.70551345701593937</v>
      </c>
      <c r="J36" s="32">
        <v>93</v>
      </c>
      <c r="K36" s="24">
        <f>J36*100/B36</f>
        <v>0.34715741535704953</v>
      </c>
      <c r="M36" s="32">
        <f>B36-D36-G36-J36</f>
        <v>15</v>
      </c>
      <c r="N36" s="24">
        <f>M36*100/B36</f>
        <v>5.5993131509201537E-2</v>
      </c>
    </row>
    <row r="37" spans="1:14" ht="13.95" customHeight="1" x14ac:dyDescent="0.3">
      <c r="A37" s="13" t="s">
        <v>19</v>
      </c>
      <c r="B37" s="32">
        <v>28073</v>
      </c>
      <c r="C37" s="32"/>
      <c r="D37" s="32">
        <v>27823</v>
      </c>
      <c r="E37" s="24">
        <f>D37*100/B37</f>
        <v>99.109464610123609</v>
      </c>
      <c r="G37" s="32">
        <f>177+11</f>
        <v>188</v>
      </c>
      <c r="H37" s="24">
        <f>G37*100/B37</f>
        <v>0.66968261318704803</v>
      </c>
      <c r="J37" s="32">
        <v>39</v>
      </c>
      <c r="K37" s="24">
        <f>J37*100/B37</f>
        <v>0.13892352082071741</v>
      </c>
      <c r="M37" s="32">
        <f>B37-D37-G37-J37</f>
        <v>23</v>
      </c>
      <c r="N37" s="24">
        <f>M37*100/B37</f>
        <v>8.1929255868628217E-2</v>
      </c>
    </row>
    <row r="38" spans="1:14" x14ac:dyDescent="0.3">
      <c r="A38" s="10" t="s">
        <v>11</v>
      </c>
      <c r="B38" s="32"/>
      <c r="C38" s="32"/>
      <c r="D38" s="32"/>
      <c r="G38" s="32"/>
      <c r="J38" s="32"/>
      <c r="M38" s="32"/>
    </row>
    <row r="39" spans="1:14" x14ac:dyDescent="0.3">
      <c r="A39" s="13" t="s">
        <v>14</v>
      </c>
      <c r="B39" s="32">
        <v>51750</v>
      </c>
      <c r="C39" s="32"/>
      <c r="D39" s="32">
        <v>51326</v>
      </c>
      <c r="E39" s="24">
        <f>D39*100/B39</f>
        <v>99.180676328502415</v>
      </c>
      <c r="G39" s="32">
        <f>237+19</f>
        <v>256</v>
      </c>
      <c r="H39" s="24">
        <f>G39*100/B39</f>
        <v>0.49468599033816424</v>
      </c>
      <c r="J39" s="32">
        <v>91</v>
      </c>
      <c r="K39" s="24">
        <f>J39*100/B39</f>
        <v>0.17584541062801931</v>
      </c>
      <c r="M39" s="32">
        <f>B39-D39-G39-J39</f>
        <v>77</v>
      </c>
      <c r="N39" s="24">
        <f>M39*100/B39</f>
        <v>0.14879227053140096</v>
      </c>
    </row>
    <row r="40" spans="1:14" x14ac:dyDescent="0.3">
      <c r="A40" s="13" t="s">
        <v>87</v>
      </c>
      <c r="B40" s="32">
        <v>5403</v>
      </c>
      <c r="C40" s="32"/>
      <c r="D40" s="32">
        <v>5227</v>
      </c>
      <c r="E40" s="24">
        <f>D40*100/B40</f>
        <v>96.742550434943553</v>
      </c>
      <c r="G40" s="32">
        <f>110+7</f>
        <v>117</v>
      </c>
      <c r="H40" s="24">
        <f>G40*100/B40</f>
        <v>2.1654636313159354</v>
      </c>
      <c r="J40" s="32">
        <v>43</v>
      </c>
      <c r="K40" s="24">
        <f>J40*100/B40</f>
        <v>0.79585415509901902</v>
      </c>
      <c r="M40" s="32">
        <f>B40-D40-G40-J40</f>
        <v>16</v>
      </c>
      <c r="N40" s="24">
        <f>M40*100/B40</f>
        <v>0.29613177864149548</v>
      </c>
    </row>
    <row r="41" spans="1:14" ht="13.95" customHeight="1" x14ac:dyDescent="0.3">
      <c r="A41" s="13" t="s">
        <v>12</v>
      </c>
      <c r="B41" s="32">
        <v>530</v>
      </c>
      <c r="C41" s="32"/>
      <c r="D41" s="32">
        <v>437</v>
      </c>
      <c r="E41" s="24">
        <f>D41*100/B41</f>
        <v>82.452830188679243</v>
      </c>
      <c r="G41" s="32">
        <f>41+6</f>
        <v>47</v>
      </c>
      <c r="H41" s="24">
        <f>G41*100/B41</f>
        <v>8.8679245283018862</v>
      </c>
      <c r="J41" s="32">
        <v>44</v>
      </c>
      <c r="K41" s="24">
        <f>J41*100/B41</f>
        <v>8.3018867924528301</v>
      </c>
      <c r="M41" s="32">
        <f>B41-D41-G41-J41</f>
        <v>2</v>
      </c>
      <c r="N41" s="24">
        <f>M41*100/B41</f>
        <v>0.37735849056603776</v>
      </c>
    </row>
    <row r="42" spans="1:14" x14ac:dyDescent="0.3">
      <c r="A42" s="43" t="s">
        <v>28</v>
      </c>
      <c r="B42" s="33"/>
      <c r="C42" s="42"/>
      <c r="D42" s="33"/>
      <c r="E42" s="25"/>
      <c r="F42" s="15"/>
      <c r="G42" s="33"/>
      <c r="H42" s="25"/>
      <c r="I42" s="15"/>
      <c r="J42" s="33"/>
      <c r="K42" s="25"/>
      <c r="L42" s="15"/>
      <c r="M42" s="33"/>
      <c r="N42" s="25"/>
    </row>
    <row r="43" spans="1:14" x14ac:dyDescent="0.3">
      <c r="A43" s="16" t="s">
        <v>29</v>
      </c>
      <c r="B43" s="33">
        <v>51946</v>
      </c>
      <c r="C43" s="42"/>
      <c r="D43" s="33">
        <v>51626</v>
      </c>
      <c r="E43" s="25">
        <f>D43/$B43*100</f>
        <v>99.383975667038854</v>
      </c>
      <c r="F43" s="15"/>
      <c r="G43" s="33">
        <f>180+11</f>
        <v>191</v>
      </c>
      <c r="H43" s="25">
        <f>G43/$B43*100</f>
        <v>0.36768952373618757</v>
      </c>
      <c r="I43" s="15"/>
      <c r="J43" s="33">
        <v>53</v>
      </c>
      <c r="K43" s="25">
        <f>J43/$B43*100</f>
        <v>0.10202903014669079</v>
      </c>
      <c r="L43" s="15"/>
      <c r="M43" s="33">
        <f>B43-D43-G43-J43</f>
        <v>76</v>
      </c>
      <c r="N43" s="25">
        <f>M43/$B43*100</f>
        <v>0.14630577907827361</v>
      </c>
    </row>
    <row r="44" spans="1:14" x14ac:dyDescent="0.3">
      <c r="A44" s="17" t="s">
        <v>30</v>
      </c>
      <c r="B44" s="34">
        <v>5755</v>
      </c>
      <c r="C44" s="38"/>
      <c r="D44" s="34">
        <v>5381</v>
      </c>
      <c r="E44" s="29">
        <f t="shared" ref="E44" si="18">D44/$B44*100</f>
        <v>93.501303214595993</v>
      </c>
      <c r="F44" s="18"/>
      <c r="G44" s="18">
        <f>209+21</f>
        <v>230</v>
      </c>
      <c r="H44" s="29">
        <f t="shared" ref="H44" si="19">G44/$B44*100</f>
        <v>3.9965247610773238</v>
      </c>
      <c r="I44" s="18"/>
      <c r="J44" s="34">
        <v>125</v>
      </c>
      <c r="K44" s="29">
        <f t="shared" ref="K44" si="20">J44/$B44*100</f>
        <v>2.1720243266724588</v>
      </c>
      <c r="L44" s="18"/>
      <c r="M44" s="34">
        <f>B44-D44-G44-J44</f>
        <v>19</v>
      </c>
      <c r="N44" s="29">
        <f t="shared" ref="N44" si="21">M44/$B44*100</f>
        <v>0.33014769765421376</v>
      </c>
    </row>
    <row r="45" spans="1:14" s="2" customFormat="1" x14ac:dyDescent="0.3">
      <c r="A45" s="9" t="s">
        <v>35</v>
      </c>
      <c r="B45" s="36">
        <f>SUM(B62:B63)</f>
        <v>60441</v>
      </c>
      <c r="C45" s="37"/>
      <c r="D45" s="36">
        <f>SUM(D62:D63)</f>
        <v>59653</v>
      </c>
      <c r="E45" s="35">
        <f>D45*100/B45</f>
        <v>98.696249234790955</v>
      </c>
      <c r="G45" s="36">
        <f>SUM(G62:G63)</f>
        <v>419</v>
      </c>
      <c r="H45" s="35">
        <f>G45*100/B45</f>
        <v>0.69323803378501347</v>
      </c>
      <c r="J45" s="36">
        <f>SUM(J62:J63)</f>
        <v>292</v>
      </c>
      <c r="K45" s="35">
        <f>J45*100/B45</f>
        <v>0.48311576578812393</v>
      </c>
      <c r="M45" s="36">
        <f>SUM(M62:M63)</f>
        <v>77</v>
      </c>
      <c r="N45" s="35">
        <f>M45*100/B45</f>
        <v>0.12739696563590941</v>
      </c>
    </row>
    <row r="46" spans="1:14" x14ac:dyDescent="0.3">
      <c r="A46" s="10" t="s">
        <v>8</v>
      </c>
      <c r="B46" s="33"/>
      <c r="C46" s="33"/>
      <c r="D46" s="33"/>
      <c r="E46" s="25"/>
      <c r="F46" s="15"/>
      <c r="G46" s="33"/>
      <c r="H46" s="15"/>
      <c r="I46" s="15"/>
      <c r="J46" s="33"/>
      <c r="K46" s="15"/>
      <c r="L46" s="15"/>
      <c r="M46" s="33"/>
    </row>
    <row r="47" spans="1:14" x14ac:dyDescent="0.3">
      <c r="A47" s="20" t="s">
        <v>9</v>
      </c>
      <c r="B47" s="32">
        <v>51082</v>
      </c>
      <c r="C47" s="32"/>
      <c r="D47" s="32">
        <v>50535</v>
      </c>
      <c r="E47" s="24">
        <f>D47*100/B47</f>
        <v>98.929172702713288</v>
      </c>
      <c r="G47" s="32">
        <f>269+32</f>
        <v>301</v>
      </c>
      <c r="H47" s="24">
        <f>G47*100/B47</f>
        <v>0.5892486590188325</v>
      </c>
      <c r="J47" s="32">
        <v>221</v>
      </c>
      <c r="K47" s="24">
        <f>J47*100/B47</f>
        <v>0.43263771974472415</v>
      </c>
      <c r="M47" s="32">
        <f>B47-D47-G47-J47</f>
        <v>25</v>
      </c>
      <c r="N47" s="24">
        <f>M47*100/B47</f>
        <v>4.8940918523158843E-2</v>
      </c>
    </row>
    <row r="48" spans="1:14" x14ac:dyDescent="0.3">
      <c r="A48" s="21" t="s">
        <v>10</v>
      </c>
      <c r="B48" s="32">
        <v>9621</v>
      </c>
      <c r="C48" s="32"/>
      <c r="D48" s="32">
        <v>9386</v>
      </c>
      <c r="E48" s="24">
        <f>D48*100/B48</f>
        <v>97.557426462945642</v>
      </c>
      <c r="G48" s="32">
        <f>118+10</f>
        <v>128</v>
      </c>
      <c r="H48" s="24">
        <f t="shared" ref="H48:H52" si="22">G48*100/B48</f>
        <v>1.3304230329487579</v>
      </c>
      <c r="J48" s="32">
        <v>73</v>
      </c>
      <c r="K48" s="24">
        <f t="shared" ref="K48:K52" si="23">J48*100/B48</f>
        <v>0.75875688597858848</v>
      </c>
      <c r="M48" s="32">
        <f t="shared" ref="M48:M52" si="24">B48-D48-G48-J48</f>
        <v>34</v>
      </c>
      <c r="N48" s="24">
        <f t="shared" ref="N48:N52" si="25">M48*100/B48</f>
        <v>0.35339361812701381</v>
      </c>
    </row>
    <row r="49" spans="1:14" x14ac:dyDescent="0.3">
      <c r="A49" s="14" t="s">
        <v>31</v>
      </c>
      <c r="B49" s="32">
        <v>5461</v>
      </c>
      <c r="C49" s="32"/>
      <c r="D49" s="32">
        <v>5379</v>
      </c>
      <c r="E49" s="24">
        <f>D49*100/B49</f>
        <v>98.498443508514924</v>
      </c>
      <c r="G49" s="32">
        <f>38+3</f>
        <v>41</v>
      </c>
      <c r="H49" s="24">
        <f t="shared" si="22"/>
        <v>0.75077824574253804</v>
      </c>
      <c r="J49" s="32">
        <v>35</v>
      </c>
      <c r="K49" s="24">
        <f t="shared" si="23"/>
        <v>0.64090825856070321</v>
      </c>
      <c r="M49" s="32">
        <f t="shared" si="24"/>
        <v>6</v>
      </c>
      <c r="N49" s="24">
        <f t="shared" si="25"/>
        <v>0.10986998718183483</v>
      </c>
    </row>
    <row r="50" spans="1:14" x14ac:dyDescent="0.3">
      <c r="A50" s="14" t="s">
        <v>94</v>
      </c>
      <c r="B50" s="32">
        <v>1588</v>
      </c>
      <c r="C50" s="32"/>
      <c r="D50" s="32">
        <v>1558</v>
      </c>
      <c r="E50" s="24">
        <f t="shared" ref="E50:E52" si="26">D50*100/B50</f>
        <v>98.110831234256921</v>
      </c>
      <c r="G50" s="32">
        <f>12+2</f>
        <v>14</v>
      </c>
      <c r="H50" s="24">
        <f t="shared" si="22"/>
        <v>0.88161209068010071</v>
      </c>
      <c r="J50" s="32">
        <v>11</v>
      </c>
      <c r="K50" s="24">
        <f t="shared" si="23"/>
        <v>0.69269521410579349</v>
      </c>
      <c r="M50" s="32">
        <f t="shared" si="24"/>
        <v>5</v>
      </c>
      <c r="N50" s="24">
        <f t="shared" si="25"/>
        <v>0.31486146095717882</v>
      </c>
    </row>
    <row r="51" spans="1:14" x14ac:dyDescent="0.3">
      <c r="A51" s="14" t="s">
        <v>95</v>
      </c>
      <c r="B51" s="32">
        <v>1222</v>
      </c>
      <c r="C51" s="32"/>
      <c r="D51" s="32">
        <v>1193</v>
      </c>
      <c r="E51" s="24">
        <f t="shared" si="26"/>
        <v>97.626841243862515</v>
      </c>
      <c r="G51" s="32">
        <f>10</f>
        <v>10</v>
      </c>
      <c r="H51" s="24">
        <f t="shared" si="22"/>
        <v>0.81833060556464809</v>
      </c>
      <c r="J51" s="32">
        <v>15</v>
      </c>
      <c r="K51" s="24">
        <f t="shared" si="23"/>
        <v>1.2274959083469721</v>
      </c>
      <c r="M51" s="32">
        <f t="shared" si="24"/>
        <v>4</v>
      </c>
      <c r="N51" s="24">
        <f t="shared" si="25"/>
        <v>0.32733224222585927</v>
      </c>
    </row>
    <row r="52" spans="1:14" x14ac:dyDescent="0.3">
      <c r="A52" s="14" t="s">
        <v>96</v>
      </c>
      <c r="B52" s="32">
        <v>1348</v>
      </c>
      <c r="C52" s="32"/>
      <c r="D52" s="32">
        <v>1254</v>
      </c>
      <c r="E52" s="24">
        <f t="shared" si="26"/>
        <v>93.026706231454</v>
      </c>
      <c r="G52" s="32">
        <f>58+5</f>
        <v>63</v>
      </c>
      <c r="H52" s="24">
        <f t="shared" si="22"/>
        <v>4.6735905044510382</v>
      </c>
      <c r="J52" s="32">
        <v>12</v>
      </c>
      <c r="K52" s="24">
        <f t="shared" si="23"/>
        <v>0.89020771513353114</v>
      </c>
      <c r="M52" s="32">
        <f t="shared" si="24"/>
        <v>19</v>
      </c>
      <c r="N52" s="24">
        <f t="shared" si="25"/>
        <v>1.4094955489614243</v>
      </c>
    </row>
    <row r="53" spans="1:14" x14ac:dyDescent="0.3">
      <c r="A53" s="11" t="s">
        <v>16</v>
      </c>
      <c r="B53" s="32"/>
      <c r="C53" s="32"/>
      <c r="D53" s="32"/>
      <c r="G53" s="32"/>
      <c r="J53" s="32"/>
      <c r="M53" s="32"/>
    </row>
    <row r="54" spans="1:14" x14ac:dyDescent="0.3">
      <c r="A54" s="13" t="s">
        <v>17</v>
      </c>
      <c r="B54" s="32">
        <v>3117</v>
      </c>
      <c r="C54" s="32"/>
      <c r="D54" s="32">
        <v>2997</v>
      </c>
      <c r="E54" s="24">
        <f>D54*100/B54</f>
        <v>96.150144369586144</v>
      </c>
      <c r="G54" s="32">
        <f>56+6</f>
        <v>62</v>
      </c>
      <c r="H54" s="24">
        <f>G54*100/B54</f>
        <v>1.9890920757138273</v>
      </c>
      <c r="J54" s="32">
        <v>51</v>
      </c>
      <c r="K54" s="24">
        <f>J54*100/B54</f>
        <v>1.6361886429258903</v>
      </c>
      <c r="M54" s="32">
        <f>B54-D54-G54-J54</f>
        <v>7</v>
      </c>
      <c r="N54" s="24">
        <f>M54*100/B54</f>
        <v>0.22457491177414179</v>
      </c>
    </row>
    <row r="55" spans="1:14" x14ac:dyDescent="0.3">
      <c r="A55" s="13" t="s">
        <v>18</v>
      </c>
      <c r="B55" s="32">
        <v>28035</v>
      </c>
      <c r="C55" s="32"/>
      <c r="D55" s="32">
        <v>27647</v>
      </c>
      <c r="E55" s="24">
        <f>D55*100/B55</f>
        <v>98.616015694667382</v>
      </c>
      <c r="G55" s="32">
        <f>179+26</f>
        <v>205</v>
      </c>
      <c r="H55" s="24">
        <f>G55*100/B55</f>
        <v>0.73122882111646159</v>
      </c>
      <c r="J55" s="32">
        <v>169</v>
      </c>
      <c r="K55" s="24">
        <f>J55*100/B55</f>
        <v>0.60281790618869269</v>
      </c>
      <c r="M55" s="32">
        <f>B55-D55-G55-J55</f>
        <v>14</v>
      </c>
      <c r="N55" s="24">
        <f>M55*100/B55</f>
        <v>4.9937578027465665E-2</v>
      </c>
    </row>
    <row r="56" spans="1:14" x14ac:dyDescent="0.3">
      <c r="A56" s="13" t="s">
        <v>19</v>
      </c>
      <c r="B56" s="32">
        <v>29200</v>
      </c>
      <c r="C56" s="32"/>
      <c r="D56" s="32">
        <v>28968</v>
      </c>
      <c r="E56" s="24">
        <f>D56*100/B56</f>
        <v>99.205479452054789</v>
      </c>
      <c r="G56" s="32">
        <f>141+9</f>
        <v>150</v>
      </c>
      <c r="H56" s="24">
        <f>G56*100/B56</f>
        <v>0.51369863013698636</v>
      </c>
      <c r="J56" s="32">
        <v>66</v>
      </c>
      <c r="K56" s="24">
        <f>J56*100/B56</f>
        <v>0.22602739726027396</v>
      </c>
      <c r="M56" s="32">
        <f>B56-D56-G56-J56</f>
        <v>16</v>
      </c>
      <c r="N56" s="24">
        <f>M56*100/B56</f>
        <v>5.4794520547945202E-2</v>
      </c>
    </row>
    <row r="57" spans="1:14" x14ac:dyDescent="0.3">
      <c r="A57" s="10" t="s">
        <v>11</v>
      </c>
      <c r="B57" s="32"/>
      <c r="C57" s="32"/>
      <c r="D57" s="32"/>
      <c r="G57" s="32"/>
      <c r="J57" s="32"/>
      <c r="M57" s="32"/>
    </row>
    <row r="58" spans="1:14" x14ac:dyDescent="0.3">
      <c r="A58" s="13" t="s">
        <v>14</v>
      </c>
      <c r="B58" s="32">
        <v>52506</v>
      </c>
      <c r="C58" s="32"/>
      <c r="D58" s="32">
        <v>52081</v>
      </c>
      <c r="E58" s="24">
        <f>D58*100/B58</f>
        <v>99.19056869691083</v>
      </c>
      <c r="G58" s="32">
        <f>204+22</f>
        <v>226</v>
      </c>
      <c r="H58" s="24">
        <f>G58*100/B58</f>
        <v>0.43042699881918256</v>
      </c>
      <c r="J58" s="32">
        <v>142</v>
      </c>
      <c r="K58" s="24">
        <f>J58*100/B58</f>
        <v>0.27044528244391119</v>
      </c>
      <c r="M58" s="32">
        <f>B58-D58-G58-J58</f>
        <v>57</v>
      </c>
      <c r="N58" s="24">
        <f>M58*100/B58</f>
        <v>0.10855902182607702</v>
      </c>
    </row>
    <row r="59" spans="1:14" x14ac:dyDescent="0.3">
      <c r="A59" s="13" t="s">
        <v>87</v>
      </c>
      <c r="B59" s="32">
        <v>7126</v>
      </c>
      <c r="C59" s="32"/>
      <c r="D59" s="32">
        <v>6920</v>
      </c>
      <c r="E59" s="24">
        <f>D59*100/B59</f>
        <v>97.109177659275886</v>
      </c>
      <c r="G59" s="32">
        <f>112+5</f>
        <v>117</v>
      </c>
      <c r="H59" s="24">
        <f>G59*100/B59</f>
        <v>1.6418748245860231</v>
      </c>
      <c r="J59" s="32">
        <v>79</v>
      </c>
      <c r="K59" s="24">
        <f>J59*100/B59</f>
        <v>1.108616334549537</v>
      </c>
      <c r="M59" s="32">
        <f>B59-D59-G59-J59</f>
        <v>10</v>
      </c>
      <c r="N59" s="24">
        <f>M59*100/B59</f>
        <v>0.14033118158854899</v>
      </c>
    </row>
    <row r="60" spans="1:14" x14ac:dyDescent="0.3">
      <c r="A60" s="13" t="s">
        <v>12</v>
      </c>
      <c r="B60" s="32">
        <v>785</v>
      </c>
      <c r="C60" s="32"/>
      <c r="D60" s="32">
        <v>630</v>
      </c>
      <c r="E60" s="24">
        <f>D60*100/B60</f>
        <v>80.254777070063696</v>
      </c>
      <c r="G60" s="32">
        <f>61+14</f>
        <v>75</v>
      </c>
      <c r="H60" s="24">
        <f>G60*100/B60</f>
        <v>9.5541401273885356</v>
      </c>
      <c r="J60" s="32">
        <v>70</v>
      </c>
      <c r="K60" s="24">
        <f>J60*100/B60</f>
        <v>8.9171974522292992</v>
      </c>
      <c r="M60" s="32">
        <f>B60-D60-G60-J60</f>
        <v>10</v>
      </c>
      <c r="N60" s="24">
        <f>M60*100/B60</f>
        <v>1.2738853503184713</v>
      </c>
    </row>
    <row r="61" spans="1:14" x14ac:dyDescent="0.3">
      <c r="A61" s="43" t="s">
        <v>28</v>
      </c>
      <c r="B61" s="33"/>
      <c r="C61" s="42"/>
      <c r="D61" s="33"/>
      <c r="E61" s="25"/>
      <c r="F61" s="15"/>
      <c r="G61" s="33"/>
      <c r="H61" s="25"/>
      <c r="I61" s="15"/>
      <c r="J61" s="33"/>
      <c r="K61" s="25"/>
      <c r="L61" s="15"/>
      <c r="M61" s="33"/>
      <c r="N61" s="25"/>
    </row>
    <row r="62" spans="1:14" x14ac:dyDescent="0.3">
      <c r="A62" s="16" t="s">
        <v>29</v>
      </c>
      <c r="B62" s="15">
        <v>53046</v>
      </c>
      <c r="C62" s="42"/>
      <c r="D62" s="33">
        <v>52782</v>
      </c>
      <c r="E62" s="25">
        <f>D62/$B62*100</f>
        <v>99.502318742223721</v>
      </c>
      <c r="F62" s="15"/>
      <c r="G62" s="33">
        <f>129+7</f>
        <v>136</v>
      </c>
      <c r="H62" s="25">
        <f>G62/$B62*100</f>
        <v>0.25638125400595707</v>
      </c>
      <c r="I62" s="15"/>
      <c r="J62" s="33">
        <v>85</v>
      </c>
      <c r="K62" s="25">
        <f>J62/$B62*100</f>
        <v>0.1602382837537232</v>
      </c>
      <c r="L62" s="15"/>
      <c r="M62" s="33">
        <f>B62-D62-G62-J62</f>
        <v>43</v>
      </c>
      <c r="N62" s="25">
        <f>M62/$B62*100</f>
        <v>8.1061720016589373E-2</v>
      </c>
    </row>
    <row r="63" spans="1:14" ht="14.4" thickBot="1" x14ac:dyDescent="0.35">
      <c r="A63" s="72" t="s">
        <v>30</v>
      </c>
      <c r="B63" s="73">
        <v>7395</v>
      </c>
      <c r="C63" s="74"/>
      <c r="D63" s="75">
        <v>6871</v>
      </c>
      <c r="E63" s="76">
        <f t="shared" ref="E63" si="27">D63/$B63*100</f>
        <v>92.914131169709265</v>
      </c>
      <c r="F63" s="73"/>
      <c r="G63" s="75">
        <f>248+35</f>
        <v>283</v>
      </c>
      <c r="H63" s="76">
        <f t="shared" ref="H63" si="28">G63/$B63*100</f>
        <v>3.8269100743745774</v>
      </c>
      <c r="I63" s="73"/>
      <c r="J63" s="75">
        <v>207</v>
      </c>
      <c r="K63" s="76">
        <f t="shared" ref="K63" si="29">J63/$B63*100</f>
        <v>2.7991886409736306</v>
      </c>
      <c r="L63" s="73"/>
      <c r="M63" s="75">
        <f>B63-D63-G63-J63</f>
        <v>34</v>
      </c>
      <c r="N63" s="76">
        <f t="shared" ref="N63" si="30">M63/$B63*100</f>
        <v>0.45977011494252873</v>
      </c>
    </row>
  </sheetData>
  <mergeCells count="4">
    <mergeCell ref="D3:E3"/>
    <mergeCell ref="G3:H3"/>
    <mergeCell ref="J3:K3"/>
    <mergeCell ref="M3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workbookViewId="0"/>
  </sheetViews>
  <sheetFormatPr defaultColWidth="9.109375" defaultRowHeight="13.8" x14ac:dyDescent="0.3"/>
  <cols>
    <col min="1" max="1" width="61.109375" style="8" customWidth="1"/>
    <col min="2" max="2" width="10.6640625" style="8" customWidth="1"/>
    <col min="3" max="3" width="1.6640625" style="8" customWidth="1"/>
    <col min="4" max="4" width="10.6640625" style="8" customWidth="1"/>
    <col min="5" max="5" width="10.6640625" style="24" customWidth="1"/>
    <col min="6" max="6" width="1.6640625" style="8" customWidth="1"/>
    <col min="7" max="8" width="10.6640625" style="8" customWidth="1"/>
    <col min="9" max="9" width="1.6640625" style="8" customWidth="1"/>
    <col min="10" max="11" width="10.6640625" style="8" customWidth="1"/>
    <col min="12" max="12" width="1.6640625" style="8" customWidth="1"/>
    <col min="13" max="14" width="10.6640625" style="8" customWidth="1"/>
    <col min="15" max="16384" width="9.109375" style="8"/>
  </cols>
  <sheetData>
    <row r="1" spans="1:14" x14ac:dyDescent="0.3">
      <c r="A1" s="3" t="s">
        <v>39</v>
      </c>
    </row>
    <row r="2" spans="1:14" ht="14.4" thickBot="1" x14ac:dyDescent="0.35">
      <c r="A2" s="73"/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</row>
    <row r="3" spans="1:14" ht="14.4" x14ac:dyDescent="0.3">
      <c r="A3" s="15"/>
      <c r="B3" s="26" t="s">
        <v>26</v>
      </c>
      <c r="C3" s="77"/>
      <c r="D3" s="86" t="s">
        <v>0</v>
      </c>
      <c r="E3" s="86"/>
      <c r="F3" s="15"/>
      <c r="G3" s="86" t="s">
        <v>13</v>
      </c>
      <c r="H3" s="86"/>
      <c r="I3" s="15"/>
      <c r="J3" s="86" t="s">
        <v>60</v>
      </c>
      <c r="K3" s="86"/>
      <c r="M3" s="86" t="s">
        <v>27</v>
      </c>
      <c r="N3" s="87"/>
    </row>
    <row r="4" spans="1:14" x14ac:dyDescent="0.3">
      <c r="A4" s="18"/>
      <c r="B4" s="26" t="s">
        <v>4</v>
      </c>
      <c r="C4" s="19"/>
      <c r="D4" s="27" t="s">
        <v>4</v>
      </c>
      <c r="E4" s="28" t="s">
        <v>5</v>
      </c>
      <c r="F4" s="27"/>
      <c r="G4" s="27" t="s">
        <v>4</v>
      </c>
      <c r="H4" s="27" t="s">
        <v>5</v>
      </c>
      <c r="I4" s="27"/>
      <c r="J4" s="27" t="s">
        <v>4</v>
      </c>
      <c r="K4" s="27" t="s">
        <v>5</v>
      </c>
      <c r="L4" s="27"/>
      <c r="M4" s="27" t="s">
        <v>4</v>
      </c>
      <c r="N4" s="27" t="s">
        <v>5</v>
      </c>
    </row>
    <row r="5" spans="1:14" s="2" customFormat="1" x14ac:dyDescent="0.3">
      <c r="A5" s="9" t="s">
        <v>7</v>
      </c>
      <c r="B5" s="30">
        <f>SUM(B6:B7)</f>
        <v>113703</v>
      </c>
      <c r="C5" s="30"/>
      <c r="D5" s="30">
        <f>SUM(D6:D7)</f>
        <v>112148</v>
      </c>
      <c r="E5" s="35">
        <f>D5*100/B5</f>
        <v>98.632401959490949</v>
      </c>
      <c r="F5" s="1"/>
      <c r="G5" s="30">
        <f>SUM(G6:G7)</f>
        <v>885</v>
      </c>
      <c r="H5" s="35">
        <f>G5*100/B5</f>
        <v>0.7783435793250838</v>
      </c>
      <c r="J5" s="30">
        <f>SUM(J6:J7)</f>
        <v>458</v>
      </c>
      <c r="K5" s="35">
        <f>J5*100/B5</f>
        <v>0.40280379585411114</v>
      </c>
      <c r="M5" s="30">
        <f>SUM(M6:M7)</f>
        <v>212</v>
      </c>
      <c r="N5" s="35">
        <f>M5*100/B5</f>
        <v>0.18645066532985058</v>
      </c>
    </row>
    <row r="6" spans="1:14" x14ac:dyDescent="0.3">
      <c r="A6" s="20" t="s">
        <v>32</v>
      </c>
      <c r="B6" s="31">
        <f>B26</f>
        <v>55676</v>
      </c>
      <c r="C6" s="32"/>
      <c r="D6" s="31">
        <f>D26</f>
        <v>54956</v>
      </c>
      <c r="E6" s="24">
        <f>D6*100/B6</f>
        <v>98.706803649687473</v>
      </c>
      <c r="G6" s="31">
        <f>G26</f>
        <v>424</v>
      </c>
      <c r="H6" s="24">
        <f>G6*100/B6</f>
        <v>0.76154896185070764</v>
      </c>
      <c r="J6" s="31">
        <f>J26</f>
        <v>195</v>
      </c>
      <c r="K6" s="24">
        <f>J6*100/B6</f>
        <v>0.3502406782096415</v>
      </c>
      <c r="M6" s="31">
        <f>M26</f>
        <v>101</v>
      </c>
      <c r="N6" s="24">
        <f>M6*100/B6</f>
        <v>0.18140671025217328</v>
      </c>
    </row>
    <row r="7" spans="1:14" x14ac:dyDescent="0.3">
      <c r="A7" s="20" t="s">
        <v>33</v>
      </c>
      <c r="B7" s="31">
        <f>B45</f>
        <v>58027</v>
      </c>
      <c r="C7" s="32"/>
      <c r="D7" s="31">
        <f>D45</f>
        <v>57192</v>
      </c>
      <c r="E7" s="24">
        <f>D7*100/B7</f>
        <v>98.56101470005342</v>
      </c>
      <c r="G7" s="31">
        <f>G45</f>
        <v>461</v>
      </c>
      <c r="H7" s="24">
        <f>G7*100/B7</f>
        <v>0.79445775242559502</v>
      </c>
      <c r="J7" s="31">
        <f>J45</f>
        <v>263</v>
      </c>
      <c r="K7" s="24">
        <f>J7*100/B7</f>
        <v>0.45323728609095765</v>
      </c>
      <c r="M7" s="31">
        <f>M45</f>
        <v>111</v>
      </c>
      <c r="N7" s="24">
        <f>M7*100/B7</f>
        <v>0.19129026143002395</v>
      </c>
    </row>
    <row r="8" spans="1:14" x14ac:dyDescent="0.3">
      <c r="A8" s="10" t="s">
        <v>8</v>
      </c>
      <c r="B8" s="32"/>
      <c r="C8" s="32"/>
      <c r="D8" s="32"/>
      <c r="G8" s="32"/>
      <c r="J8" s="32"/>
      <c r="M8" s="32"/>
    </row>
    <row r="9" spans="1:14" x14ac:dyDescent="0.3">
      <c r="A9" s="20" t="s">
        <v>9</v>
      </c>
      <c r="B9" s="32">
        <f t="shared" ref="B9:B14" si="0">B28+B47</f>
        <v>95105</v>
      </c>
      <c r="C9" s="32"/>
      <c r="D9" s="32">
        <f t="shared" ref="D9:D14" si="1">D28+D47</f>
        <v>94098</v>
      </c>
      <c r="E9" s="24">
        <f>D9*100/B9</f>
        <v>98.941170285473945</v>
      </c>
      <c r="G9" s="32">
        <f t="shared" ref="G9:G14" si="2">G28+G47</f>
        <v>619</v>
      </c>
      <c r="H9" s="24">
        <f>G9*100/B9</f>
        <v>0.65085957625782032</v>
      </c>
      <c r="J9" s="32">
        <f t="shared" ref="J9:J14" si="3">J28+J47</f>
        <v>325</v>
      </c>
      <c r="K9" s="24">
        <f>J9*100/B9</f>
        <v>0.34172756427106882</v>
      </c>
      <c r="M9" s="32">
        <f t="shared" ref="M9:M14" si="4">M28+M47</f>
        <v>63</v>
      </c>
      <c r="N9" s="24">
        <f>M9*100/B9</f>
        <v>6.6242573997161033E-2</v>
      </c>
    </row>
    <row r="10" spans="1:14" x14ac:dyDescent="0.3">
      <c r="A10" s="21" t="s">
        <v>10</v>
      </c>
      <c r="B10" s="32">
        <f t="shared" si="0"/>
        <v>19087</v>
      </c>
      <c r="C10" s="32"/>
      <c r="D10" s="32">
        <f t="shared" si="1"/>
        <v>18570</v>
      </c>
      <c r="E10" s="24">
        <f t="shared" ref="E10:E18" si="5">D10*100/B10</f>
        <v>97.291350133598783</v>
      </c>
      <c r="G10" s="32">
        <f t="shared" si="2"/>
        <v>279</v>
      </c>
      <c r="H10" s="24">
        <f t="shared" ref="H10:H14" si="6">G10*100/B10</f>
        <v>1.4617278776130351</v>
      </c>
      <c r="J10" s="32">
        <f t="shared" si="3"/>
        <v>135</v>
      </c>
      <c r="K10" s="24">
        <f t="shared" ref="K10:K14" si="7">J10*100/B10</f>
        <v>0.70728768271598474</v>
      </c>
      <c r="M10" s="32">
        <f t="shared" si="4"/>
        <v>103</v>
      </c>
      <c r="N10" s="24">
        <f t="shared" ref="N10:N14" si="8">M10*100/B10</f>
        <v>0.53963430607219576</v>
      </c>
    </row>
    <row r="11" spans="1:14" x14ac:dyDescent="0.3">
      <c r="A11" s="14" t="s">
        <v>31</v>
      </c>
      <c r="B11" s="32">
        <f t="shared" si="0"/>
        <v>10427</v>
      </c>
      <c r="C11" s="32"/>
      <c r="D11" s="32">
        <f t="shared" si="1"/>
        <v>10278</v>
      </c>
      <c r="E11" s="24">
        <f t="shared" si="5"/>
        <v>98.571017550589815</v>
      </c>
      <c r="G11" s="32">
        <f t="shared" si="2"/>
        <v>67</v>
      </c>
      <c r="H11" s="24">
        <f t="shared" si="6"/>
        <v>0.64256257792270066</v>
      </c>
      <c r="J11" s="32">
        <f t="shared" si="3"/>
        <v>62</v>
      </c>
      <c r="K11" s="24">
        <f t="shared" si="7"/>
        <v>0.59461014673443946</v>
      </c>
      <c r="M11" s="32">
        <f t="shared" si="4"/>
        <v>20</v>
      </c>
      <c r="N11" s="24">
        <f t="shared" si="8"/>
        <v>0.19180972475304497</v>
      </c>
    </row>
    <row r="12" spans="1:14" x14ac:dyDescent="0.3">
      <c r="A12" s="14" t="s">
        <v>94</v>
      </c>
      <c r="B12" s="32">
        <f t="shared" si="0"/>
        <v>3205</v>
      </c>
      <c r="C12" s="32"/>
      <c r="D12" s="32">
        <f t="shared" si="1"/>
        <v>3127</v>
      </c>
      <c r="E12" s="24">
        <f t="shared" si="5"/>
        <v>97.566302652106089</v>
      </c>
      <c r="G12" s="32">
        <f t="shared" si="2"/>
        <v>40</v>
      </c>
      <c r="H12" s="24">
        <f t="shared" si="6"/>
        <v>1.2480499219968799</v>
      </c>
      <c r="J12" s="32">
        <f t="shared" si="3"/>
        <v>24</v>
      </c>
      <c r="K12" s="24">
        <f t="shared" si="7"/>
        <v>0.74882995319812795</v>
      </c>
      <c r="M12" s="32">
        <f t="shared" si="4"/>
        <v>14</v>
      </c>
      <c r="N12" s="24">
        <f t="shared" si="8"/>
        <v>0.43681747269890797</v>
      </c>
    </row>
    <row r="13" spans="1:14" x14ac:dyDescent="0.3">
      <c r="A13" s="14" t="s">
        <v>95</v>
      </c>
      <c r="B13" s="32">
        <f t="shared" si="0"/>
        <v>2618</v>
      </c>
      <c r="C13" s="32"/>
      <c r="D13" s="32">
        <f t="shared" si="1"/>
        <v>2545</v>
      </c>
      <c r="E13" s="24">
        <f t="shared" si="5"/>
        <v>97.211611917494267</v>
      </c>
      <c r="G13" s="32">
        <f t="shared" si="2"/>
        <v>28</v>
      </c>
      <c r="H13" s="24">
        <f t="shared" si="6"/>
        <v>1.0695187165775402</v>
      </c>
      <c r="J13" s="32">
        <f t="shared" si="3"/>
        <v>15</v>
      </c>
      <c r="K13" s="24">
        <f t="shared" si="7"/>
        <v>0.57295645530939654</v>
      </c>
      <c r="M13" s="32">
        <f t="shared" si="4"/>
        <v>30</v>
      </c>
      <c r="N13" s="24">
        <f t="shared" si="8"/>
        <v>1.1459129106187931</v>
      </c>
    </row>
    <row r="14" spans="1:14" x14ac:dyDescent="0.3">
      <c r="A14" s="14" t="s">
        <v>96</v>
      </c>
      <c r="B14" s="32">
        <f t="shared" si="0"/>
        <v>2828</v>
      </c>
      <c r="C14" s="32"/>
      <c r="D14" s="32">
        <f t="shared" si="1"/>
        <v>2612</v>
      </c>
      <c r="E14" s="24">
        <f t="shared" si="5"/>
        <v>92.36209335219236</v>
      </c>
      <c r="G14" s="32">
        <f t="shared" si="2"/>
        <v>143</v>
      </c>
      <c r="H14" s="24">
        <f t="shared" si="6"/>
        <v>5.0565770862800568</v>
      </c>
      <c r="J14" s="32">
        <f t="shared" si="3"/>
        <v>34</v>
      </c>
      <c r="K14" s="24">
        <f t="shared" si="7"/>
        <v>1.2022630834512023</v>
      </c>
      <c r="M14" s="32">
        <f t="shared" si="4"/>
        <v>39</v>
      </c>
      <c r="N14" s="24">
        <f t="shared" si="8"/>
        <v>1.3790664780763791</v>
      </c>
    </row>
    <row r="15" spans="1:14" x14ac:dyDescent="0.3">
      <c r="A15" s="11" t="s">
        <v>16</v>
      </c>
      <c r="B15" s="32"/>
      <c r="C15" s="32"/>
      <c r="D15" s="32"/>
      <c r="G15" s="32"/>
      <c r="J15" s="32"/>
      <c r="M15" s="32"/>
    </row>
    <row r="16" spans="1:14" x14ac:dyDescent="0.3">
      <c r="A16" s="13" t="s">
        <v>17</v>
      </c>
      <c r="B16" s="32">
        <f>B35+B54</f>
        <v>5643</v>
      </c>
      <c r="C16" s="32"/>
      <c r="D16" s="32">
        <f>D35+D54</f>
        <v>5437</v>
      </c>
      <c r="E16" s="24">
        <f t="shared" si="5"/>
        <v>96.34945950735424</v>
      </c>
      <c r="G16" s="32">
        <f>G35+G54</f>
        <v>120</v>
      </c>
      <c r="H16" s="24">
        <f>G16*100/B16</f>
        <v>2.126528442317916</v>
      </c>
      <c r="J16" s="32">
        <f>J35+J54</f>
        <v>73</v>
      </c>
      <c r="K16" s="24">
        <f>J16*100/B16</f>
        <v>1.2936381357433988</v>
      </c>
      <c r="M16" s="32">
        <f>M35+M54</f>
        <v>13</v>
      </c>
      <c r="N16" s="24">
        <f>M16*100/B16</f>
        <v>0.2303739145844409</v>
      </c>
    </row>
    <row r="17" spans="1:17" x14ac:dyDescent="0.3">
      <c r="A17" s="13" t="s">
        <v>18</v>
      </c>
      <c r="B17" s="32">
        <f>B36+B55</f>
        <v>51534</v>
      </c>
      <c r="C17" s="32"/>
      <c r="D17" s="32">
        <f>D36+D55</f>
        <v>50832</v>
      </c>
      <c r="E17" s="24">
        <f t="shared" si="5"/>
        <v>98.637792525323093</v>
      </c>
      <c r="G17" s="32">
        <f>G36+G55</f>
        <v>393</v>
      </c>
      <c r="H17" s="24">
        <f>G17*100/B17</f>
        <v>0.76260332984049362</v>
      </c>
      <c r="J17" s="32">
        <f>J36+J55</f>
        <v>270</v>
      </c>
      <c r="K17" s="24">
        <f>J17*100/B17</f>
        <v>0.52392595179881241</v>
      </c>
      <c r="M17" s="32">
        <f>M36+M55</f>
        <v>39</v>
      </c>
      <c r="N17" s="24">
        <f>M17*100/B17</f>
        <v>7.5678193037606242E-2</v>
      </c>
    </row>
    <row r="18" spans="1:17" x14ac:dyDescent="0.3">
      <c r="A18" s="13" t="s">
        <v>19</v>
      </c>
      <c r="B18" s="32">
        <f>B37+B56</f>
        <v>56282</v>
      </c>
      <c r="C18" s="32"/>
      <c r="D18" s="32">
        <f>D37+D56</f>
        <v>55790</v>
      </c>
      <c r="E18" s="24">
        <f t="shared" si="5"/>
        <v>99.125830638570065</v>
      </c>
      <c r="G18" s="32">
        <f>G37+G56</f>
        <v>343</v>
      </c>
      <c r="H18" s="24">
        <f>G18*100/B18</f>
        <v>0.60943107920827266</v>
      </c>
      <c r="J18" s="32">
        <f>J37+J56</f>
        <v>103</v>
      </c>
      <c r="K18" s="24">
        <f>J18*100/B18</f>
        <v>0.18300700046195942</v>
      </c>
      <c r="M18" s="32">
        <f>M37+M56</f>
        <v>46</v>
      </c>
      <c r="N18" s="24">
        <f>M18*100/B18</f>
        <v>8.1731281759710034E-2</v>
      </c>
    </row>
    <row r="19" spans="1:17" x14ac:dyDescent="0.3">
      <c r="A19" s="10" t="s">
        <v>11</v>
      </c>
      <c r="B19" s="32"/>
      <c r="C19" s="32"/>
      <c r="D19" s="32"/>
      <c r="G19" s="32"/>
      <c r="J19" s="32"/>
      <c r="M19" s="32"/>
    </row>
    <row r="20" spans="1:17" x14ac:dyDescent="0.3">
      <c r="A20" s="13" t="s">
        <v>14</v>
      </c>
      <c r="B20" s="32">
        <f>B39+B58</f>
        <v>100093</v>
      </c>
      <c r="C20" s="32"/>
      <c r="D20" s="32">
        <f>D39+D58</f>
        <v>99175</v>
      </c>
      <c r="E20" s="24">
        <f>D20*100/B20</f>
        <v>99.082852946759516</v>
      </c>
      <c r="G20" s="32">
        <f>G39+G58</f>
        <v>511</v>
      </c>
      <c r="H20" s="24">
        <f>G20*100/B20</f>
        <v>0.51052521155325548</v>
      </c>
      <c r="J20" s="32">
        <f>J39+J58</f>
        <v>246</v>
      </c>
      <c r="K20" s="24">
        <f>J20*100/B20</f>
        <v>0.24577143256771203</v>
      </c>
      <c r="M20" s="32">
        <f>M39+M58</f>
        <v>161</v>
      </c>
      <c r="N20" s="24">
        <f>M20*100/B20</f>
        <v>0.16085040911951884</v>
      </c>
    </row>
    <row r="21" spans="1:17" x14ac:dyDescent="0.3">
      <c r="A21" s="13" t="s">
        <v>87</v>
      </c>
      <c r="B21" s="32">
        <f>B40+B59</f>
        <v>12395</v>
      </c>
      <c r="C21" s="32"/>
      <c r="D21" s="32">
        <f>D40+D59</f>
        <v>11983</v>
      </c>
      <c r="E21" s="24">
        <f>D21*100/B21</f>
        <v>96.676079064138762</v>
      </c>
      <c r="G21" s="32">
        <f>G40+G59</f>
        <v>241</v>
      </c>
      <c r="H21" s="24">
        <f>G21*100/B21</f>
        <v>1.9443323920935862</v>
      </c>
      <c r="J21" s="32">
        <f>J40+J59</f>
        <v>130</v>
      </c>
      <c r="K21" s="24">
        <f>J21*100/B21</f>
        <v>1.0488100040338846</v>
      </c>
      <c r="M21" s="32">
        <f>M40+M59</f>
        <v>41</v>
      </c>
      <c r="N21" s="24">
        <f>M21*100/B21</f>
        <v>0.33077853973376359</v>
      </c>
    </row>
    <row r="22" spans="1:17" x14ac:dyDescent="0.3">
      <c r="A22" s="13" t="s">
        <v>12</v>
      </c>
      <c r="B22" s="32">
        <f>B41+B60</f>
        <v>1170</v>
      </c>
      <c r="C22" s="32"/>
      <c r="D22" s="32">
        <f>D41+D60</f>
        <v>948</v>
      </c>
      <c r="E22" s="24">
        <f>D22*100/B22</f>
        <v>81.025641025641022</v>
      </c>
      <c r="G22" s="32">
        <f>G41+G60</f>
        <v>131</v>
      </c>
      <c r="H22" s="24">
        <f>G22*100/B22</f>
        <v>11.196581196581196</v>
      </c>
      <c r="J22" s="32">
        <f>J41+J60</f>
        <v>81</v>
      </c>
      <c r="K22" s="24">
        <f>J22*100/B22</f>
        <v>6.9230769230769234</v>
      </c>
      <c r="M22" s="32">
        <f>M41+M60</f>
        <v>10</v>
      </c>
      <c r="N22" s="24">
        <f>M22*100/B22</f>
        <v>0.85470085470085466</v>
      </c>
    </row>
    <row r="23" spans="1:17" x14ac:dyDescent="0.3">
      <c r="A23" s="43" t="s">
        <v>28</v>
      </c>
      <c r="B23" s="33"/>
      <c r="C23" s="42"/>
      <c r="D23" s="33"/>
      <c r="E23" s="25"/>
      <c r="F23" s="15"/>
      <c r="G23" s="33"/>
      <c r="H23" s="25"/>
      <c r="I23" s="15"/>
      <c r="J23" s="33"/>
      <c r="K23" s="25"/>
      <c r="L23" s="15"/>
      <c r="M23" s="33"/>
      <c r="N23" s="25"/>
    </row>
    <row r="24" spans="1:17" x14ac:dyDescent="0.3">
      <c r="A24" s="16" t="s">
        <v>29</v>
      </c>
      <c r="B24" s="33">
        <f>B43+B62</f>
        <v>100408</v>
      </c>
      <c r="C24" s="42"/>
      <c r="D24" s="33">
        <f>D43+D62</f>
        <v>99777</v>
      </c>
      <c r="E24" s="25">
        <f>D24/$B24*100</f>
        <v>99.371564018803284</v>
      </c>
      <c r="F24" s="15"/>
      <c r="G24" s="33">
        <f>G43+G62</f>
        <v>327</v>
      </c>
      <c r="H24" s="25">
        <f>G24/$B24*100</f>
        <v>0.32567126125408336</v>
      </c>
      <c r="I24" s="15"/>
      <c r="J24" s="33">
        <f>J43+J62</f>
        <v>155</v>
      </c>
      <c r="K24" s="25">
        <f>J24/$B24*100</f>
        <v>0.15437016970759301</v>
      </c>
      <c r="L24" s="15"/>
      <c r="M24" s="33">
        <f>M43+M62</f>
        <v>149</v>
      </c>
      <c r="N24" s="25">
        <f>M24/$B24*100</f>
        <v>0.14839455023504103</v>
      </c>
      <c r="O24" s="15"/>
      <c r="Q24" s="32"/>
    </row>
    <row r="25" spans="1:17" x14ac:dyDescent="0.3">
      <c r="A25" s="17" t="s">
        <v>30</v>
      </c>
      <c r="B25" s="34">
        <f>B44+B63</f>
        <v>13295</v>
      </c>
      <c r="C25" s="38"/>
      <c r="D25" s="34">
        <f>D44+D63</f>
        <v>12371</v>
      </c>
      <c r="E25" s="29">
        <f t="shared" ref="E25" si="9">D25/$B25*100</f>
        <v>93.050018804061679</v>
      </c>
      <c r="F25" s="18"/>
      <c r="G25" s="34">
        <f>G44+G63</f>
        <v>558</v>
      </c>
      <c r="H25" s="29">
        <f t="shared" ref="H25" si="10">G25/$B25*100</f>
        <v>4.1970665663783375</v>
      </c>
      <c r="I25" s="18"/>
      <c r="J25" s="34">
        <f>J44+J63</f>
        <v>303</v>
      </c>
      <c r="K25" s="29">
        <f t="shared" ref="K25" si="11">J25/$B25*100</f>
        <v>2.279052275291463</v>
      </c>
      <c r="L25" s="18"/>
      <c r="M25" s="34">
        <f>M44+M63</f>
        <v>63</v>
      </c>
      <c r="N25" s="29">
        <f t="shared" ref="N25" si="12">M25/$B25*100</f>
        <v>0.47386235426852197</v>
      </c>
      <c r="O25" s="15"/>
      <c r="Q25" s="32"/>
    </row>
    <row r="26" spans="1:17" s="2" customFormat="1" x14ac:dyDescent="0.3">
      <c r="A26" s="9" t="s">
        <v>34</v>
      </c>
      <c r="B26" s="36">
        <f>SUM(B43:B44)</f>
        <v>55676</v>
      </c>
      <c r="C26" s="37"/>
      <c r="D26" s="36">
        <f>SUM(D43:D44)</f>
        <v>54956</v>
      </c>
      <c r="E26" s="35">
        <f>D26*100/B26</f>
        <v>98.706803649687473</v>
      </c>
      <c r="G26" s="36">
        <f>SUM(G43:G44)</f>
        <v>424</v>
      </c>
      <c r="H26" s="35">
        <f>G26*100/B26</f>
        <v>0.76154896185070764</v>
      </c>
      <c r="J26" s="36">
        <f>SUM(J43:J44)</f>
        <v>195</v>
      </c>
      <c r="K26" s="35">
        <f>J26*100/B26</f>
        <v>0.3502406782096415</v>
      </c>
      <c r="M26" s="36">
        <f>SUM(M43:M44)</f>
        <v>101</v>
      </c>
      <c r="N26" s="35">
        <f>M26*100/B26</f>
        <v>0.18140671025217328</v>
      </c>
    </row>
    <row r="27" spans="1:17" x14ac:dyDescent="0.3">
      <c r="A27" s="10" t="s">
        <v>8</v>
      </c>
      <c r="B27" s="33"/>
      <c r="C27" s="33"/>
      <c r="D27" s="33"/>
      <c r="E27" s="25"/>
      <c r="F27" s="15"/>
      <c r="G27" s="33"/>
      <c r="H27" s="15"/>
      <c r="I27" s="15"/>
      <c r="J27" s="33"/>
      <c r="K27" s="15"/>
      <c r="L27" s="15"/>
      <c r="M27" s="33"/>
    </row>
    <row r="28" spans="1:17" x14ac:dyDescent="0.3">
      <c r="A28" s="20" t="s">
        <v>9</v>
      </c>
      <c r="B28" s="32">
        <v>46683</v>
      </c>
      <c r="C28" s="32"/>
      <c r="D28" s="32">
        <v>46238</v>
      </c>
      <c r="E28" s="24">
        <f>D28*100/B28</f>
        <v>99.046762204656943</v>
      </c>
      <c r="G28" s="32">
        <f>272+25</f>
        <v>297</v>
      </c>
      <c r="H28" s="24">
        <f>G28*100/B28</f>
        <v>0.63620589936379413</v>
      </c>
      <c r="J28" s="32">
        <v>123</v>
      </c>
      <c r="K28" s="24">
        <f>J28*100/B28</f>
        <v>0.26347921084763187</v>
      </c>
      <c r="M28" s="32">
        <f>B28-D28-G28-J28</f>
        <v>25</v>
      </c>
      <c r="N28" s="24">
        <f>M28*100/B28</f>
        <v>5.3552685131632499E-2</v>
      </c>
    </row>
    <row r="29" spans="1:17" x14ac:dyDescent="0.3">
      <c r="A29" s="21" t="s">
        <v>10</v>
      </c>
      <c r="B29" s="32">
        <v>9258</v>
      </c>
      <c r="C29" s="32"/>
      <c r="D29" s="32">
        <v>9002</v>
      </c>
      <c r="E29" s="24">
        <f>D29*100/B29</f>
        <v>97.234823936055307</v>
      </c>
      <c r="G29" s="32">
        <f>118+15</f>
        <v>133</v>
      </c>
      <c r="H29" s="24">
        <f t="shared" ref="H29:H33" si="13">G29*100/B29</f>
        <v>1.436595376971268</v>
      </c>
      <c r="J29" s="32">
        <v>72</v>
      </c>
      <c r="K29" s="24">
        <f t="shared" ref="K29:K33" si="14">J29*100/B29</f>
        <v>0.77770576798444591</v>
      </c>
      <c r="M29" s="32">
        <f t="shared" ref="M29:M33" si="15">B29-D29-G29-J29</f>
        <v>51</v>
      </c>
      <c r="N29" s="24">
        <f t="shared" ref="N29:N33" si="16">M29*100/B29</f>
        <v>0.55087491898898255</v>
      </c>
    </row>
    <row r="30" spans="1:17" x14ac:dyDescent="0.3">
      <c r="A30" s="14" t="s">
        <v>31</v>
      </c>
      <c r="B30" s="32">
        <v>5132</v>
      </c>
      <c r="C30" s="32"/>
      <c r="D30" s="32">
        <v>5055</v>
      </c>
      <c r="E30" s="24">
        <f>D30*100/B30</f>
        <v>98.499610288386592</v>
      </c>
      <c r="G30" s="32">
        <f>33+4</f>
        <v>37</v>
      </c>
      <c r="H30" s="24">
        <f t="shared" si="13"/>
        <v>0.72096648480124703</v>
      </c>
      <c r="J30" s="32">
        <v>30</v>
      </c>
      <c r="K30" s="24">
        <f t="shared" si="14"/>
        <v>0.58456742010911922</v>
      </c>
      <c r="M30" s="32">
        <f t="shared" si="15"/>
        <v>10</v>
      </c>
      <c r="N30" s="24">
        <f t="shared" si="16"/>
        <v>0.19485580670303976</v>
      </c>
    </row>
    <row r="31" spans="1:17" x14ac:dyDescent="0.3">
      <c r="A31" s="14" t="s">
        <v>94</v>
      </c>
      <c r="B31" s="32">
        <v>1547</v>
      </c>
      <c r="C31" s="32"/>
      <c r="D31" s="32">
        <v>1515</v>
      </c>
      <c r="E31" s="24">
        <f t="shared" ref="E31:E33" si="17">D31*100/B31</f>
        <v>97.931480284421454</v>
      </c>
      <c r="G31" s="32">
        <f>14</f>
        <v>14</v>
      </c>
      <c r="H31" s="24">
        <f t="shared" si="13"/>
        <v>0.90497737556561086</v>
      </c>
      <c r="J31" s="32">
        <v>11</v>
      </c>
      <c r="K31" s="24">
        <f t="shared" si="14"/>
        <v>0.71105365223012285</v>
      </c>
      <c r="M31" s="32">
        <f t="shared" si="15"/>
        <v>7</v>
      </c>
      <c r="N31" s="24">
        <f t="shared" si="16"/>
        <v>0.45248868778280543</v>
      </c>
    </row>
    <row r="32" spans="1:17" x14ac:dyDescent="0.3">
      <c r="A32" s="14" t="s">
        <v>95</v>
      </c>
      <c r="B32" s="32">
        <v>1271</v>
      </c>
      <c r="C32" s="32"/>
      <c r="D32" s="32">
        <v>1225</v>
      </c>
      <c r="E32" s="24">
        <f t="shared" si="17"/>
        <v>96.380802517702591</v>
      </c>
      <c r="G32" s="32">
        <f>15+2</f>
        <v>17</v>
      </c>
      <c r="H32" s="24">
        <f t="shared" si="13"/>
        <v>1.3375295043273014</v>
      </c>
      <c r="J32" s="32">
        <v>11</v>
      </c>
      <c r="K32" s="24">
        <f t="shared" si="14"/>
        <v>0.86546026750590088</v>
      </c>
      <c r="M32" s="32">
        <f t="shared" si="15"/>
        <v>18</v>
      </c>
      <c r="N32" s="24">
        <f t="shared" si="16"/>
        <v>1.4162077104642015</v>
      </c>
    </row>
    <row r="33" spans="1:21" x14ac:dyDescent="0.3">
      <c r="A33" s="14" t="s">
        <v>96</v>
      </c>
      <c r="B33" s="32">
        <v>1304</v>
      </c>
      <c r="C33" s="32"/>
      <c r="D33" s="32">
        <v>1203</v>
      </c>
      <c r="E33" s="24">
        <f t="shared" si="17"/>
        <v>92.25460122699387</v>
      </c>
      <c r="G33" s="32">
        <f>56+9</f>
        <v>65</v>
      </c>
      <c r="H33" s="24">
        <f t="shared" si="13"/>
        <v>4.9846625766871169</v>
      </c>
      <c r="J33" s="32">
        <v>20</v>
      </c>
      <c r="K33" s="24">
        <f t="shared" si="14"/>
        <v>1.5337423312883436</v>
      </c>
      <c r="M33" s="32">
        <f t="shared" si="15"/>
        <v>16</v>
      </c>
      <c r="N33" s="24">
        <f t="shared" si="16"/>
        <v>1.2269938650306749</v>
      </c>
    </row>
    <row r="34" spans="1:21" x14ac:dyDescent="0.3">
      <c r="A34" s="11" t="s">
        <v>16</v>
      </c>
      <c r="B34" s="32"/>
      <c r="C34" s="32"/>
      <c r="D34" s="32"/>
      <c r="G34" s="32"/>
      <c r="J34" s="32"/>
      <c r="M34" s="32"/>
    </row>
    <row r="35" spans="1:21" x14ac:dyDescent="0.3">
      <c r="A35" s="13" t="s">
        <v>17</v>
      </c>
      <c r="B35" s="32">
        <v>2853</v>
      </c>
      <c r="C35" s="32"/>
      <c r="D35" s="32">
        <v>2749</v>
      </c>
      <c r="E35" s="24">
        <f>D35*100/B35</f>
        <v>96.354714335786895</v>
      </c>
      <c r="G35" s="32">
        <f>47+14</f>
        <v>61</v>
      </c>
      <c r="H35" s="24">
        <f>G35*100/B35</f>
        <v>2.138100245355766</v>
      </c>
      <c r="J35" s="32">
        <v>36</v>
      </c>
      <c r="K35" s="24">
        <f>J35*100/B35</f>
        <v>1.2618296529968454</v>
      </c>
      <c r="M35" s="32">
        <f>B35-D35-G35-J35</f>
        <v>7</v>
      </c>
      <c r="N35" s="24">
        <f>M35*100/B35</f>
        <v>0.24535576586049773</v>
      </c>
    </row>
    <row r="36" spans="1:21" ht="13.95" customHeight="1" x14ac:dyDescent="0.3">
      <c r="A36" s="13" t="s">
        <v>18</v>
      </c>
      <c r="B36" s="32">
        <v>25283</v>
      </c>
      <c r="C36" s="32"/>
      <c r="D36" s="32">
        <v>24982</v>
      </c>
      <c r="E36" s="24">
        <f>D36*100/B36</f>
        <v>98.809476723490093</v>
      </c>
      <c r="G36" s="32">
        <f>162+18</f>
        <v>180</v>
      </c>
      <c r="H36" s="24">
        <f>G36*100/B36</f>
        <v>0.71194082980658946</v>
      </c>
      <c r="J36" s="32">
        <v>106</v>
      </c>
      <c r="K36" s="24">
        <f>J36*100/B36</f>
        <v>0.41925404421943596</v>
      </c>
      <c r="M36" s="32">
        <f>B36-D36-G36-J36</f>
        <v>15</v>
      </c>
      <c r="N36" s="24">
        <f>M36*100/B36</f>
        <v>5.932840248388245E-2</v>
      </c>
    </row>
    <row r="37" spans="1:21" ht="13.95" customHeight="1" x14ac:dyDescent="0.3">
      <c r="A37" s="13" t="s">
        <v>19</v>
      </c>
      <c r="B37" s="32">
        <v>27508</v>
      </c>
      <c r="C37" s="32"/>
      <c r="D37" s="32">
        <v>27265</v>
      </c>
      <c r="E37" s="24">
        <f>D37*100/B37</f>
        <v>99.116620619456157</v>
      </c>
      <c r="G37" s="32">
        <f>167+7</f>
        <v>174</v>
      </c>
      <c r="H37" s="24">
        <f>G37*100/B37</f>
        <v>0.63254326014250395</v>
      </c>
      <c r="J37" s="32">
        <v>45</v>
      </c>
      <c r="K37" s="24">
        <f>J37*100/B37</f>
        <v>0.16358877417478551</v>
      </c>
      <c r="M37" s="32">
        <f>B37-D37-G37-J37</f>
        <v>24</v>
      </c>
      <c r="N37" s="24">
        <f>M37*100/B37</f>
        <v>8.724734622655228E-2</v>
      </c>
    </row>
    <row r="38" spans="1:21" x14ac:dyDescent="0.3">
      <c r="A38" s="10" t="s">
        <v>11</v>
      </c>
      <c r="B38" s="32"/>
      <c r="C38" s="32"/>
      <c r="D38" s="32"/>
      <c r="G38" s="32"/>
      <c r="J38" s="32"/>
      <c r="M38" s="32"/>
    </row>
    <row r="39" spans="1:21" x14ac:dyDescent="0.3">
      <c r="A39" s="13" t="s">
        <v>14</v>
      </c>
      <c r="B39" s="32">
        <v>49865</v>
      </c>
      <c r="C39" s="32"/>
      <c r="D39" s="32">
        <v>49408</v>
      </c>
      <c r="E39" s="24">
        <f>D39*100/B39</f>
        <v>99.083525518901027</v>
      </c>
      <c r="G39" s="32">
        <f>245+21</f>
        <v>266</v>
      </c>
      <c r="H39" s="24">
        <f>G39*100/B39</f>
        <v>0.53344028877970517</v>
      </c>
      <c r="J39" s="32">
        <v>107</v>
      </c>
      <c r="K39" s="24">
        <f>J39*100/B39</f>
        <v>0.21457936428356564</v>
      </c>
      <c r="M39" s="32">
        <f>B39-D39-G39-J39</f>
        <v>84</v>
      </c>
      <c r="N39" s="24">
        <f>M39*100/B39</f>
        <v>0.16845482803569639</v>
      </c>
    </row>
    <row r="40" spans="1:21" x14ac:dyDescent="0.3">
      <c r="A40" s="13" t="s">
        <v>87</v>
      </c>
      <c r="B40" s="32">
        <v>5291</v>
      </c>
      <c r="C40" s="32"/>
      <c r="D40" s="32">
        <v>5130</v>
      </c>
      <c r="E40" s="24">
        <f>D40*100/B40</f>
        <v>96.957096957096951</v>
      </c>
      <c r="G40" s="32">
        <f>83+10</f>
        <v>93</v>
      </c>
      <c r="H40" s="24">
        <f>G40*100/B40</f>
        <v>1.7577017577017577</v>
      </c>
      <c r="J40" s="32">
        <v>53</v>
      </c>
      <c r="K40" s="24">
        <f>J40*100/B40</f>
        <v>1.0017010017010017</v>
      </c>
      <c r="M40" s="32">
        <f>B40-D40-G40-J40</f>
        <v>15</v>
      </c>
      <c r="N40" s="24">
        <f>M40*100/B40</f>
        <v>0.2835002835002835</v>
      </c>
    </row>
    <row r="41" spans="1:21" ht="13.95" customHeight="1" x14ac:dyDescent="0.3">
      <c r="A41" s="13" t="s">
        <v>12</v>
      </c>
      <c r="B41" s="32">
        <v>504</v>
      </c>
      <c r="C41" s="32"/>
      <c r="D41" s="32">
        <v>403</v>
      </c>
      <c r="E41" s="24">
        <f>D41*100/B41</f>
        <v>79.960317460317455</v>
      </c>
      <c r="G41" s="32">
        <f>55+9</f>
        <v>64</v>
      </c>
      <c r="H41" s="24">
        <f>G41*100/B41</f>
        <v>12.698412698412698</v>
      </c>
      <c r="J41" s="32">
        <v>35</v>
      </c>
      <c r="K41" s="24">
        <f>J41*100/B41</f>
        <v>6.9444444444444446</v>
      </c>
      <c r="M41" s="32">
        <f>B41-D41-G41-J41</f>
        <v>2</v>
      </c>
      <c r="N41" s="24">
        <f>M41*100/B41</f>
        <v>0.3968253968253968</v>
      </c>
    </row>
    <row r="42" spans="1:21" x14ac:dyDescent="0.3">
      <c r="A42" s="43" t="s">
        <v>28</v>
      </c>
      <c r="B42" s="33"/>
      <c r="C42" s="42"/>
      <c r="D42" s="33"/>
      <c r="E42" s="25"/>
      <c r="F42" s="15"/>
      <c r="G42" s="33"/>
      <c r="H42" s="25"/>
      <c r="I42" s="15"/>
      <c r="J42" s="33"/>
      <c r="K42" s="25"/>
      <c r="L42" s="15"/>
      <c r="M42" s="33"/>
      <c r="N42" s="25"/>
    </row>
    <row r="43" spans="1:21" x14ac:dyDescent="0.3">
      <c r="A43" s="16" t="s">
        <v>29</v>
      </c>
      <c r="B43" s="33">
        <v>49722</v>
      </c>
      <c r="C43" s="42"/>
      <c r="D43" s="33">
        <v>49388</v>
      </c>
      <c r="E43" s="25">
        <f>D43/$B43*100</f>
        <v>99.328265154257679</v>
      </c>
      <c r="F43" s="15"/>
      <c r="G43" s="33">
        <f>178+8</f>
        <v>186</v>
      </c>
      <c r="H43" s="25">
        <f>G43/$B43*100</f>
        <v>0.37407988415590687</v>
      </c>
      <c r="I43" s="15"/>
      <c r="J43" s="33">
        <v>70</v>
      </c>
      <c r="K43" s="25">
        <f>J43/$B43*100</f>
        <v>0.14078275210168537</v>
      </c>
      <c r="L43" s="15"/>
      <c r="M43" s="33">
        <f>B43-D43-G43-J43</f>
        <v>78</v>
      </c>
      <c r="N43" s="25">
        <f>M43/$B43*100</f>
        <v>0.15687220948473513</v>
      </c>
    </row>
    <row r="44" spans="1:21" x14ac:dyDescent="0.3">
      <c r="A44" s="17" t="s">
        <v>30</v>
      </c>
      <c r="B44" s="34">
        <v>5954</v>
      </c>
      <c r="C44" s="38"/>
      <c r="D44" s="34">
        <v>5568</v>
      </c>
      <c r="E44" s="29">
        <f t="shared" ref="E44" si="18">D44/$B44*100</f>
        <v>93.516963385959016</v>
      </c>
      <c r="F44" s="18"/>
      <c r="G44" s="18">
        <f>206+32</f>
        <v>238</v>
      </c>
      <c r="H44" s="29">
        <f t="shared" ref="H44" si="19">G44/$B44*100</f>
        <v>3.997312730937185</v>
      </c>
      <c r="I44" s="18"/>
      <c r="J44" s="34">
        <v>125</v>
      </c>
      <c r="K44" s="29">
        <f t="shared" ref="K44" si="20">J44/$B44*100</f>
        <v>2.0994289553241519</v>
      </c>
      <c r="L44" s="18"/>
      <c r="M44" s="34">
        <f>B44-D44-G44-J44</f>
        <v>23</v>
      </c>
      <c r="N44" s="29">
        <f t="shared" ref="N44" si="21">M44/$B44*100</f>
        <v>0.38629492777964397</v>
      </c>
    </row>
    <row r="45" spans="1:21" s="2" customFormat="1" x14ac:dyDescent="0.3">
      <c r="A45" s="9" t="s">
        <v>35</v>
      </c>
      <c r="B45" s="36">
        <f>SUM(B62:B63)</f>
        <v>58027</v>
      </c>
      <c r="C45" s="37"/>
      <c r="D45" s="36">
        <f>SUM(D62:D63)</f>
        <v>57192</v>
      </c>
      <c r="E45" s="35">
        <f>D45*100/B45</f>
        <v>98.56101470005342</v>
      </c>
      <c r="G45" s="36">
        <f>SUM(G62:G63)</f>
        <v>461</v>
      </c>
      <c r="H45" s="35">
        <f>G45*100/B45</f>
        <v>0.79445775242559502</v>
      </c>
      <c r="J45" s="36">
        <f>SUM(J62:J63)</f>
        <v>263</v>
      </c>
      <c r="K45" s="35">
        <f>J45*100/B45</f>
        <v>0.45323728609095765</v>
      </c>
      <c r="M45" s="36">
        <f>SUM(M62:M63)</f>
        <v>111</v>
      </c>
      <c r="N45" s="35">
        <f>M45*100/B45</f>
        <v>0.19129026143002395</v>
      </c>
      <c r="Q45" s="8"/>
      <c r="R45" s="8"/>
      <c r="S45" s="8"/>
      <c r="T45" s="8"/>
      <c r="U45" s="8"/>
    </row>
    <row r="46" spans="1:21" x14ac:dyDescent="0.3">
      <c r="A46" s="10" t="s">
        <v>8</v>
      </c>
      <c r="B46" s="33"/>
      <c r="C46" s="33"/>
      <c r="D46" s="33"/>
      <c r="E46" s="25"/>
      <c r="F46" s="15"/>
      <c r="G46" s="33"/>
      <c r="H46" s="15"/>
      <c r="I46" s="15"/>
      <c r="J46" s="33"/>
      <c r="K46" s="15"/>
      <c r="L46" s="15"/>
      <c r="M46" s="33"/>
      <c r="Q46" s="2"/>
      <c r="R46" s="2"/>
      <c r="S46" s="2"/>
      <c r="T46" s="2"/>
      <c r="U46" s="2"/>
    </row>
    <row r="47" spans="1:21" x14ac:dyDescent="0.3">
      <c r="A47" s="20" t="s">
        <v>9</v>
      </c>
      <c r="B47" s="32">
        <v>48422</v>
      </c>
      <c r="C47" s="32"/>
      <c r="D47" s="32">
        <v>47860</v>
      </c>
      <c r="E47" s="24">
        <f>D47*100/B47</f>
        <v>98.839370534054765</v>
      </c>
      <c r="G47" s="32">
        <f>293+29</f>
        <v>322</v>
      </c>
      <c r="H47" s="24">
        <f>G47*100/B47</f>
        <v>0.66498698938499035</v>
      </c>
      <c r="J47" s="32">
        <v>202</v>
      </c>
      <c r="K47" s="24">
        <f>J47*100/B47</f>
        <v>0.4171657511048697</v>
      </c>
      <c r="M47" s="32">
        <f>B47-D47-G47-J47</f>
        <v>38</v>
      </c>
      <c r="N47" s="24">
        <f>M47*100/B47</f>
        <v>7.8476725455371529E-2</v>
      </c>
    </row>
    <row r="48" spans="1:21" x14ac:dyDescent="0.3">
      <c r="A48" s="21" t="s">
        <v>10</v>
      </c>
      <c r="B48" s="32">
        <v>9829</v>
      </c>
      <c r="C48" s="32"/>
      <c r="D48" s="32">
        <v>9568</v>
      </c>
      <c r="E48" s="24">
        <f>D48*100/B48</f>
        <v>97.344592532302372</v>
      </c>
      <c r="G48" s="32">
        <f>134+12</f>
        <v>146</v>
      </c>
      <c r="H48" s="24">
        <f t="shared" ref="H48:H52" si="22">G48*100/B48</f>
        <v>1.485400345915149</v>
      </c>
      <c r="J48" s="32">
        <v>63</v>
      </c>
      <c r="K48" s="24">
        <f t="shared" ref="K48:K52" si="23">J48*100/B48</f>
        <v>0.6409604232373588</v>
      </c>
      <c r="M48" s="32">
        <f t="shared" ref="M48:M52" si="24">B48-D48-G48-J48</f>
        <v>52</v>
      </c>
      <c r="N48" s="24">
        <f t="shared" ref="N48:N52" si="25">M48*100/B48</f>
        <v>0.52904669854512154</v>
      </c>
    </row>
    <row r="49" spans="1:14" x14ac:dyDescent="0.3">
      <c r="A49" s="14" t="s">
        <v>31</v>
      </c>
      <c r="B49" s="32">
        <v>5295</v>
      </c>
      <c r="C49" s="32"/>
      <c r="D49" s="32">
        <v>5223</v>
      </c>
      <c r="E49" s="24">
        <f>D49*100/B49</f>
        <v>98.640226628895178</v>
      </c>
      <c r="G49" s="32">
        <f>29+1</f>
        <v>30</v>
      </c>
      <c r="H49" s="24">
        <f t="shared" si="22"/>
        <v>0.56657223796033995</v>
      </c>
      <c r="J49" s="32">
        <v>32</v>
      </c>
      <c r="K49" s="24">
        <f t="shared" si="23"/>
        <v>0.60434372049102925</v>
      </c>
      <c r="M49" s="32">
        <f t="shared" si="24"/>
        <v>10</v>
      </c>
      <c r="N49" s="24">
        <f t="shared" si="25"/>
        <v>0.18885741265344666</v>
      </c>
    </row>
    <row r="50" spans="1:14" x14ac:dyDescent="0.3">
      <c r="A50" s="14" t="s">
        <v>94</v>
      </c>
      <c r="B50" s="32">
        <v>1658</v>
      </c>
      <c r="C50" s="32"/>
      <c r="D50" s="32">
        <v>1612</v>
      </c>
      <c r="E50" s="24">
        <f t="shared" ref="E50:E52" si="26">D50*100/B50</f>
        <v>97.225572979493364</v>
      </c>
      <c r="G50" s="32">
        <f>24+2</f>
        <v>26</v>
      </c>
      <c r="H50" s="24">
        <f t="shared" si="22"/>
        <v>1.5681544028950543</v>
      </c>
      <c r="J50" s="32">
        <v>13</v>
      </c>
      <c r="K50" s="24">
        <f t="shared" si="23"/>
        <v>0.78407720144752713</v>
      </c>
      <c r="M50" s="32">
        <f t="shared" si="24"/>
        <v>7</v>
      </c>
      <c r="N50" s="24">
        <f t="shared" si="25"/>
        <v>0.42219541616405309</v>
      </c>
    </row>
    <row r="51" spans="1:14" x14ac:dyDescent="0.3">
      <c r="A51" s="14" t="s">
        <v>95</v>
      </c>
      <c r="B51" s="32">
        <v>1347</v>
      </c>
      <c r="C51" s="32"/>
      <c r="D51" s="32">
        <v>1320</v>
      </c>
      <c r="E51" s="24">
        <f t="shared" si="26"/>
        <v>97.995545657015583</v>
      </c>
      <c r="G51" s="32">
        <f>10+1</f>
        <v>11</v>
      </c>
      <c r="H51" s="24">
        <f t="shared" si="22"/>
        <v>0.81662954714179659</v>
      </c>
      <c r="J51" s="32">
        <v>4</v>
      </c>
      <c r="K51" s="24">
        <f t="shared" si="23"/>
        <v>0.29695619896065328</v>
      </c>
      <c r="M51" s="32">
        <f t="shared" si="24"/>
        <v>12</v>
      </c>
      <c r="N51" s="24">
        <f t="shared" si="25"/>
        <v>0.89086859688195996</v>
      </c>
    </row>
    <row r="52" spans="1:14" x14ac:dyDescent="0.3">
      <c r="A52" s="14" t="s">
        <v>96</v>
      </c>
      <c r="B52" s="32">
        <v>1524</v>
      </c>
      <c r="C52" s="32"/>
      <c r="D52" s="32">
        <v>1409</v>
      </c>
      <c r="E52" s="24">
        <f t="shared" si="26"/>
        <v>92.454068241469813</v>
      </c>
      <c r="G52" s="32">
        <f>70+8</f>
        <v>78</v>
      </c>
      <c r="H52" s="24">
        <f t="shared" si="22"/>
        <v>5.1181102362204722</v>
      </c>
      <c r="J52" s="32">
        <v>14</v>
      </c>
      <c r="K52" s="24">
        <f t="shared" si="23"/>
        <v>0.9186351706036745</v>
      </c>
      <c r="M52" s="32">
        <f t="shared" si="24"/>
        <v>23</v>
      </c>
      <c r="N52" s="24">
        <f t="shared" si="25"/>
        <v>1.5091863517060367</v>
      </c>
    </row>
    <row r="53" spans="1:14" x14ac:dyDescent="0.3">
      <c r="A53" s="11" t="s">
        <v>16</v>
      </c>
      <c r="B53" s="32"/>
      <c r="C53" s="32"/>
      <c r="D53" s="32"/>
      <c r="G53" s="32"/>
      <c r="J53" s="32"/>
      <c r="M53" s="32"/>
    </row>
    <row r="54" spans="1:14" x14ac:dyDescent="0.3">
      <c r="A54" s="13" t="s">
        <v>17</v>
      </c>
      <c r="B54" s="32">
        <v>2790</v>
      </c>
      <c r="C54" s="32"/>
      <c r="D54" s="32">
        <v>2688</v>
      </c>
      <c r="E54" s="24">
        <f>D54*100/B54</f>
        <v>96.344086021505376</v>
      </c>
      <c r="G54" s="32">
        <f>49+10</f>
        <v>59</v>
      </c>
      <c r="H54" s="24">
        <f>G54*100/B54</f>
        <v>2.1146953405017923</v>
      </c>
      <c r="J54" s="32">
        <v>37</v>
      </c>
      <c r="K54" s="24">
        <f>J54*100/B54</f>
        <v>1.3261648745519714</v>
      </c>
      <c r="M54" s="32">
        <f>B54-D54-G54-J54</f>
        <v>6</v>
      </c>
      <c r="N54" s="24">
        <f>M54*100/B54</f>
        <v>0.21505376344086022</v>
      </c>
    </row>
    <row r="55" spans="1:14" x14ac:dyDescent="0.3">
      <c r="A55" s="13" t="s">
        <v>18</v>
      </c>
      <c r="B55" s="32">
        <v>26251</v>
      </c>
      <c r="C55" s="32"/>
      <c r="D55" s="32">
        <v>25850</v>
      </c>
      <c r="E55" s="24">
        <f>D55*100/B55</f>
        <v>98.472439145175429</v>
      </c>
      <c r="G55" s="32">
        <f>193+20</f>
        <v>213</v>
      </c>
      <c r="H55" s="24">
        <f>G55*100/B55</f>
        <v>0.81139766104148414</v>
      </c>
      <c r="J55" s="32">
        <v>164</v>
      </c>
      <c r="K55" s="24">
        <f>J55*100/B55</f>
        <v>0.62473810521503947</v>
      </c>
      <c r="M55" s="32">
        <f>B55-D55-G55-J55</f>
        <v>24</v>
      </c>
      <c r="N55" s="24">
        <f>M55*100/B55</f>
        <v>9.1425088568054549E-2</v>
      </c>
    </row>
    <row r="56" spans="1:14" x14ac:dyDescent="0.3">
      <c r="A56" s="13" t="s">
        <v>19</v>
      </c>
      <c r="B56" s="32">
        <v>28774</v>
      </c>
      <c r="C56" s="32"/>
      <c r="D56" s="32">
        <v>28525</v>
      </c>
      <c r="E56" s="24">
        <f>D56*100/B56</f>
        <v>99.134635434767503</v>
      </c>
      <c r="G56" s="32">
        <f>160+9</f>
        <v>169</v>
      </c>
      <c r="H56" s="24">
        <f>G56*100/B56</f>
        <v>0.58733578925418783</v>
      </c>
      <c r="J56" s="32">
        <v>58</v>
      </c>
      <c r="K56" s="24">
        <f>J56*100/B56</f>
        <v>0.20157086258427748</v>
      </c>
      <c r="M56" s="32">
        <f>B56-D56-G56-J56</f>
        <v>22</v>
      </c>
      <c r="N56" s="24">
        <f>M56*100/B56</f>
        <v>7.6457913394036278E-2</v>
      </c>
    </row>
    <row r="57" spans="1:14" x14ac:dyDescent="0.3">
      <c r="A57" s="10" t="s">
        <v>11</v>
      </c>
      <c r="B57" s="32"/>
      <c r="C57" s="32"/>
      <c r="D57" s="32"/>
      <c r="G57" s="32"/>
      <c r="J57" s="32"/>
      <c r="M57" s="32"/>
    </row>
    <row r="58" spans="1:14" x14ac:dyDescent="0.3">
      <c r="A58" s="13" t="s">
        <v>14</v>
      </c>
      <c r="B58" s="32">
        <v>50228</v>
      </c>
      <c r="C58" s="32"/>
      <c r="D58" s="32">
        <v>49767</v>
      </c>
      <c r="E58" s="24">
        <f>D58*100/B58</f>
        <v>99.082185235326904</v>
      </c>
      <c r="G58" s="32">
        <f>227+18</f>
        <v>245</v>
      </c>
      <c r="H58" s="24">
        <f>G58*100/B58</f>
        <v>0.48777574261368162</v>
      </c>
      <c r="J58" s="32">
        <v>139</v>
      </c>
      <c r="K58" s="24">
        <f>J58*100/B58</f>
        <v>0.27673807438082343</v>
      </c>
      <c r="M58" s="32">
        <f>B58-D58-G58-J58</f>
        <v>77</v>
      </c>
      <c r="N58" s="24">
        <f>M58*100/B58</f>
        <v>0.15330094767858565</v>
      </c>
    </row>
    <row r="59" spans="1:14" x14ac:dyDescent="0.3">
      <c r="A59" s="13" t="s">
        <v>87</v>
      </c>
      <c r="B59" s="32">
        <v>7104</v>
      </c>
      <c r="C59" s="32"/>
      <c r="D59" s="32">
        <v>6853</v>
      </c>
      <c r="E59" s="24">
        <f>D59*100/B59</f>
        <v>96.46677927927928</v>
      </c>
      <c r="G59" s="32">
        <f>139+9</f>
        <v>148</v>
      </c>
      <c r="H59" s="24">
        <f>G59*100/B59</f>
        <v>2.0833333333333335</v>
      </c>
      <c r="J59" s="32">
        <v>77</v>
      </c>
      <c r="K59" s="24">
        <f>J59*100/B59</f>
        <v>1.0838963963963963</v>
      </c>
      <c r="M59" s="32">
        <f>B59-D59-G59-J59</f>
        <v>26</v>
      </c>
      <c r="N59" s="24">
        <f>M59*100/B59</f>
        <v>0.36599099099099097</v>
      </c>
    </row>
    <row r="60" spans="1:14" x14ac:dyDescent="0.3">
      <c r="A60" s="13" t="s">
        <v>12</v>
      </c>
      <c r="B60" s="32">
        <v>666</v>
      </c>
      <c r="C60" s="32"/>
      <c r="D60" s="32">
        <v>545</v>
      </c>
      <c r="E60" s="24">
        <f>D60*100/B60</f>
        <v>81.831831831831835</v>
      </c>
      <c r="G60" s="32">
        <f>53+14</f>
        <v>67</v>
      </c>
      <c r="H60" s="24">
        <f>G60*100/B60</f>
        <v>10.06006006006006</v>
      </c>
      <c r="J60" s="32">
        <v>46</v>
      </c>
      <c r="K60" s="24">
        <f>J60*100/B60</f>
        <v>6.9069069069069071</v>
      </c>
      <c r="M60" s="32">
        <f>B60-D60-G60-J60</f>
        <v>8</v>
      </c>
      <c r="N60" s="24">
        <f>M60*100/B60</f>
        <v>1.2012012012012012</v>
      </c>
    </row>
    <row r="61" spans="1:14" x14ac:dyDescent="0.3">
      <c r="A61" s="43" t="s">
        <v>28</v>
      </c>
      <c r="B61" s="33"/>
      <c r="C61" s="42"/>
      <c r="D61" s="33"/>
      <c r="E61" s="25"/>
      <c r="F61" s="15"/>
      <c r="G61" s="33"/>
      <c r="H61" s="25"/>
      <c r="I61" s="15"/>
      <c r="J61" s="33"/>
      <c r="K61" s="25"/>
      <c r="L61" s="15"/>
      <c r="M61" s="33"/>
      <c r="N61" s="25"/>
    </row>
    <row r="62" spans="1:14" x14ac:dyDescent="0.3">
      <c r="A62" s="16" t="s">
        <v>29</v>
      </c>
      <c r="B62" s="15">
        <v>50686</v>
      </c>
      <c r="C62" s="42"/>
      <c r="D62" s="33">
        <v>50389</v>
      </c>
      <c r="E62" s="25">
        <f>D62/$B62*100</f>
        <v>99.414039379710374</v>
      </c>
      <c r="F62" s="15"/>
      <c r="G62" s="33">
        <f>131+10</f>
        <v>141</v>
      </c>
      <c r="H62" s="25">
        <f>G62/$B62*100</f>
        <v>0.27818332478396401</v>
      </c>
      <c r="I62" s="15"/>
      <c r="J62" s="33">
        <v>85</v>
      </c>
      <c r="K62" s="25">
        <f>J62/$B62*100</f>
        <v>0.16769916742295701</v>
      </c>
      <c r="L62" s="15"/>
      <c r="M62" s="33">
        <f>B62-D62-G62-J62</f>
        <v>71</v>
      </c>
      <c r="N62" s="25">
        <f>M62/$B62*100</f>
        <v>0.14007812808270528</v>
      </c>
    </row>
    <row r="63" spans="1:14" ht="14.4" thickBot="1" x14ac:dyDescent="0.35">
      <c r="A63" s="72" t="s">
        <v>30</v>
      </c>
      <c r="B63" s="73">
        <v>7341</v>
      </c>
      <c r="C63" s="74"/>
      <c r="D63" s="75">
        <v>6803</v>
      </c>
      <c r="E63" s="76">
        <f t="shared" ref="E63" si="27">D63/$B63*100</f>
        <v>92.671298188257737</v>
      </c>
      <c r="F63" s="73"/>
      <c r="G63" s="75">
        <f>289+31</f>
        <v>320</v>
      </c>
      <c r="H63" s="76">
        <f t="shared" ref="H63" si="28">G63/$B63*100</f>
        <v>4.3590791445307175</v>
      </c>
      <c r="I63" s="73"/>
      <c r="J63" s="75">
        <v>178</v>
      </c>
      <c r="K63" s="76">
        <f t="shared" ref="K63" si="29">J63/$B63*100</f>
        <v>2.4247377741452119</v>
      </c>
      <c r="L63" s="73"/>
      <c r="M63" s="75">
        <f>B63-D63-G63-J63</f>
        <v>40</v>
      </c>
      <c r="N63" s="76">
        <f t="shared" ref="N63" si="30">M63/$B63*100</f>
        <v>0.54488489306633969</v>
      </c>
    </row>
  </sheetData>
  <mergeCells count="4">
    <mergeCell ref="D3:E3"/>
    <mergeCell ref="G3:H3"/>
    <mergeCell ref="J3:K3"/>
    <mergeCell ref="M3:N3"/>
  </mergeCells>
  <pageMargins left="0.7" right="0.7" top="0.75" bottom="0.75" header="0.3" footer="0.3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pane ySplit="4" topLeftCell="A5" activePane="bottomLeft" state="frozen"/>
      <selection pane="bottomLeft"/>
    </sheetView>
  </sheetViews>
  <sheetFormatPr defaultColWidth="9.109375" defaultRowHeight="13.8" x14ac:dyDescent="0.3"/>
  <cols>
    <col min="1" max="1" width="60" style="8" customWidth="1"/>
    <col min="2" max="2" width="10.6640625" style="8" customWidth="1"/>
    <col min="3" max="3" width="1.6640625" style="8" customWidth="1"/>
    <col min="4" max="4" width="10.6640625" style="8" customWidth="1"/>
    <col min="5" max="5" width="10.6640625" style="24" customWidth="1"/>
    <col min="6" max="6" width="1.6640625" style="8" customWidth="1"/>
    <col min="7" max="8" width="10.6640625" style="8" customWidth="1"/>
    <col min="9" max="9" width="1.6640625" style="8" customWidth="1"/>
    <col min="10" max="11" width="10.6640625" style="8" customWidth="1"/>
    <col min="12" max="12" width="1.6640625" style="8" customWidth="1"/>
    <col min="13" max="14" width="10.6640625" style="8" customWidth="1"/>
    <col min="15" max="16384" width="9.109375" style="8"/>
  </cols>
  <sheetData>
    <row r="1" spans="1:14" x14ac:dyDescent="0.3">
      <c r="A1" s="3" t="s">
        <v>40</v>
      </c>
    </row>
    <row r="2" spans="1:14" ht="14.4" thickBot="1" x14ac:dyDescent="0.35">
      <c r="A2" s="73"/>
      <c r="B2" s="73"/>
      <c r="C2" s="73"/>
      <c r="D2" s="73"/>
      <c r="E2" s="76"/>
      <c r="F2" s="73"/>
      <c r="G2" s="73"/>
      <c r="H2" s="73"/>
      <c r="I2" s="73"/>
      <c r="J2" s="73"/>
      <c r="K2" s="73"/>
      <c r="L2" s="73"/>
      <c r="M2" s="73"/>
      <c r="N2" s="73"/>
    </row>
    <row r="3" spans="1:14" ht="14.4" x14ac:dyDescent="0.3">
      <c r="A3" s="15"/>
      <c r="B3" s="26" t="s">
        <v>26</v>
      </c>
      <c r="C3" s="77"/>
      <c r="D3" s="86" t="s">
        <v>0</v>
      </c>
      <c r="E3" s="86"/>
      <c r="F3" s="15"/>
      <c r="G3" s="86" t="s">
        <v>13</v>
      </c>
      <c r="H3" s="86"/>
      <c r="I3" s="15"/>
      <c r="J3" s="86" t="s">
        <v>60</v>
      </c>
      <c r="K3" s="86"/>
      <c r="M3" s="86" t="s">
        <v>27</v>
      </c>
      <c r="N3" s="87"/>
    </row>
    <row r="4" spans="1:14" x14ac:dyDescent="0.3">
      <c r="A4" s="18"/>
      <c r="B4" s="26" t="s">
        <v>4</v>
      </c>
      <c r="C4" s="19"/>
      <c r="D4" s="27" t="s">
        <v>4</v>
      </c>
      <c r="E4" s="28" t="s">
        <v>5</v>
      </c>
      <c r="F4" s="27"/>
      <c r="G4" s="27" t="s">
        <v>4</v>
      </c>
      <c r="H4" s="27" t="s">
        <v>5</v>
      </c>
      <c r="I4" s="27"/>
      <c r="J4" s="27" t="s">
        <v>4</v>
      </c>
      <c r="K4" s="27" t="s">
        <v>5</v>
      </c>
      <c r="L4" s="27"/>
      <c r="M4" s="27" t="s">
        <v>4</v>
      </c>
      <c r="N4" s="27" t="s">
        <v>5</v>
      </c>
    </row>
    <row r="5" spans="1:14" s="2" customFormat="1" x14ac:dyDescent="0.3">
      <c r="A5" s="9" t="s">
        <v>7</v>
      </c>
      <c r="B5" s="30">
        <f>SUM(B6:B7)</f>
        <v>106352</v>
      </c>
      <c r="C5" s="30"/>
      <c r="D5" s="30">
        <f>SUM(D6:D7)</f>
        <v>104667</v>
      </c>
      <c r="E5" s="35">
        <f>D5*100/B5</f>
        <v>98.415638633970218</v>
      </c>
      <c r="F5" s="1"/>
      <c r="G5" s="64">
        <f>SUM(G6:G7)</f>
        <v>1059</v>
      </c>
      <c r="H5" s="35">
        <f>G5*100/B5</f>
        <v>0.99574996238904767</v>
      </c>
      <c r="J5" s="30">
        <f>SUM(J6:J7)</f>
        <v>456</v>
      </c>
      <c r="K5" s="35">
        <f>J5*100/B5</f>
        <v>0.42876485632616218</v>
      </c>
      <c r="M5" s="30">
        <f>SUM(M6:M7)</f>
        <v>170</v>
      </c>
      <c r="N5" s="35">
        <f>M5*100/B5</f>
        <v>0.15984654731457801</v>
      </c>
    </row>
    <row r="6" spans="1:14" x14ac:dyDescent="0.3">
      <c r="A6" s="20" t="s">
        <v>32</v>
      </c>
      <c r="B6" s="31">
        <f>B26</f>
        <v>51667</v>
      </c>
      <c r="C6" s="32"/>
      <c r="D6" s="31">
        <f>D26</f>
        <v>50917</v>
      </c>
      <c r="E6" s="24">
        <f>D6*100/B6</f>
        <v>98.548396461958305</v>
      </c>
      <c r="G6" s="65">
        <f>G26</f>
        <v>498</v>
      </c>
      <c r="H6" s="24">
        <f>G6*100/B6</f>
        <v>0.96386474925968224</v>
      </c>
      <c r="J6" s="31">
        <f>J26</f>
        <v>171</v>
      </c>
      <c r="K6" s="24">
        <f>J6*100/B6</f>
        <v>0.33096560667350533</v>
      </c>
      <c r="M6" s="31">
        <f>M26</f>
        <v>81</v>
      </c>
      <c r="N6" s="24">
        <f>M6*100/B6</f>
        <v>0.15677318210850252</v>
      </c>
    </row>
    <row r="7" spans="1:14" x14ac:dyDescent="0.3">
      <c r="A7" s="20" t="s">
        <v>33</v>
      </c>
      <c r="B7" s="31">
        <f>B45</f>
        <v>54685</v>
      </c>
      <c r="C7" s="32"/>
      <c r="D7" s="31">
        <f>D45</f>
        <v>53750</v>
      </c>
      <c r="E7" s="24">
        <f>D7*100/B7</f>
        <v>98.290207552345251</v>
      </c>
      <c r="G7" s="65">
        <f>G45</f>
        <v>561</v>
      </c>
      <c r="H7" s="24">
        <f>G7*100/B7</f>
        <v>1.0258754685928499</v>
      </c>
      <c r="J7" s="31">
        <f>J45</f>
        <v>285</v>
      </c>
      <c r="K7" s="24">
        <f>J7*100/B7</f>
        <v>0.52116668190545856</v>
      </c>
      <c r="M7" s="31">
        <f>M45</f>
        <v>89</v>
      </c>
      <c r="N7" s="24">
        <f>M7*100/B7</f>
        <v>0.16275029715644143</v>
      </c>
    </row>
    <row r="8" spans="1:14" x14ac:dyDescent="0.3">
      <c r="A8" s="10" t="s">
        <v>8</v>
      </c>
      <c r="B8" s="32"/>
      <c r="C8" s="32"/>
      <c r="D8" s="32"/>
      <c r="G8" s="66"/>
      <c r="J8" s="32"/>
      <c r="M8" s="32"/>
    </row>
    <row r="9" spans="1:14" x14ac:dyDescent="0.3">
      <c r="A9" s="20" t="s">
        <v>9</v>
      </c>
      <c r="B9" s="32">
        <f t="shared" ref="B9:B14" si="0">B28+B47</f>
        <v>87253</v>
      </c>
      <c r="C9" s="32"/>
      <c r="D9" s="32">
        <f t="shared" ref="D9:D14" si="1">D28+D47</f>
        <v>86168</v>
      </c>
      <c r="E9" s="24">
        <f>D9*100/B9</f>
        <v>98.756489748203506</v>
      </c>
      <c r="G9" s="32">
        <f t="shared" ref="G9:G14" si="2">G28+G47</f>
        <v>706</v>
      </c>
      <c r="H9" s="24">
        <f>G9*100/B9</f>
        <v>0.80914123296620177</v>
      </c>
      <c r="J9" s="32">
        <f t="shared" ref="J9:J14" si="3">J28+J47</f>
        <v>318</v>
      </c>
      <c r="K9" s="24">
        <f>J9*100/B9</f>
        <v>0.36445738255418153</v>
      </c>
      <c r="M9" s="32">
        <f t="shared" ref="M9:M14" si="4">M28+M47</f>
        <v>61</v>
      </c>
      <c r="N9" s="24">
        <f>M9*100/B9</f>
        <v>6.9911636276116587E-2</v>
      </c>
    </row>
    <row r="10" spans="1:14" x14ac:dyDescent="0.3">
      <c r="A10" s="21" t="s">
        <v>10</v>
      </c>
      <c r="B10" s="32">
        <f t="shared" si="0"/>
        <v>19590</v>
      </c>
      <c r="C10" s="32"/>
      <c r="D10" s="32">
        <f t="shared" si="1"/>
        <v>18987</v>
      </c>
      <c r="E10" s="24">
        <f t="shared" ref="E10:E18" si="5">D10*100/B10</f>
        <v>96.921898928024504</v>
      </c>
      <c r="G10" s="32">
        <f t="shared" si="2"/>
        <v>359</v>
      </c>
      <c r="H10" s="24">
        <f t="shared" ref="H10:H14" si="6">G10*100/B10</f>
        <v>1.8325676365492598</v>
      </c>
      <c r="J10" s="32">
        <f t="shared" si="3"/>
        <v>143</v>
      </c>
      <c r="K10" s="24">
        <f t="shared" ref="K10:K14" si="7">J10*100/B10</f>
        <v>0.72996426748340992</v>
      </c>
      <c r="M10" s="32">
        <f t="shared" si="4"/>
        <v>101</v>
      </c>
      <c r="N10" s="24">
        <f t="shared" ref="N10:N14" si="8">M10*100/B10</f>
        <v>0.51556916794282792</v>
      </c>
    </row>
    <row r="11" spans="1:14" x14ac:dyDescent="0.3">
      <c r="A11" s="14" t="s">
        <v>31</v>
      </c>
      <c r="B11" s="32">
        <f t="shared" si="0"/>
        <v>10444</v>
      </c>
      <c r="C11" s="32"/>
      <c r="D11" s="32">
        <f t="shared" si="1"/>
        <v>10276</v>
      </c>
      <c r="E11" s="24">
        <f t="shared" si="5"/>
        <v>98.391420911528144</v>
      </c>
      <c r="G11" s="32">
        <f t="shared" si="2"/>
        <v>95</v>
      </c>
      <c r="H11" s="24">
        <f t="shared" si="6"/>
        <v>0.90961317502872463</v>
      </c>
      <c r="J11" s="32">
        <f t="shared" si="3"/>
        <v>60</v>
      </c>
      <c r="K11" s="24">
        <f t="shared" si="7"/>
        <v>0.57449253159708924</v>
      </c>
      <c r="M11" s="32">
        <f t="shared" si="4"/>
        <v>13</v>
      </c>
      <c r="N11" s="24">
        <f t="shared" si="8"/>
        <v>0.124473381846036</v>
      </c>
    </row>
    <row r="12" spans="1:14" x14ac:dyDescent="0.3">
      <c r="A12" s="14" t="s">
        <v>94</v>
      </c>
      <c r="B12" s="32">
        <f t="shared" si="0"/>
        <v>3329</v>
      </c>
      <c r="C12" s="32"/>
      <c r="D12" s="32">
        <f t="shared" si="1"/>
        <v>3250</v>
      </c>
      <c r="E12" s="24">
        <f t="shared" si="5"/>
        <v>97.626914989486338</v>
      </c>
      <c r="G12" s="32">
        <f t="shared" si="2"/>
        <v>36</v>
      </c>
      <c r="H12" s="24">
        <f t="shared" si="6"/>
        <v>1.0814058275758487</v>
      </c>
      <c r="J12" s="32">
        <f t="shared" si="3"/>
        <v>28</v>
      </c>
      <c r="K12" s="24">
        <f t="shared" si="7"/>
        <v>0.84109342144788224</v>
      </c>
      <c r="M12" s="32">
        <f t="shared" si="4"/>
        <v>15</v>
      </c>
      <c r="N12" s="24">
        <f t="shared" si="8"/>
        <v>0.4505857614899369</v>
      </c>
    </row>
    <row r="13" spans="1:14" x14ac:dyDescent="0.3">
      <c r="A13" s="14" t="s">
        <v>95</v>
      </c>
      <c r="B13" s="32">
        <f t="shared" si="0"/>
        <v>2907</v>
      </c>
      <c r="C13" s="32"/>
      <c r="D13" s="32">
        <f t="shared" si="1"/>
        <v>2813</v>
      </c>
      <c r="E13" s="24">
        <f t="shared" si="5"/>
        <v>96.766425868593046</v>
      </c>
      <c r="G13" s="32">
        <f t="shared" si="2"/>
        <v>47</v>
      </c>
      <c r="H13" s="24">
        <f t="shared" si="6"/>
        <v>1.6167870657034744</v>
      </c>
      <c r="J13" s="32">
        <f t="shared" si="3"/>
        <v>24</v>
      </c>
      <c r="K13" s="24">
        <f t="shared" si="7"/>
        <v>0.82559339525283792</v>
      </c>
      <c r="M13" s="32">
        <f t="shared" si="4"/>
        <v>23</v>
      </c>
      <c r="N13" s="24">
        <f t="shared" si="8"/>
        <v>0.79119367045063638</v>
      </c>
    </row>
    <row r="14" spans="1:14" x14ac:dyDescent="0.3">
      <c r="A14" s="14" t="s">
        <v>96</v>
      </c>
      <c r="B14" s="32">
        <f t="shared" si="0"/>
        <v>2898</v>
      </c>
      <c r="C14" s="32"/>
      <c r="D14" s="32">
        <f t="shared" si="1"/>
        <v>2636</v>
      </c>
      <c r="E14" s="24">
        <f t="shared" si="5"/>
        <v>90.959282263630087</v>
      </c>
      <c r="G14" s="32">
        <f t="shared" si="2"/>
        <v>181</v>
      </c>
      <c r="H14" s="24">
        <f t="shared" si="6"/>
        <v>6.245686680469289</v>
      </c>
      <c r="J14" s="32">
        <f t="shared" si="3"/>
        <v>31</v>
      </c>
      <c r="K14" s="24">
        <f t="shared" si="7"/>
        <v>1.069703243616287</v>
      </c>
      <c r="M14" s="32">
        <f t="shared" si="4"/>
        <v>50</v>
      </c>
      <c r="N14" s="24">
        <f t="shared" si="8"/>
        <v>1.7253278122843341</v>
      </c>
    </row>
    <row r="15" spans="1:14" x14ac:dyDescent="0.3">
      <c r="A15" s="11" t="s">
        <v>16</v>
      </c>
      <c r="B15" s="32"/>
      <c r="C15" s="32"/>
      <c r="D15" s="32"/>
      <c r="G15" s="32"/>
      <c r="J15" s="32"/>
      <c r="M15" s="32"/>
    </row>
    <row r="16" spans="1:14" x14ac:dyDescent="0.3">
      <c r="A16" s="13" t="s">
        <v>17</v>
      </c>
      <c r="B16" s="32">
        <f>B35+B54</f>
        <v>5357</v>
      </c>
      <c r="C16" s="32"/>
      <c r="D16" s="32">
        <f>D35+D54</f>
        <v>5112</v>
      </c>
      <c r="E16" s="24">
        <f t="shared" si="5"/>
        <v>95.426544707858881</v>
      </c>
      <c r="G16" s="32">
        <f>G35+G54</f>
        <v>148</v>
      </c>
      <c r="H16" s="24">
        <f>G16*100/B16</f>
        <v>2.7627403397423933</v>
      </c>
      <c r="J16" s="32">
        <f>J35+J54</f>
        <v>79</v>
      </c>
      <c r="K16" s="24">
        <f>J16*100/B16</f>
        <v>1.4747059921597909</v>
      </c>
      <c r="M16" s="32">
        <f>M35+M54</f>
        <v>18</v>
      </c>
      <c r="N16" s="24">
        <f>M16*100/B16</f>
        <v>0.33600896023893972</v>
      </c>
    </row>
    <row r="17" spans="1:17" x14ac:dyDescent="0.3">
      <c r="A17" s="13" t="s">
        <v>18</v>
      </c>
      <c r="B17" s="32">
        <f>B36+B55</f>
        <v>47182</v>
      </c>
      <c r="C17" s="32"/>
      <c r="D17" s="32">
        <f>D36+D55</f>
        <v>46447</v>
      </c>
      <c r="E17" s="24">
        <f t="shared" si="5"/>
        <v>98.44220253486499</v>
      </c>
      <c r="G17" s="32">
        <f>G36+G55</f>
        <v>459</v>
      </c>
      <c r="H17" s="24">
        <f>G17*100/B17</f>
        <v>0.97282862108431178</v>
      </c>
      <c r="J17" s="32">
        <f>J36+J55</f>
        <v>252</v>
      </c>
      <c r="K17" s="24">
        <f>J17*100/B17</f>
        <v>0.53410198804628883</v>
      </c>
      <c r="M17" s="32">
        <f>M36+M55</f>
        <v>24</v>
      </c>
      <c r="N17" s="24">
        <f>M17*100/B17</f>
        <v>5.0866856004408462E-2</v>
      </c>
    </row>
    <row r="18" spans="1:17" x14ac:dyDescent="0.3">
      <c r="A18" s="13" t="s">
        <v>19</v>
      </c>
      <c r="B18" s="32">
        <f>B37+B56</f>
        <v>53573</v>
      </c>
      <c r="C18" s="32"/>
      <c r="D18" s="32">
        <f>D37+D56</f>
        <v>53012</v>
      </c>
      <c r="E18" s="24">
        <f t="shared" si="5"/>
        <v>98.952830716965636</v>
      </c>
      <c r="G18" s="32">
        <f>G37+G56</f>
        <v>405</v>
      </c>
      <c r="H18" s="24">
        <f>G18*100/B18</f>
        <v>0.75597782465047692</v>
      </c>
      <c r="J18" s="32">
        <f>J37+J56</f>
        <v>117</v>
      </c>
      <c r="K18" s="24">
        <f>J18*100/B18</f>
        <v>0.21839359378791556</v>
      </c>
      <c r="M18" s="32">
        <f>M37+M56</f>
        <v>39</v>
      </c>
      <c r="N18" s="24">
        <f>M18*100/B18</f>
        <v>7.2797864595971845E-2</v>
      </c>
    </row>
    <row r="19" spans="1:17" x14ac:dyDescent="0.3">
      <c r="A19" s="10" t="s">
        <v>11</v>
      </c>
      <c r="B19" s="32"/>
      <c r="C19" s="32"/>
      <c r="D19" s="32"/>
      <c r="G19" s="32"/>
      <c r="J19" s="32"/>
      <c r="M19" s="32"/>
    </row>
    <row r="20" spans="1:17" x14ac:dyDescent="0.3">
      <c r="A20" s="13" t="s">
        <v>14</v>
      </c>
      <c r="B20" s="32">
        <f>B39+B58</f>
        <v>94126</v>
      </c>
      <c r="C20" s="32"/>
      <c r="D20" s="32">
        <f>D39+D58</f>
        <v>93051</v>
      </c>
      <c r="E20" s="24">
        <f>D20*100/B20</f>
        <v>98.857913860144919</v>
      </c>
      <c r="G20" s="32">
        <f>G39+G58</f>
        <v>687</v>
      </c>
      <c r="H20" s="24">
        <f>G20*100/B20</f>
        <v>0.72987272379576318</v>
      </c>
      <c r="J20" s="32">
        <f>J39+J58</f>
        <v>262</v>
      </c>
      <c r="K20" s="24">
        <f>J20*100/B20</f>
        <v>0.27835029641119352</v>
      </c>
      <c r="M20" s="32">
        <f>M39+M58</f>
        <v>126</v>
      </c>
      <c r="N20" s="24">
        <f>M20*100/B20</f>
        <v>0.13386311964813122</v>
      </c>
    </row>
    <row r="21" spans="1:17" x14ac:dyDescent="0.3">
      <c r="A21" s="13" t="s">
        <v>87</v>
      </c>
      <c r="B21" s="32">
        <f>B40+B59</f>
        <v>11190</v>
      </c>
      <c r="C21" s="32"/>
      <c r="D21" s="32">
        <f>D40+D59</f>
        <v>10818</v>
      </c>
      <c r="E21" s="24">
        <f>D21*100/B21</f>
        <v>96.675603217158184</v>
      </c>
      <c r="G21" s="32">
        <f>G40+G59</f>
        <v>237</v>
      </c>
      <c r="H21" s="24">
        <f>G21*100/B21</f>
        <v>2.1179624664879357</v>
      </c>
      <c r="J21" s="32">
        <f>J40+J59</f>
        <v>103</v>
      </c>
      <c r="K21" s="24">
        <f>J21*100/B21</f>
        <v>0.92046470062555852</v>
      </c>
      <c r="M21" s="32">
        <f>M40+M59</f>
        <v>32</v>
      </c>
      <c r="N21" s="24">
        <f>M21*100/B21</f>
        <v>0.28596961572832885</v>
      </c>
    </row>
    <row r="22" spans="1:17" x14ac:dyDescent="0.3">
      <c r="A22" s="13" t="s">
        <v>12</v>
      </c>
      <c r="B22" s="32">
        <f>B41+B60</f>
        <v>998</v>
      </c>
      <c r="C22" s="32"/>
      <c r="D22" s="32">
        <f>D41+D60</f>
        <v>763</v>
      </c>
      <c r="E22" s="24">
        <f>D22*100/B22</f>
        <v>76.452905811623253</v>
      </c>
      <c r="G22" s="32">
        <f>G41+G60</f>
        <v>134</v>
      </c>
      <c r="H22" s="24">
        <f>G22*100/B22</f>
        <v>13.42685370741483</v>
      </c>
      <c r="J22" s="32">
        <f>J41+J60</f>
        <v>89</v>
      </c>
      <c r="K22" s="24">
        <f>J22*100/B22</f>
        <v>8.9178356713426847</v>
      </c>
      <c r="M22" s="32">
        <f>M41+M60</f>
        <v>12</v>
      </c>
      <c r="N22" s="24">
        <f>M22*100/B22</f>
        <v>1.2024048096192386</v>
      </c>
    </row>
    <row r="23" spans="1:17" x14ac:dyDescent="0.3">
      <c r="A23" s="43" t="s">
        <v>28</v>
      </c>
      <c r="B23" s="33"/>
      <c r="C23" s="42"/>
      <c r="D23" s="33"/>
      <c r="E23" s="25"/>
      <c r="F23" s="15"/>
      <c r="G23" s="33"/>
      <c r="H23" s="25"/>
      <c r="I23" s="15"/>
      <c r="J23" s="33"/>
      <c r="K23" s="25"/>
      <c r="L23" s="15"/>
      <c r="M23" s="33"/>
      <c r="N23" s="25"/>
    </row>
    <row r="24" spans="1:17" x14ac:dyDescent="0.3">
      <c r="A24" s="16" t="s">
        <v>29</v>
      </c>
      <c r="B24" s="33">
        <f>B43+B62</f>
        <v>93693</v>
      </c>
      <c r="C24" s="42"/>
      <c r="D24" s="33">
        <f>D43+D62</f>
        <v>92991</v>
      </c>
      <c r="E24" s="25">
        <f>D24/$B24*100</f>
        <v>99.250744452627188</v>
      </c>
      <c r="F24" s="15"/>
      <c r="G24" s="33">
        <f>G43+G62</f>
        <v>426</v>
      </c>
      <c r="H24" s="25">
        <f>G24/$B24*100</f>
        <v>0.45467644327751272</v>
      </c>
      <c r="I24" s="15"/>
      <c r="J24" s="33">
        <f>J43+J62</f>
        <v>163</v>
      </c>
      <c r="K24" s="25">
        <f>J24/$B24*100</f>
        <v>0.17397244191134875</v>
      </c>
      <c r="L24" s="15"/>
      <c r="M24" s="33">
        <f>M43+M62</f>
        <v>113</v>
      </c>
      <c r="N24" s="25">
        <f>M24/$B24*100</f>
        <v>0.12060666218394117</v>
      </c>
      <c r="O24" s="15"/>
      <c r="Q24" s="32"/>
    </row>
    <row r="25" spans="1:17" x14ac:dyDescent="0.3">
      <c r="A25" s="17" t="s">
        <v>30</v>
      </c>
      <c r="B25" s="34">
        <f>B44+B63</f>
        <v>12659</v>
      </c>
      <c r="C25" s="38"/>
      <c r="D25" s="34">
        <f>D44+D63</f>
        <v>11676</v>
      </c>
      <c r="E25" s="29">
        <f t="shared" ref="E25" si="9">D25/$B25*100</f>
        <v>92.234773678805595</v>
      </c>
      <c r="F25" s="18"/>
      <c r="G25" s="34">
        <f>G44+G63</f>
        <v>633</v>
      </c>
      <c r="H25" s="29">
        <f t="shared" ref="H25" si="10">G25/$B25*100</f>
        <v>5.0003949759064703</v>
      </c>
      <c r="I25" s="18"/>
      <c r="J25" s="34">
        <f>J44+J63</f>
        <v>293</v>
      </c>
      <c r="K25" s="29">
        <f t="shared" ref="K25" si="11">J25/$B25*100</f>
        <v>2.3145588119124731</v>
      </c>
      <c r="L25" s="18"/>
      <c r="M25" s="34">
        <f>M44+M63</f>
        <v>57</v>
      </c>
      <c r="N25" s="29">
        <f t="shared" ref="N25" si="12">M25/$B25*100</f>
        <v>0.45027253337546413</v>
      </c>
      <c r="O25" s="15"/>
      <c r="Q25" s="32"/>
    </row>
    <row r="26" spans="1:17" s="2" customFormat="1" x14ac:dyDescent="0.3">
      <c r="A26" s="9" t="s">
        <v>34</v>
      </c>
      <c r="B26" s="36">
        <f>SUM(B43:B44)</f>
        <v>51667</v>
      </c>
      <c r="C26" s="37"/>
      <c r="D26" s="36">
        <f>SUM(D43:D44)</f>
        <v>50917</v>
      </c>
      <c r="E26" s="35">
        <f>D26*100/B26</f>
        <v>98.548396461958305</v>
      </c>
      <c r="G26" s="36">
        <f>SUM(G43:G44)</f>
        <v>498</v>
      </c>
      <c r="H26" s="35">
        <f>G26*100/B26</f>
        <v>0.96386474925968224</v>
      </c>
      <c r="J26" s="36">
        <f>SUM(J43:J44)</f>
        <v>171</v>
      </c>
      <c r="K26" s="35">
        <f>J26*100/B26</f>
        <v>0.33096560667350533</v>
      </c>
      <c r="M26" s="36">
        <f>SUM(M43:M44)</f>
        <v>81</v>
      </c>
      <c r="N26" s="35">
        <f>M26*100/B26</f>
        <v>0.15677318210850252</v>
      </c>
    </row>
    <row r="27" spans="1:17" x14ac:dyDescent="0.3">
      <c r="A27" s="10" t="s">
        <v>8</v>
      </c>
      <c r="B27" s="33"/>
      <c r="C27" s="33"/>
      <c r="D27" s="33"/>
      <c r="E27" s="25"/>
      <c r="F27" s="15"/>
      <c r="G27" s="33"/>
      <c r="H27" s="15"/>
      <c r="I27" s="15"/>
      <c r="J27" s="33"/>
      <c r="K27" s="15"/>
      <c r="L27" s="15"/>
      <c r="M27" s="33"/>
    </row>
    <row r="28" spans="1:17" x14ac:dyDescent="0.3">
      <c r="A28" s="20" t="s">
        <v>9</v>
      </c>
      <c r="B28" s="32">
        <v>42487</v>
      </c>
      <c r="C28" s="32"/>
      <c r="D28" s="32">
        <v>42020</v>
      </c>
      <c r="E28" s="24">
        <f>D28*100/B28</f>
        <v>98.900840257019794</v>
      </c>
      <c r="G28" s="32">
        <f>315+22</f>
        <v>337</v>
      </c>
      <c r="H28" s="24">
        <f>G28*100/B28</f>
        <v>0.79318379739685085</v>
      </c>
      <c r="J28" s="32">
        <v>104</v>
      </c>
      <c r="K28" s="24">
        <f>J28*100/B28</f>
        <v>0.24478075646668393</v>
      </c>
      <c r="M28" s="32">
        <f>B28-D28-G28-J28</f>
        <v>26</v>
      </c>
      <c r="N28" s="24">
        <f>M28*100/B28</f>
        <v>6.1195189116670982E-2</v>
      </c>
    </row>
    <row r="29" spans="1:17" x14ac:dyDescent="0.3">
      <c r="A29" s="21" t="s">
        <v>10</v>
      </c>
      <c r="B29" s="32">
        <v>9438</v>
      </c>
      <c r="C29" s="32"/>
      <c r="D29" s="32">
        <v>9152</v>
      </c>
      <c r="E29" s="24">
        <f>D29*100/B29</f>
        <v>96.969696969696969</v>
      </c>
      <c r="G29" s="32">
        <f>156+7</f>
        <v>163</v>
      </c>
      <c r="H29" s="24">
        <f t="shared" ref="H29:H33" si="13">G29*100/B29</f>
        <v>1.727060817969909</v>
      </c>
      <c r="J29" s="32">
        <v>71</v>
      </c>
      <c r="K29" s="24">
        <f t="shared" ref="K29:K33" si="14">J29*100/B29</f>
        <v>0.75227802500529772</v>
      </c>
      <c r="M29" s="32">
        <f t="shared" ref="M29:M33" si="15">B29-D29-G29-J29</f>
        <v>52</v>
      </c>
      <c r="N29" s="24">
        <f t="shared" ref="N29:N33" si="16">M29*100/B29</f>
        <v>0.55096418732782371</v>
      </c>
    </row>
    <row r="30" spans="1:17" x14ac:dyDescent="0.3">
      <c r="A30" s="14" t="s">
        <v>31</v>
      </c>
      <c r="B30" s="32">
        <v>5034</v>
      </c>
      <c r="C30" s="32"/>
      <c r="D30" s="32">
        <v>4956</v>
      </c>
      <c r="E30" s="24">
        <f>D30*100/B30</f>
        <v>98.450536352800952</v>
      </c>
      <c r="G30" s="32">
        <f>43+1</f>
        <v>44</v>
      </c>
      <c r="H30" s="24">
        <f t="shared" si="13"/>
        <v>0.87405641636869291</v>
      </c>
      <c r="J30" s="32">
        <v>27</v>
      </c>
      <c r="K30" s="24">
        <f t="shared" si="14"/>
        <v>0.53635280095351612</v>
      </c>
      <c r="M30" s="32">
        <f t="shared" si="15"/>
        <v>7</v>
      </c>
      <c r="N30" s="24">
        <f t="shared" si="16"/>
        <v>0.1390544298768375</v>
      </c>
    </row>
    <row r="31" spans="1:17" x14ac:dyDescent="0.3">
      <c r="A31" s="14" t="s">
        <v>94</v>
      </c>
      <c r="B31" s="32">
        <v>1677</v>
      </c>
      <c r="C31" s="32"/>
      <c r="D31" s="32">
        <v>1639</v>
      </c>
      <c r="E31" s="24">
        <f t="shared" ref="E31:E33" si="17">D31*100/B31</f>
        <v>97.734048896839596</v>
      </c>
      <c r="G31" s="32">
        <f>14+1</f>
        <v>15</v>
      </c>
      <c r="H31" s="24">
        <f t="shared" si="13"/>
        <v>0.89445438282647582</v>
      </c>
      <c r="J31" s="32">
        <v>13</v>
      </c>
      <c r="K31" s="24">
        <f t="shared" si="14"/>
        <v>0.77519379844961245</v>
      </c>
      <c r="M31" s="32">
        <f t="shared" si="15"/>
        <v>10</v>
      </c>
      <c r="N31" s="24">
        <f t="shared" si="16"/>
        <v>0.59630292188431722</v>
      </c>
    </row>
    <row r="32" spans="1:17" x14ac:dyDescent="0.3">
      <c r="A32" s="14" t="s">
        <v>95</v>
      </c>
      <c r="B32" s="32">
        <v>1418</v>
      </c>
      <c r="C32" s="32"/>
      <c r="D32" s="32">
        <v>1362</v>
      </c>
      <c r="E32" s="24">
        <f t="shared" si="17"/>
        <v>96.050775740479551</v>
      </c>
      <c r="G32" s="32">
        <f>23+1</f>
        <v>24</v>
      </c>
      <c r="H32" s="24">
        <f t="shared" si="13"/>
        <v>1.692524682651622</v>
      </c>
      <c r="J32" s="32">
        <v>16</v>
      </c>
      <c r="K32" s="24">
        <f t="shared" si="14"/>
        <v>1.1283497884344147</v>
      </c>
      <c r="M32" s="32">
        <f t="shared" si="15"/>
        <v>16</v>
      </c>
      <c r="N32" s="24">
        <f t="shared" si="16"/>
        <v>1.1283497884344147</v>
      </c>
    </row>
    <row r="33" spans="1:14" x14ac:dyDescent="0.3">
      <c r="A33" s="14" t="s">
        <v>96</v>
      </c>
      <c r="B33" s="32">
        <v>1303</v>
      </c>
      <c r="C33" s="32"/>
      <c r="D33" s="32">
        <v>1189</v>
      </c>
      <c r="E33" s="24">
        <f t="shared" si="17"/>
        <v>91.25095932463546</v>
      </c>
      <c r="G33" s="32">
        <f>76+4</f>
        <v>80</v>
      </c>
      <c r="H33" s="24">
        <f t="shared" si="13"/>
        <v>6.1396776669224868</v>
      </c>
      <c r="J33" s="32">
        <v>15</v>
      </c>
      <c r="K33" s="24">
        <f t="shared" si="14"/>
        <v>1.1511895625479662</v>
      </c>
      <c r="M33" s="32">
        <f t="shared" si="15"/>
        <v>19</v>
      </c>
      <c r="N33" s="24">
        <f t="shared" si="16"/>
        <v>1.4581734458940905</v>
      </c>
    </row>
    <row r="34" spans="1:14" x14ac:dyDescent="0.3">
      <c r="A34" s="11" t="s">
        <v>16</v>
      </c>
      <c r="B34" s="32"/>
      <c r="C34" s="32"/>
      <c r="D34" s="32"/>
      <c r="G34" s="32"/>
      <c r="J34" s="32"/>
      <c r="M34" s="32"/>
    </row>
    <row r="35" spans="1:14" x14ac:dyDescent="0.3">
      <c r="A35" s="13" t="s">
        <v>17</v>
      </c>
      <c r="B35" s="32">
        <v>2581</v>
      </c>
      <c r="C35" s="32"/>
      <c r="D35" s="32">
        <v>2468</v>
      </c>
      <c r="E35" s="24">
        <f>D35*100/B35</f>
        <v>95.621851995350639</v>
      </c>
      <c r="G35" s="32">
        <f>66+8</f>
        <v>74</v>
      </c>
      <c r="H35" s="24">
        <f>G35*100/B35</f>
        <v>2.8671057729562186</v>
      </c>
      <c r="J35" s="32">
        <v>30</v>
      </c>
      <c r="K35" s="24">
        <f>J35*100/B35</f>
        <v>1.1623401782254941</v>
      </c>
      <c r="M35" s="32">
        <f>B35-D35-G35-J35</f>
        <v>9</v>
      </c>
      <c r="N35" s="24">
        <f>M35*100/B35</f>
        <v>0.34870205346764821</v>
      </c>
    </row>
    <row r="36" spans="1:14" x14ac:dyDescent="0.3">
      <c r="A36" s="13" t="s">
        <v>18</v>
      </c>
      <c r="B36" s="32">
        <v>23112</v>
      </c>
      <c r="C36" s="32"/>
      <c r="D36" s="32">
        <v>22787</v>
      </c>
      <c r="E36" s="24">
        <f>D36*100/B36</f>
        <v>98.593804084458284</v>
      </c>
      <c r="G36" s="32">
        <f>200+15</f>
        <v>215</v>
      </c>
      <c r="H36" s="24">
        <f>G36*100/B36</f>
        <v>0.93025268258913119</v>
      </c>
      <c r="J36" s="32">
        <v>100</v>
      </c>
      <c r="K36" s="24">
        <f>J36*100/B36</f>
        <v>0.43267566632052612</v>
      </c>
      <c r="M36" s="32">
        <f>B36-D36-G36-J36</f>
        <v>10</v>
      </c>
      <c r="N36" s="24">
        <f>M36*100/B36</f>
        <v>4.3267566632052612E-2</v>
      </c>
    </row>
    <row r="37" spans="1:14" x14ac:dyDescent="0.3">
      <c r="A37" s="13" t="s">
        <v>19</v>
      </c>
      <c r="B37" s="32">
        <v>25922</v>
      </c>
      <c r="C37" s="32"/>
      <c r="D37" s="32">
        <v>25673</v>
      </c>
      <c r="E37" s="24">
        <f>D37*100/B37</f>
        <v>99.039425970218346</v>
      </c>
      <c r="G37" s="32">
        <f>187+4</f>
        <v>191</v>
      </c>
      <c r="H37" s="24">
        <f>G37*100/B37</f>
        <v>0.73682586220199053</v>
      </c>
      <c r="J37" s="32">
        <v>41</v>
      </c>
      <c r="K37" s="24">
        <f>J37*100/B37</f>
        <v>0.15816680811665768</v>
      </c>
      <c r="M37" s="32">
        <f>B37-D37-G37-J37</f>
        <v>17</v>
      </c>
      <c r="N37" s="24">
        <f>M37*100/B37</f>
        <v>6.5581359463004404E-2</v>
      </c>
    </row>
    <row r="38" spans="1:14" x14ac:dyDescent="0.3">
      <c r="A38" s="10" t="s">
        <v>11</v>
      </c>
      <c r="B38" s="32"/>
      <c r="C38" s="32"/>
      <c r="D38" s="32"/>
      <c r="G38" s="32"/>
      <c r="J38" s="32"/>
      <c r="M38" s="32"/>
    </row>
    <row r="39" spans="1:14" x14ac:dyDescent="0.3">
      <c r="A39" s="13" t="s">
        <v>14</v>
      </c>
      <c r="B39" s="32">
        <v>46529</v>
      </c>
      <c r="C39" s="32"/>
      <c r="D39" s="32">
        <v>46033</v>
      </c>
      <c r="E39" s="24">
        <f>D39*100/B39</f>
        <v>98.933998151690346</v>
      </c>
      <c r="G39" s="32">
        <f>315+19</f>
        <v>334</v>
      </c>
      <c r="H39" s="24">
        <f>G39*100/B39</f>
        <v>0.71783188978916379</v>
      </c>
      <c r="J39" s="32">
        <v>94</v>
      </c>
      <c r="K39" s="24">
        <f>J39*100/B39</f>
        <v>0.20202454383287843</v>
      </c>
      <c r="M39" s="32">
        <f>B39-D39-G39-J39</f>
        <v>68</v>
      </c>
      <c r="N39" s="24">
        <f>M39*100/B39</f>
        <v>0.14614541468761419</v>
      </c>
    </row>
    <row r="40" spans="1:14" x14ac:dyDescent="0.3">
      <c r="A40" s="13" t="s">
        <v>87</v>
      </c>
      <c r="B40" s="32">
        <v>4728</v>
      </c>
      <c r="C40" s="32"/>
      <c r="D40" s="32">
        <v>4575</v>
      </c>
      <c r="E40" s="24">
        <f>D40*100/B40</f>
        <v>96.763959390862951</v>
      </c>
      <c r="G40" s="32">
        <f>102+4</f>
        <v>106</v>
      </c>
      <c r="H40" s="24">
        <f>G40*100/B40</f>
        <v>2.2419627749576989</v>
      </c>
      <c r="J40" s="32">
        <v>39</v>
      </c>
      <c r="K40" s="24">
        <f>J40*100/B40</f>
        <v>0.82487309644670048</v>
      </c>
      <c r="M40" s="32">
        <f>B40-D40-G40-J40</f>
        <v>8</v>
      </c>
      <c r="N40" s="24">
        <f>M40*100/B40</f>
        <v>0.16920473773265651</v>
      </c>
    </row>
    <row r="41" spans="1:14" x14ac:dyDescent="0.3">
      <c r="A41" s="13" t="s">
        <v>12</v>
      </c>
      <c r="B41" s="32">
        <v>400</v>
      </c>
      <c r="C41" s="32"/>
      <c r="D41" s="32">
        <v>300</v>
      </c>
      <c r="E41" s="24">
        <f>D41*100/B41</f>
        <v>75</v>
      </c>
      <c r="G41" s="32">
        <f>52+6</f>
        <v>58</v>
      </c>
      <c r="H41" s="24">
        <f>G41*100/B41</f>
        <v>14.5</v>
      </c>
      <c r="J41" s="32">
        <v>37</v>
      </c>
      <c r="K41" s="24">
        <f>J41*100/B41</f>
        <v>9.25</v>
      </c>
      <c r="M41" s="32">
        <f>B41-D41-G41-J41</f>
        <v>5</v>
      </c>
      <c r="N41" s="24">
        <f>M41*100/B41</f>
        <v>1.25</v>
      </c>
    </row>
    <row r="42" spans="1:14" x14ac:dyDescent="0.3">
      <c r="A42" s="43" t="s">
        <v>28</v>
      </c>
      <c r="B42" s="33"/>
      <c r="C42" s="42"/>
      <c r="D42" s="33"/>
      <c r="E42" s="25"/>
      <c r="F42" s="15"/>
      <c r="G42" s="33"/>
      <c r="H42" s="25"/>
      <c r="I42" s="15"/>
      <c r="J42" s="33"/>
      <c r="K42" s="25"/>
      <c r="L42" s="15"/>
      <c r="M42" s="33"/>
      <c r="N42" s="25"/>
    </row>
    <row r="43" spans="1:14" x14ac:dyDescent="0.3">
      <c r="A43" s="16" t="s">
        <v>29</v>
      </c>
      <c r="B43" s="33">
        <v>46052</v>
      </c>
      <c r="C43" s="42"/>
      <c r="D43" s="33">
        <v>45715</v>
      </c>
      <c r="E43" s="25">
        <f>D43/$B43*100</f>
        <v>99.268218535568479</v>
      </c>
      <c r="F43" s="15"/>
      <c r="G43" s="33">
        <f>210+12</f>
        <v>222</v>
      </c>
      <c r="H43" s="25">
        <f>G43/$B43*100</f>
        <v>0.48206375401719792</v>
      </c>
      <c r="I43" s="15"/>
      <c r="J43" s="33">
        <v>56</v>
      </c>
      <c r="K43" s="25">
        <f>J43/$B43*100</f>
        <v>0.1216016676800139</v>
      </c>
      <c r="L43" s="15"/>
      <c r="M43" s="33">
        <f>B43-D43-G43-J43</f>
        <v>59</v>
      </c>
      <c r="N43" s="25">
        <f>M43/$B43*100</f>
        <v>0.12811604273430036</v>
      </c>
    </row>
    <row r="44" spans="1:14" x14ac:dyDescent="0.3">
      <c r="A44" s="17" t="s">
        <v>30</v>
      </c>
      <c r="B44" s="34">
        <v>5615</v>
      </c>
      <c r="C44" s="38"/>
      <c r="D44" s="34">
        <v>5202</v>
      </c>
      <c r="E44" s="29">
        <f t="shared" ref="E44" si="18">D44/$B44*100</f>
        <v>92.644701691896699</v>
      </c>
      <c r="F44" s="18"/>
      <c r="G44" s="18">
        <f>259+17</f>
        <v>276</v>
      </c>
      <c r="H44" s="29">
        <f t="shared" ref="H44" si="19">G44/$B44*100</f>
        <v>4.9154051647373107</v>
      </c>
      <c r="I44" s="18"/>
      <c r="J44" s="34">
        <v>115</v>
      </c>
      <c r="K44" s="29">
        <f t="shared" ref="K44" si="20">J44/$B44*100</f>
        <v>2.0480854853072126</v>
      </c>
      <c r="L44" s="18"/>
      <c r="M44" s="34">
        <f>B44-D44-G44-J44</f>
        <v>22</v>
      </c>
      <c r="N44" s="29">
        <f t="shared" ref="N44" si="21">M44/$B44*100</f>
        <v>0.3918076580587711</v>
      </c>
    </row>
    <row r="45" spans="1:14" s="2" customFormat="1" x14ac:dyDescent="0.3">
      <c r="A45" s="9" t="s">
        <v>35</v>
      </c>
      <c r="B45" s="36">
        <f>SUM(B62:B63)</f>
        <v>54685</v>
      </c>
      <c r="C45" s="37"/>
      <c r="D45" s="36">
        <f>SUM(D62:D63)</f>
        <v>53750</v>
      </c>
      <c r="E45" s="35">
        <f>D45*100/B45</f>
        <v>98.290207552345251</v>
      </c>
      <c r="G45" s="36">
        <f>SUM(G62:G63)</f>
        <v>561</v>
      </c>
      <c r="H45" s="35">
        <f>G45*100/B45</f>
        <v>1.0258754685928499</v>
      </c>
      <c r="J45" s="36">
        <f>SUM(J62:J63)</f>
        <v>285</v>
      </c>
      <c r="K45" s="35">
        <f>J45*100/B45</f>
        <v>0.52116668190545856</v>
      </c>
      <c r="M45" s="36">
        <f>SUM(M62:M63)</f>
        <v>89</v>
      </c>
      <c r="N45" s="35">
        <f>M45*100/B45</f>
        <v>0.16275029715644143</v>
      </c>
    </row>
    <row r="46" spans="1:14" x14ac:dyDescent="0.3">
      <c r="A46" s="10" t="s">
        <v>8</v>
      </c>
      <c r="B46" s="33"/>
      <c r="C46" s="33"/>
      <c r="D46" s="33"/>
      <c r="E46" s="25"/>
      <c r="F46" s="15"/>
      <c r="G46" s="33"/>
      <c r="H46" s="15"/>
      <c r="I46" s="15"/>
      <c r="J46" s="33"/>
      <c r="K46" s="15"/>
      <c r="L46" s="15"/>
      <c r="M46" s="33"/>
    </row>
    <row r="47" spans="1:14" ht="13.95" customHeight="1" x14ac:dyDescent="0.3">
      <c r="A47" s="20" t="s">
        <v>9</v>
      </c>
      <c r="B47" s="32">
        <v>44766</v>
      </c>
      <c r="C47" s="32"/>
      <c r="D47" s="32">
        <v>44148</v>
      </c>
      <c r="E47" s="24">
        <f>D47*100/B47</f>
        <v>98.619488004288968</v>
      </c>
      <c r="G47" s="32">
        <f>347+22</f>
        <v>369</v>
      </c>
      <c r="H47" s="24">
        <f>G47*100/B47</f>
        <v>0.82428628870124643</v>
      </c>
      <c r="J47" s="32">
        <v>214</v>
      </c>
      <c r="K47" s="24">
        <f>J47*100/B47</f>
        <v>0.4780413706831077</v>
      </c>
      <c r="M47" s="32">
        <f>B47-D47-G47-J47</f>
        <v>35</v>
      </c>
      <c r="N47" s="24">
        <f>M47*100/B47</f>
        <v>7.8184336326676498E-2</v>
      </c>
    </row>
    <row r="48" spans="1:14" x14ac:dyDescent="0.3">
      <c r="A48" s="21" t="s">
        <v>10</v>
      </c>
      <c r="B48" s="32">
        <v>10152</v>
      </c>
      <c r="C48" s="32"/>
      <c r="D48" s="32">
        <v>9835</v>
      </c>
      <c r="E48" s="24">
        <f>D48*100/B48</f>
        <v>96.877462568951927</v>
      </c>
      <c r="G48" s="32">
        <f>189+7</f>
        <v>196</v>
      </c>
      <c r="H48" s="24">
        <f t="shared" ref="H48:H52" si="22">G48*100/B48</f>
        <v>1.9306540583136327</v>
      </c>
      <c r="J48" s="32">
        <v>72</v>
      </c>
      <c r="K48" s="24">
        <f t="shared" ref="K48:K52" si="23">J48*100/B48</f>
        <v>0.70921985815602839</v>
      </c>
      <c r="M48" s="32">
        <f t="shared" ref="M48:M52" si="24">B48-D48-G48-J48</f>
        <v>49</v>
      </c>
      <c r="N48" s="24">
        <f t="shared" ref="N48:N52" si="25">M48*100/B48</f>
        <v>0.48266351457840817</v>
      </c>
    </row>
    <row r="49" spans="1:21" x14ac:dyDescent="0.3">
      <c r="A49" s="14" t="s">
        <v>31</v>
      </c>
      <c r="B49" s="32">
        <v>5410</v>
      </c>
      <c r="C49" s="32"/>
      <c r="D49" s="32">
        <v>5320</v>
      </c>
      <c r="E49" s="24">
        <f>D49*100/B49</f>
        <v>98.336414048059154</v>
      </c>
      <c r="G49" s="32">
        <f>49+2</f>
        <v>51</v>
      </c>
      <c r="H49" s="24">
        <f t="shared" si="22"/>
        <v>0.94269870609981521</v>
      </c>
      <c r="J49" s="32">
        <v>33</v>
      </c>
      <c r="K49" s="24">
        <f t="shared" si="23"/>
        <v>0.60998151571164505</v>
      </c>
      <c r="M49" s="32">
        <f t="shared" si="24"/>
        <v>6</v>
      </c>
      <c r="N49" s="24">
        <f t="shared" si="25"/>
        <v>0.11090573012939002</v>
      </c>
    </row>
    <row r="50" spans="1:21" x14ac:dyDescent="0.3">
      <c r="A50" s="14" t="s">
        <v>94</v>
      </c>
      <c r="B50" s="32">
        <v>1652</v>
      </c>
      <c r="C50" s="32"/>
      <c r="D50" s="32">
        <v>1611</v>
      </c>
      <c r="E50" s="24">
        <f t="shared" ref="E50:E52" si="26">D50*100/B50</f>
        <v>97.518159806295401</v>
      </c>
      <c r="G50" s="32">
        <f>21</f>
        <v>21</v>
      </c>
      <c r="H50" s="24">
        <f t="shared" si="22"/>
        <v>1.271186440677966</v>
      </c>
      <c r="J50" s="32">
        <v>15</v>
      </c>
      <c r="K50" s="24">
        <f t="shared" si="23"/>
        <v>0.90799031476997583</v>
      </c>
      <c r="M50" s="32">
        <f t="shared" si="24"/>
        <v>5</v>
      </c>
      <c r="N50" s="24">
        <f t="shared" si="25"/>
        <v>0.30266343825665859</v>
      </c>
    </row>
    <row r="51" spans="1:21" x14ac:dyDescent="0.3">
      <c r="A51" s="14" t="s">
        <v>95</v>
      </c>
      <c r="B51" s="32">
        <v>1489</v>
      </c>
      <c r="C51" s="32"/>
      <c r="D51" s="32">
        <v>1451</v>
      </c>
      <c r="E51" s="24">
        <f t="shared" si="26"/>
        <v>97.447951645399598</v>
      </c>
      <c r="G51" s="32">
        <f>21+2</f>
        <v>23</v>
      </c>
      <c r="H51" s="24">
        <f t="shared" si="22"/>
        <v>1.5446608462055071</v>
      </c>
      <c r="J51" s="32">
        <v>8</v>
      </c>
      <c r="K51" s="24">
        <f t="shared" si="23"/>
        <v>0.53727333781061115</v>
      </c>
      <c r="M51" s="32">
        <f t="shared" si="24"/>
        <v>7</v>
      </c>
      <c r="N51" s="24">
        <f t="shared" si="25"/>
        <v>0.47011417058428473</v>
      </c>
    </row>
    <row r="52" spans="1:21" x14ac:dyDescent="0.3">
      <c r="A52" s="14" t="s">
        <v>96</v>
      </c>
      <c r="B52" s="32">
        <v>1595</v>
      </c>
      <c r="C52" s="32"/>
      <c r="D52" s="32">
        <v>1447</v>
      </c>
      <c r="E52" s="24">
        <f t="shared" si="26"/>
        <v>90.721003134796234</v>
      </c>
      <c r="G52" s="32">
        <f>98+3</f>
        <v>101</v>
      </c>
      <c r="H52" s="24">
        <f t="shared" si="22"/>
        <v>6.3322884012539182</v>
      </c>
      <c r="J52" s="32">
        <v>16</v>
      </c>
      <c r="K52" s="24">
        <f t="shared" si="23"/>
        <v>1.0031347962382444</v>
      </c>
      <c r="M52" s="32">
        <f t="shared" si="24"/>
        <v>31</v>
      </c>
      <c r="N52" s="24">
        <f t="shared" si="25"/>
        <v>1.9435736677115987</v>
      </c>
    </row>
    <row r="53" spans="1:21" x14ac:dyDescent="0.3">
      <c r="A53" s="11" t="s">
        <v>16</v>
      </c>
      <c r="B53" s="32"/>
      <c r="C53" s="32"/>
      <c r="D53" s="32"/>
      <c r="G53" s="32"/>
      <c r="J53" s="32"/>
      <c r="M53" s="32"/>
    </row>
    <row r="54" spans="1:21" x14ac:dyDescent="0.3">
      <c r="A54" s="13" t="s">
        <v>17</v>
      </c>
      <c r="B54" s="32">
        <v>2776</v>
      </c>
      <c r="C54" s="32"/>
      <c r="D54" s="32">
        <v>2644</v>
      </c>
      <c r="E54" s="24">
        <f>D54*100/B54</f>
        <v>95.244956772334291</v>
      </c>
      <c r="G54" s="32">
        <f>70+4</f>
        <v>74</v>
      </c>
      <c r="H54" s="24">
        <f>G54*100/B54</f>
        <v>2.6657060518731988</v>
      </c>
      <c r="J54" s="32">
        <v>49</v>
      </c>
      <c r="K54" s="24">
        <f>J54*100/B54</f>
        <v>1.7651296829971181</v>
      </c>
      <c r="M54" s="32">
        <f>B54-D54-G54-J54</f>
        <v>9</v>
      </c>
      <c r="N54" s="24">
        <f>M54*100/B54</f>
        <v>0.32420749279538907</v>
      </c>
      <c r="Q54" s="2"/>
      <c r="R54" s="2"/>
      <c r="S54" s="2"/>
      <c r="T54" s="2"/>
      <c r="U54" s="2"/>
    </row>
    <row r="55" spans="1:21" x14ac:dyDescent="0.3">
      <c r="A55" s="13" t="s">
        <v>18</v>
      </c>
      <c r="B55" s="32">
        <v>24070</v>
      </c>
      <c r="C55" s="32"/>
      <c r="D55" s="32">
        <v>23660</v>
      </c>
      <c r="E55" s="24">
        <f>D55*100/B55</f>
        <v>98.296634815122559</v>
      </c>
      <c r="G55" s="32">
        <f>228+16</f>
        <v>244</v>
      </c>
      <c r="H55" s="24">
        <f>G55*100/B55</f>
        <v>1.0137100124636478</v>
      </c>
      <c r="J55" s="32">
        <v>152</v>
      </c>
      <c r="K55" s="24">
        <f>J55*100/B55</f>
        <v>0.63149148317407566</v>
      </c>
      <c r="M55" s="32">
        <f>B55-D55-G55-J55</f>
        <v>14</v>
      </c>
      <c r="N55" s="24">
        <f>M55*100/B55</f>
        <v>5.8163689239717493E-2</v>
      </c>
    </row>
    <row r="56" spans="1:21" x14ac:dyDescent="0.3">
      <c r="A56" s="13" t="s">
        <v>19</v>
      </c>
      <c r="B56" s="32">
        <v>27651</v>
      </c>
      <c r="C56" s="32"/>
      <c r="D56" s="32">
        <v>27339</v>
      </c>
      <c r="E56" s="24">
        <f>D56*100/B56</f>
        <v>98.87165021156558</v>
      </c>
      <c r="G56" s="32">
        <f>206+8</f>
        <v>214</v>
      </c>
      <c r="H56" s="24">
        <f>G56*100/B56</f>
        <v>0.77393222668257933</v>
      </c>
      <c r="J56" s="32">
        <v>76</v>
      </c>
      <c r="K56" s="24">
        <f>J56*100/B56</f>
        <v>0.27485443564428047</v>
      </c>
      <c r="M56" s="32">
        <f>B56-D56-G56-J56</f>
        <v>22</v>
      </c>
      <c r="N56" s="24">
        <f>M56*100/B56</f>
        <v>7.956312610755488E-2</v>
      </c>
    </row>
    <row r="57" spans="1:21" x14ac:dyDescent="0.3">
      <c r="A57" s="10" t="s">
        <v>11</v>
      </c>
      <c r="B57" s="32"/>
      <c r="C57" s="32"/>
      <c r="D57" s="32"/>
      <c r="G57" s="32"/>
      <c r="J57" s="32"/>
      <c r="M57" s="32"/>
    </row>
    <row r="58" spans="1:21" x14ac:dyDescent="0.3">
      <c r="A58" s="13" t="s">
        <v>14</v>
      </c>
      <c r="B58" s="32">
        <v>47597</v>
      </c>
      <c r="C58" s="32"/>
      <c r="D58" s="32">
        <v>47018</v>
      </c>
      <c r="E58" s="24">
        <f>D58*100/B58</f>
        <v>98.783536777527999</v>
      </c>
      <c r="G58" s="32">
        <f>338+15</f>
        <v>353</v>
      </c>
      <c r="H58" s="24">
        <f>G58*100/B58</f>
        <v>0.74164338088534987</v>
      </c>
      <c r="J58" s="32">
        <v>168</v>
      </c>
      <c r="K58" s="24">
        <f>J58*100/B58</f>
        <v>0.35296342206441583</v>
      </c>
      <c r="M58" s="32">
        <f>B58-D58-G58-J58</f>
        <v>58</v>
      </c>
      <c r="N58" s="24">
        <f>M58*100/B58</f>
        <v>0.1218564195222388</v>
      </c>
    </row>
    <row r="59" spans="1:21" x14ac:dyDescent="0.3">
      <c r="A59" s="13" t="s">
        <v>87</v>
      </c>
      <c r="B59" s="32">
        <v>6462</v>
      </c>
      <c r="C59" s="32"/>
      <c r="D59" s="32">
        <v>6243</v>
      </c>
      <c r="E59" s="24">
        <f>D59*100/B59</f>
        <v>96.610956360259976</v>
      </c>
      <c r="G59" s="32">
        <f>124+7</f>
        <v>131</v>
      </c>
      <c r="H59" s="24">
        <f>G59*100/B59</f>
        <v>2.0272361497988238</v>
      </c>
      <c r="J59" s="32">
        <v>64</v>
      </c>
      <c r="K59" s="24">
        <f>J59*100/B59</f>
        <v>0.99040544722995971</v>
      </c>
      <c r="M59" s="32">
        <f>B59-D59-G59-J59</f>
        <v>24</v>
      </c>
      <c r="N59" s="24">
        <f>M59*100/B59</f>
        <v>0.37140204271123489</v>
      </c>
    </row>
    <row r="60" spans="1:21" x14ac:dyDescent="0.3">
      <c r="A60" s="13" t="s">
        <v>12</v>
      </c>
      <c r="B60" s="32">
        <v>598</v>
      </c>
      <c r="C60" s="32"/>
      <c r="D60" s="32">
        <v>463</v>
      </c>
      <c r="E60" s="24">
        <f>D60*100/B60</f>
        <v>77.424749163879596</v>
      </c>
      <c r="G60" s="32">
        <f>69+7</f>
        <v>76</v>
      </c>
      <c r="H60" s="24">
        <f>G60*100/B60</f>
        <v>12.709030100334449</v>
      </c>
      <c r="J60" s="32">
        <v>52</v>
      </c>
      <c r="K60" s="24">
        <f>J60*100/B60</f>
        <v>8.695652173913043</v>
      </c>
      <c r="M60" s="32">
        <f>B60-D60-G60-J60</f>
        <v>7</v>
      </c>
      <c r="N60" s="24">
        <f>M60*100/B60</f>
        <v>1.1705685618729098</v>
      </c>
    </row>
    <row r="61" spans="1:21" x14ac:dyDescent="0.3">
      <c r="A61" s="43" t="s">
        <v>28</v>
      </c>
      <c r="B61" s="33"/>
      <c r="C61" s="42"/>
      <c r="D61" s="33"/>
      <c r="E61" s="25"/>
      <c r="F61" s="15"/>
      <c r="G61" s="33"/>
      <c r="H61" s="25"/>
      <c r="I61" s="15"/>
      <c r="J61" s="33"/>
      <c r="K61" s="25"/>
      <c r="L61" s="15"/>
      <c r="M61" s="33"/>
      <c r="N61" s="25"/>
    </row>
    <row r="62" spans="1:21" x14ac:dyDescent="0.3">
      <c r="A62" s="16" t="s">
        <v>29</v>
      </c>
      <c r="B62" s="15">
        <v>47641</v>
      </c>
      <c r="C62" s="42"/>
      <c r="D62" s="33">
        <v>47276</v>
      </c>
      <c r="E62" s="25">
        <f>D62/$B62*100</f>
        <v>99.233853193677717</v>
      </c>
      <c r="F62" s="15"/>
      <c r="G62" s="33">
        <f>196+8</f>
        <v>204</v>
      </c>
      <c r="H62" s="25">
        <f>G62/$B62*100</f>
        <v>0.4282025986020444</v>
      </c>
      <c r="I62" s="15"/>
      <c r="J62" s="33">
        <v>107</v>
      </c>
      <c r="K62" s="25">
        <f>J62/$B62*100</f>
        <v>0.22459646103146447</v>
      </c>
      <c r="L62" s="15"/>
      <c r="M62" s="33">
        <f>B62-D62-G62-J62</f>
        <v>54</v>
      </c>
      <c r="N62" s="25">
        <f>M62/$B62*100</f>
        <v>0.11334774668877647</v>
      </c>
    </row>
    <row r="63" spans="1:21" ht="14.4" thickBot="1" x14ac:dyDescent="0.35">
      <c r="A63" s="72" t="s">
        <v>30</v>
      </c>
      <c r="B63" s="73">
        <v>7044</v>
      </c>
      <c r="C63" s="74"/>
      <c r="D63" s="75">
        <v>6474</v>
      </c>
      <c r="E63" s="76">
        <f t="shared" ref="E63" si="27">D63/$B63*100</f>
        <v>91.908006814310056</v>
      </c>
      <c r="F63" s="73"/>
      <c r="G63" s="75">
        <f>336+21</f>
        <v>357</v>
      </c>
      <c r="H63" s="76">
        <f t="shared" ref="H63" si="28">G63/$B63*100</f>
        <v>5.0681431005110733</v>
      </c>
      <c r="I63" s="73"/>
      <c r="J63" s="75">
        <v>178</v>
      </c>
      <c r="K63" s="76">
        <f t="shared" ref="K63" si="29">J63/$B63*100</f>
        <v>2.5269733106189665</v>
      </c>
      <c r="L63" s="73"/>
      <c r="M63" s="75">
        <f>B63-D63-G63-J63</f>
        <v>35</v>
      </c>
      <c r="N63" s="76">
        <f t="shared" ref="N63" si="30">M63/$B63*100</f>
        <v>0.4968767745599092</v>
      </c>
    </row>
  </sheetData>
  <mergeCells count="4">
    <mergeCell ref="D3:E3"/>
    <mergeCell ref="G3:H3"/>
    <mergeCell ref="J3:K3"/>
    <mergeCell ref="M3:N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workbookViewId="0"/>
  </sheetViews>
  <sheetFormatPr defaultColWidth="9.109375" defaultRowHeight="13.8" x14ac:dyDescent="0.3"/>
  <cols>
    <col min="1" max="1" width="7.6640625" style="8" customWidth="1"/>
    <col min="2" max="2" width="29.44140625" style="8" bestFit="1" customWidth="1"/>
    <col min="3" max="5" width="21.6640625" style="8" customWidth="1"/>
    <col min="6" max="16384" width="9.109375" style="8"/>
  </cols>
  <sheetData>
    <row r="1" spans="1:5" ht="14.4" x14ac:dyDescent="0.3">
      <c r="A1" s="44" t="s">
        <v>82</v>
      </c>
    </row>
    <row r="3" spans="1:5" x14ac:dyDescent="0.3">
      <c r="A3" s="54" t="s">
        <v>118</v>
      </c>
    </row>
    <row r="4" spans="1:5" x14ac:dyDescent="0.3">
      <c r="A4" s="13" t="s">
        <v>119</v>
      </c>
    </row>
    <row r="6" spans="1:5" x14ac:dyDescent="0.3">
      <c r="A6" s="54" t="s">
        <v>58</v>
      </c>
    </row>
    <row r="7" spans="1:5" x14ac:dyDescent="0.3">
      <c r="A7" s="13" t="s">
        <v>49</v>
      </c>
    </row>
    <row r="8" spans="1:5" x14ac:dyDescent="0.3">
      <c r="B8" s="50"/>
    </row>
    <row r="9" spans="1:5" x14ac:dyDescent="0.3">
      <c r="B9" s="50" t="s">
        <v>63</v>
      </c>
    </row>
    <row r="10" spans="1:5" s="48" customFormat="1" ht="27.6" x14ac:dyDescent="0.3">
      <c r="B10" s="45" t="s">
        <v>46</v>
      </c>
      <c r="C10" s="47" t="s">
        <v>47</v>
      </c>
      <c r="D10" s="47" t="s">
        <v>48</v>
      </c>
      <c r="E10" s="47" t="s">
        <v>50</v>
      </c>
    </row>
    <row r="11" spans="1:5" x14ac:dyDescent="0.3">
      <c r="B11" s="50" t="s">
        <v>41</v>
      </c>
      <c r="C11" s="53">
        <v>125464</v>
      </c>
      <c r="D11" s="53">
        <f>E11-C11</f>
        <v>156</v>
      </c>
      <c r="E11" s="53">
        <v>125620</v>
      </c>
    </row>
    <row r="12" spans="1:5" x14ac:dyDescent="0.3">
      <c r="B12" s="50" t="s">
        <v>42</v>
      </c>
      <c r="C12" s="53">
        <v>123120</v>
      </c>
      <c r="D12" s="53">
        <f t="shared" ref="D12:D15" si="0">E12-C12</f>
        <v>202</v>
      </c>
      <c r="E12" s="53">
        <v>123322</v>
      </c>
    </row>
    <row r="13" spans="1:5" x14ac:dyDescent="0.3">
      <c r="B13" s="50" t="s">
        <v>43</v>
      </c>
      <c r="C13" s="53">
        <v>118814</v>
      </c>
      <c r="D13" s="53">
        <f t="shared" si="0"/>
        <v>228</v>
      </c>
      <c r="E13" s="53">
        <v>119042</v>
      </c>
    </row>
    <row r="14" spans="1:5" x14ac:dyDescent="0.3">
      <c r="B14" s="49" t="s">
        <v>44</v>
      </c>
      <c r="C14" s="52">
        <v>114264</v>
      </c>
      <c r="D14" s="52">
        <f t="shared" si="0"/>
        <v>273</v>
      </c>
      <c r="E14" s="52">
        <v>114537</v>
      </c>
    </row>
    <row r="15" spans="1:5" x14ac:dyDescent="0.3">
      <c r="B15" s="19" t="s">
        <v>45</v>
      </c>
      <c r="C15" s="51">
        <v>106878</v>
      </c>
      <c r="D15" s="51">
        <f t="shared" si="0"/>
        <v>299</v>
      </c>
      <c r="E15" s="51">
        <v>107177</v>
      </c>
    </row>
    <row r="17" spans="1:2" x14ac:dyDescent="0.3">
      <c r="A17" s="55" t="s">
        <v>57</v>
      </c>
    </row>
    <row r="18" spans="1:2" x14ac:dyDescent="0.3">
      <c r="A18" s="13" t="s">
        <v>51</v>
      </c>
    </row>
    <row r="19" spans="1:2" x14ac:dyDescent="0.3">
      <c r="A19" s="13" t="s">
        <v>52</v>
      </c>
    </row>
    <row r="20" spans="1:2" x14ac:dyDescent="0.3">
      <c r="A20" s="13" t="s">
        <v>53</v>
      </c>
    </row>
    <row r="22" spans="1:2" x14ac:dyDescent="0.3">
      <c r="A22" s="55" t="s">
        <v>81</v>
      </c>
    </row>
    <row r="23" spans="1:2" x14ac:dyDescent="0.3">
      <c r="A23" s="13" t="s">
        <v>2</v>
      </c>
    </row>
    <row r="24" spans="1:2" x14ac:dyDescent="0.3">
      <c r="B24" s="8" t="s">
        <v>99</v>
      </c>
    </row>
    <row r="25" spans="1:2" x14ac:dyDescent="0.3">
      <c r="B25" s="8" t="s">
        <v>100</v>
      </c>
    </row>
    <row r="27" spans="1:2" x14ac:dyDescent="0.3">
      <c r="A27" s="13" t="s">
        <v>54</v>
      </c>
    </row>
    <row r="28" spans="1:2" x14ac:dyDescent="0.3">
      <c r="B28" s="8" t="s">
        <v>101</v>
      </c>
    </row>
    <row r="29" spans="1:2" x14ac:dyDescent="0.3">
      <c r="B29" s="8" t="s">
        <v>102</v>
      </c>
    </row>
    <row r="31" spans="1:2" x14ac:dyDescent="0.3">
      <c r="A31" s="13" t="s">
        <v>55</v>
      </c>
    </row>
    <row r="32" spans="1:2" x14ac:dyDescent="0.3">
      <c r="B32" s="8" t="s">
        <v>103</v>
      </c>
    </row>
    <row r="33" spans="1:2" x14ac:dyDescent="0.3">
      <c r="B33" s="8" t="s">
        <v>104</v>
      </c>
    </row>
    <row r="35" spans="1:2" x14ac:dyDescent="0.3">
      <c r="A35" s="13" t="s">
        <v>23</v>
      </c>
    </row>
    <row r="36" spans="1:2" x14ac:dyDescent="0.3">
      <c r="B36" s="8" t="s">
        <v>105</v>
      </c>
    </row>
    <row r="37" spans="1:2" x14ac:dyDescent="0.3">
      <c r="B37" s="8" t="s">
        <v>56</v>
      </c>
    </row>
    <row r="39" spans="1:2" x14ac:dyDescent="0.3">
      <c r="A39" s="13" t="s">
        <v>27</v>
      </c>
    </row>
    <row r="40" spans="1:2" x14ac:dyDescent="0.3">
      <c r="B40" s="8" t="s">
        <v>59</v>
      </c>
    </row>
    <row r="42" spans="1:2" x14ac:dyDescent="0.3">
      <c r="A42" s="56" t="s">
        <v>8</v>
      </c>
    </row>
    <row r="43" spans="1:2" x14ac:dyDescent="0.3">
      <c r="A43" s="20" t="s">
        <v>9</v>
      </c>
    </row>
    <row r="44" spans="1:2" x14ac:dyDescent="0.3">
      <c r="A44" s="57"/>
      <c r="B44" s="8" t="s">
        <v>106</v>
      </c>
    </row>
    <row r="45" spans="1:2" x14ac:dyDescent="0.3">
      <c r="A45" s="21" t="s">
        <v>10</v>
      </c>
    </row>
    <row r="46" spans="1:2" x14ac:dyDescent="0.3">
      <c r="A46" s="10"/>
      <c r="B46" s="8" t="s">
        <v>107</v>
      </c>
    </row>
    <row r="47" spans="1:2" x14ac:dyDescent="0.3">
      <c r="A47" s="10"/>
    </row>
    <row r="48" spans="1:2" x14ac:dyDescent="0.3">
      <c r="B48" s="8" t="s">
        <v>83</v>
      </c>
    </row>
    <row r="49" spans="1:5" x14ac:dyDescent="0.3">
      <c r="B49" s="8" t="s">
        <v>84</v>
      </c>
    </row>
    <row r="51" spans="1:5" x14ac:dyDescent="0.3">
      <c r="B51" s="8" t="s">
        <v>66</v>
      </c>
    </row>
    <row r="52" spans="1:5" ht="27.6" x14ac:dyDescent="0.3">
      <c r="B52" s="45" t="s">
        <v>46</v>
      </c>
      <c r="C52" s="46" t="s">
        <v>80</v>
      </c>
      <c r="D52" s="46" t="s">
        <v>61</v>
      </c>
      <c r="E52" s="46" t="s">
        <v>62</v>
      </c>
    </row>
    <row r="53" spans="1:5" ht="27" customHeight="1" x14ac:dyDescent="0.3">
      <c r="B53" s="63" t="s">
        <v>41</v>
      </c>
      <c r="C53" s="62" t="s">
        <v>64</v>
      </c>
      <c r="D53" s="61" t="s">
        <v>75</v>
      </c>
      <c r="E53" s="61" t="s">
        <v>65</v>
      </c>
    </row>
    <row r="54" spans="1:5" ht="27" customHeight="1" x14ac:dyDescent="0.3">
      <c r="B54" s="63" t="s">
        <v>42</v>
      </c>
      <c r="C54" s="62" t="s">
        <v>67</v>
      </c>
      <c r="D54" s="61" t="s">
        <v>76</v>
      </c>
      <c r="E54" s="61" t="s">
        <v>71</v>
      </c>
    </row>
    <row r="55" spans="1:5" ht="27" customHeight="1" x14ac:dyDescent="0.3">
      <c r="B55" s="63" t="s">
        <v>43</v>
      </c>
      <c r="C55" s="62" t="s">
        <v>68</v>
      </c>
      <c r="D55" s="61" t="s">
        <v>77</v>
      </c>
      <c r="E55" s="61" t="s">
        <v>72</v>
      </c>
    </row>
    <row r="56" spans="1:5" ht="27" customHeight="1" x14ac:dyDescent="0.3">
      <c r="B56" s="63" t="s">
        <v>44</v>
      </c>
      <c r="C56" s="62" t="s">
        <v>69</v>
      </c>
      <c r="D56" s="61" t="s">
        <v>78</v>
      </c>
      <c r="E56" s="61" t="s">
        <v>73</v>
      </c>
    </row>
    <row r="57" spans="1:5" ht="27" customHeight="1" x14ac:dyDescent="0.3">
      <c r="B57" s="60" t="s">
        <v>45</v>
      </c>
      <c r="C57" s="59" t="s">
        <v>70</v>
      </c>
      <c r="D57" s="58" t="s">
        <v>79</v>
      </c>
      <c r="E57" s="58" t="s">
        <v>74</v>
      </c>
    </row>
    <row r="59" spans="1:5" x14ac:dyDescent="0.3">
      <c r="A59" s="56" t="s">
        <v>16</v>
      </c>
    </row>
    <row r="60" spans="1:5" x14ac:dyDescent="0.3">
      <c r="A60" s="13" t="s">
        <v>17</v>
      </c>
    </row>
    <row r="61" spans="1:5" x14ac:dyDescent="0.3">
      <c r="B61" s="8" t="s">
        <v>108</v>
      </c>
    </row>
    <row r="62" spans="1:5" x14ac:dyDescent="0.3">
      <c r="A62" s="13" t="s">
        <v>18</v>
      </c>
    </row>
    <row r="63" spans="1:5" x14ac:dyDescent="0.3">
      <c r="A63" s="13"/>
      <c r="B63" s="8" t="s">
        <v>109</v>
      </c>
    </row>
    <row r="64" spans="1:5" x14ac:dyDescent="0.3">
      <c r="A64" s="13" t="s">
        <v>19</v>
      </c>
    </row>
    <row r="65" spans="1:2" x14ac:dyDescent="0.3">
      <c r="A65" s="13"/>
      <c r="B65" s="8" t="s">
        <v>110</v>
      </c>
    </row>
    <row r="66" spans="1:2" x14ac:dyDescent="0.3">
      <c r="A66" s="13" t="s">
        <v>6</v>
      </c>
    </row>
    <row r="67" spans="1:2" x14ac:dyDescent="0.3">
      <c r="B67" s="8" t="s">
        <v>111</v>
      </c>
    </row>
    <row r="69" spans="1:2" x14ac:dyDescent="0.3">
      <c r="A69" s="55" t="s">
        <v>11</v>
      </c>
    </row>
    <row r="70" spans="1:2" x14ac:dyDescent="0.3">
      <c r="A70" s="13" t="s">
        <v>14</v>
      </c>
    </row>
    <row r="71" spans="1:2" x14ac:dyDescent="0.3">
      <c r="A71" s="13"/>
      <c r="B71" s="8" t="s">
        <v>85</v>
      </c>
    </row>
    <row r="72" spans="1:2" x14ac:dyDescent="0.3">
      <c r="A72" s="13"/>
      <c r="B72" s="8" t="s">
        <v>86</v>
      </c>
    </row>
    <row r="73" spans="1:2" x14ac:dyDescent="0.3">
      <c r="A73" s="13" t="s">
        <v>15</v>
      </c>
    </row>
    <row r="74" spans="1:2" x14ac:dyDescent="0.3">
      <c r="A74" s="13"/>
      <c r="B74" s="8" t="s">
        <v>85</v>
      </c>
    </row>
    <row r="75" spans="1:2" x14ac:dyDescent="0.3">
      <c r="A75" s="13"/>
      <c r="B75" s="8" t="s">
        <v>90</v>
      </c>
    </row>
    <row r="76" spans="1:2" x14ac:dyDescent="0.3">
      <c r="A76" s="13" t="s">
        <v>12</v>
      </c>
    </row>
    <row r="77" spans="1:2" x14ac:dyDescent="0.3">
      <c r="A77" s="13"/>
      <c r="B77" s="8" t="s">
        <v>88</v>
      </c>
    </row>
    <row r="78" spans="1:2" x14ac:dyDescent="0.3">
      <c r="A78" s="13"/>
      <c r="B78" s="8" t="s">
        <v>89</v>
      </c>
    </row>
    <row r="79" spans="1:2" x14ac:dyDescent="0.3">
      <c r="A79" s="13" t="s">
        <v>36</v>
      </c>
    </row>
    <row r="80" spans="1:2" x14ac:dyDescent="0.3">
      <c r="A80" s="13"/>
      <c r="B80" s="8" t="s">
        <v>112</v>
      </c>
    </row>
    <row r="81" spans="1:2" x14ac:dyDescent="0.3">
      <c r="A81" s="13"/>
      <c r="B81" s="8" t="s">
        <v>113</v>
      </c>
    </row>
    <row r="83" spans="1:2" x14ac:dyDescent="0.3">
      <c r="A83" s="55" t="s">
        <v>28</v>
      </c>
    </row>
    <row r="84" spans="1:2" x14ac:dyDescent="0.3">
      <c r="A84" s="13" t="s">
        <v>114</v>
      </c>
    </row>
    <row r="85" spans="1:2" x14ac:dyDescent="0.3">
      <c r="A85" s="13" t="s">
        <v>115</v>
      </c>
    </row>
    <row r="86" spans="1:2" x14ac:dyDescent="0.3">
      <c r="A86" s="13" t="s">
        <v>117</v>
      </c>
    </row>
    <row r="87" spans="1:2" x14ac:dyDescent="0.3">
      <c r="A87" s="13" t="s">
        <v>116</v>
      </c>
    </row>
  </sheetData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Innehållsförteckning</vt:lpstr>
      <vt:lpstr>Tab 1a-d</vt:lpstr>
      <vt:lpstr>Tab 2a</vt:lpstr>
      <vt:lpstr>Tab 2b</vt:lpstr>
      <vt:lpstr>Tab 2c</vt:lpstr>
      <vt:lpstr>Tab 2d</vt:lpstr>
      <vt:lpstr>Tab 2e</vt:lpstr>
      <vt:lpstr>Definitioner och förklaringar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Kossack Paula BV/UA-Ö</dc:creator>
  <cp:lastModifiedBy>Thomas Molin KOM/DESIGN</cp:lastModifiedBy>
  <cp:lastPrinted>2017-04-15T18:40:33Z</cp:lastPrinted>
  <dcterms:created xsi:type="dcterms:W3CDTF">2016-11-16T12:03:33Z</dcterms:created>
  <dcterms:modified xsi:type="dcterms:W3CDTF">2017-04-27T04:19:42Z</dcterms:modified>
</cp:coreProperties>
</file>